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Tablas!$E$1855:$E$1865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Tablas!$I$924:$I$954</definedName>
    <definedName name="ArmasAM_HA">Tablas!$K$924:$K$954</definedName>
    <definedName name="ArmasAM_HE">Tablas!$L$924:$L$954</definedName>
    <definedName name="ArmasAM_HP">Tablas!$M$924:$M$954</definedName>
    <definedName name="ArmasNaturales_Daño">Tablas!$E$639</definedName>
    <definedName name="Ars_Magnus">Tablas!$C$962:$C$1022</definedName>
    <definedName name="Arte_final">PDs!$AA$165</definedName>
    <definedName name="ArtesM_Daño">Tablas!$Q$918</definedName>
    <definedName name="Atar_final">PDs!$AA$97</definedName>
    <definedName name="Atletismo_final">PDs!$AA$127</definedName>
    <definedName name="AuradeVacío">Ki!$B$61</definedName>
    <definedName name="Azrael">Tablas!$E$1842:$E$1853</definedName>
    <definedName name="Baile_final">PDs!$AA$166</definedName>
    <definedName name="Barakiel">Tablas!$E$1867:$E$1879</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Tablas!$J$1274</definedName>
    <definedName name="Bono_Tamaño_PCs">Tablas!$K$320</definedName>
    <definedName name="Bono_Vol">Principal!$H$18</definedName>
    <definedName name="BonoMaestro_HA">Tablas!$O$917</definedName>
    <definedName name="BonoMaestro_HD">Tablas!$P$917</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Tablas!$D$1139:$D$1151</definedName>
    <definedName name="Disciplinas_Psi_Totales">Tablas!$D$1139:$D$1152</definedName>
    <definedName name="Disfraz_final">PDs!$AA$159</definedName>
    <definedName name="Dominiofísico">Ki!$R$16</definedName>
    <definedName name="Don">Principal!$AN$36</definedName>
    <definedName name="Edamiel">Tablas!$E$1893:$E$1903</definedName>
    <definedName name="Elan">Elan!$G$11</definedName>
    <definedName name="ElanPersonalizado">Tablas!$E$1919:$E$1928</definedName>
    <definedName name="Eliminacióndepeso">Ki!$R$27</definedName>
    <definedName name="Erebus">Tablas!$E$1830:$E$1840</definedName>
    <definedName name="Eriol">Tablas!$E$1881:$E$1891</definedName>
    <definedName name="Erudición">Ki!$R$14</definedName>
    <definedName name="EsenciadeVacío">Ki!$B$59</definedName>
    <definedName name="Especialización_Conjurador">Tablas!$C$1051:$C$1057</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Tablas!$E$1790:$E$1801</definedName>
    <definedName name="Género">Tablas!$C$107:$C$108</definedName>
    <definedName name="Grado_AM_Avanzadas">Tablas!$AG$832:$AG$833</definedName>
    <definedName name="Grado_AM_Básicas">Tablas!$AF$832:$AF$834</definedName>
    <definedName name="HA_final">PDs!$AA$22</definedName>
    <definedName name="HA_SinArmas">Combate!$AT$18</definedName>
    <definedName name="HA_SinArmas_final">Combate!$I$21</definedName>
    <definedName name="Habilidades_Esenciales">Tablas!$E$1220:$E$1422</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Tablas!$Z$1041:$Z$1210</definedName>
    <definedName name="Jedah">Tablas!$E$1776:$E$1788</definedName>
    <definedName name="Levitación">Ki!$R$28</definedName>
    <definedName name="Ley_final">PDs!$AA$145</definedName>
    <definedName name="Liderazgo_final">PDs!$AA$135</definedName>
    <definedName name="Límites">Tablas!$D$1041:$D$1047</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Tablas!$AE$832:$AE$868</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Tablas!$W$1309:$W$1396</definedName>
    <definedName name="Lista_LegadosSangre">Tablas!$L$235:$L$265</definedName>
    <definedName name="Lista_LuzyOscuridad">Tablas!$C$1734:$C$1747</definedName>
    <definedName name="Lista_LuzyOscuridadmasuno">Tablas!$C$1734:$C$1748</definedName>
    <definedName name="Lista_ManosArma">Tablas!$AE$582:$AE$583</definedName>
    <definedName name="Lista_Nephilims">Tablas!$J$109:$J$118</definedName>
    <definedName name="Lista_OpcionesAplicaciónRC">Tablas!$C$131:$C$133</definedName>
    <definedName name="Lista_PoderesCriatura">Tablas!$W$1218:$W$1307</definedName>
    <definedName name="Lista_ProyA1Mano">Tablas!$AD$639</definedName>
    <definedName name="Lista_ProyA2manos">Tablas!$AE$639</definedName>
    <definedName name="Lista_Razas">Tablas!$J$118:$J$129</definedName>
    <definedName name="Lista_TablasArtesArmas">Tablas!$E$924:$E$954</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Tablas!$E$1065:$E$1075</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Tablas!$E$1905:$E$1917</definedName>
    <definedName name="Mikael">Tablas!$E$1736:$E$1747</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Tablas!$U$1066:$U$1075</definedName>
    <definedName name="NivelesLA_ViaMenorNosubvía">Tablas!$V$1066:$V$1085</definedName>
    <definedName name="NivelesLA_ViaMenorSubvía">Tablas!$W$1066:$W$1075</definedName>
    <definedName name="Noah">Tablas!$E$1803:$E$1814</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Tablas!$D$1120:$D$1135</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Tablas!$Z$1264:$AG$1264</definedName>
    <definedName name="PodHab_Armadurafísica">Tablas!$Z$1249:$AQ$1249</definedName>
    <definedName name="PodHab_Armaduramística">Tablas!$Z$1250:$AG$1250</definedName>
    <definedName name="PodHab_Armanaturaladistancia">Tablas!$Z$1265:$AC$1265</definedName>
    <definedName name="PodHab_Ataqueadicional">Tablas!$Z$1220:$AF$1220</definedName>
    <definedName name="PodHab_Ataqueautomáticocondicionado">Tablas!$Z$1266:$AI$1266</definedName>
    <definedName name="PodHab_Ataquecamuflado">Tablas!$Z$1268:$AD$1268</definedName>
    <definedName name="PodHab_Ataqueelemental">Tablas!$Z$1221:$AE$1221</definedName>
    <definedName name="PodHab_Ataqueespecial">Tablas!$Z$1222:$BE$1222</definedName>
    <definedName name="PodHab_Ataqueespecialincrementado">Tablas!$Z$1269:$AD$1269</definedName>
    <definedName name="PodHab_Ataquemantenido">Tablas!$Z$1270:$AD$1270</definedName>
    <definedName name="PodHab_Ataqueretardado">Tablas!$Z$1271:$AC$1271</definedName>
    <definedName name="PodHab_Ataquesmúltiplesaleatorios">Tablas!$Z$1272:$AF$1272</definedName>
    <definedName name="PodHab_Ataquevenenoso">Tablas!$Z$1224:$AJ$1224</definedName>
    <definedName name="PodHab_Aura">Tablas!$Z$1254:$BH$1254</definedName>
    <definedName name="PodHab_Barreradedaño">Tablas!$Z$1247:$AF$1247</definedName>
    <definedName name="PodHab_CaracterísticaIncrementada">Tablas!$Z$1320:$BM$1320</definedName>
    <definedName name="PodHab_ConNaturaldeVía">Tablas!$Z$1341:$CB$1341</definedName>
    <definedName name="PodHab_Críticoincrementado">Tablas!$Z$1225:$AI$1225</definedName>
    <definedName name="PodHab_Dañoincrementado">Tablas!$Z$1227:$AH$1227</definedName>
    <definedName name="PodHab_Degeneración">Tablas!$Z$1243:$AD$1243</definedName>
    <definedName name="PodHab_Desplazamientoespecial">Tablas!$Z$1233:$AE$1233</definedName>
    <definedName name="PodHab_Detecciónsobrenatural">Tablas!$Z$1261:$AM$1261</definedName>
    <definedName name="PodHab_Efectomísticoañadido">Tablas!$Z$1228:$BJ$1228</definedName>
    <definedName name="PodHab_Efectopermanente">Tablas!$Z$1283:$AA$1283</definedName>
    <definedName name="PodHab_Escudo">Tablas!$Z$1275:$AG$1275</definedName>
    <definedName name="PodHab_Espaciocerrado">Tablas!$Z$1294:$AB$1294</definedName>
    <definedName name="PodHab_Existenciacompacta">Tablas!$Z$1295:$AA$1295</definedName>
    <definedName name="PodHab_Forma">Tablas!$Z$1255:$AD$1255</definedName>
    <definedName name="PodHab_HabilidadesEspirituales">Tablas!$Z$1252:$AB$1252</definedName>
    <definedName name="PodHab_Imparable">Tablas!$Z$1278:$AB$1278</definedName>
    <definedName name="PodHab_Indetecciones">Tablas!$Z$1256:$AK$1256</definedName>
    <definedName name="PodHab_Inmunidad">Tablas!$Z$1245:$AQ$1245</definedName>
    <definedName name="PodHab_Maestríasobrenatural">Tablas!$Z$1288:$AE$1288</definedName>
    <definedName name="PodHab_MagiaInnata">Tablas!$Z$1257:$AI$1257</definedName>
    <definedName name="PodHab_Magianatural">Tablas!$Z$1289:$AA$1289</definedName>
    <definedName name="PodHab_Metamorfismo">Tablas!$Z$1259:$AC$1259</definedName>
    <definedName name="PodHab_Modificadordearmadura">Tablas!$Z$1229:$AD$1229</definedName>
    <definedName name="PodHab_PenalaResistenciamística">Tablas!$Z$1241:$AI$1241</definedName>
    <definedName name="PodHab_Presaespecial">Tablas!$Z$1230:$AE$1230</definedName>
    <definedName name="PodHab_Psíquicainnata">Tablas!$Z$1258:$AI$1258</definedName>
    <definedName name="PodHab_Reacciónincrementada">Tablas!$Z$1231:$AB$1231</definedName>
    <definedName name="PodHab_Reduccióndedaño">Tablas!$Z$1279:$AE$1279</definedName>
    <definedName name="PodHab_Reflejarataques">Tablas!$Z$1280:$AC$1280</definedName>
    <definedName name="PodHab_Regeneración">Tablas!$Z$1242:$AL$1242</definedName>
    <definedName name="PodHab_Resistenciafísicamejorada">Tablas!$Z$1239:$AG$1239</definedName>
    <definedName name="PodHab_Resistenciamísticamejorada">Tablas!$Z$1240:$AI$1240</definedName>
    <definedName name="PodHab_Rotura">Tablas!$Z$1281:$AD$1281</definedName>
    <definedName name="PodHab_Sentidosespeciales">Tablas!$Z$1285:$AB$1285</definedName>
    <definedName name="PodHab_Tamañononatural">Tablas!$Z$1338:$AI$1338</definedName>
    <definedName name="PodHab_Tipodemovimiento">Tablas!$Z$1235:$AC$1235</definedName>
    <definedName name="PodHab_Transformación">Tablas!$Z$1286:$AD$1286</definedName>
    <definedName name="PodHab_Transporteautomático">Tablas!$Z$1234:$AO$1234</definedName>
    <definedName name="PodHab_Visiónespecial">Tablas!$Z$1262:$AF$1262</definedName>
    <definedName name="PodHab_Vuelomístico">Tablas!$Z$1237:$AG$1237</definedName>
    <definedName name="PodHab_Vuelonatural">Tablas!$Z$1236:$AD$1236</definedName>
    <definedName name="PodHab_Vulaelemento">Tablas!$Z$1363:$AA$1363</definedName>
    <definedName name="PodHab_Vulnerabilidadextrema">Tablas!$Z$1246:$AP$1246</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Tablas!$E$1816:$E$1828</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Tablas!$R$1096:$R$1102</definedName>
    <definedName name="Subvia_Aire">Tablas!$T$1096:$T$1104</definedName>
    <definedName name="Subvia_Creación">Tablas!$O$1096:$O$1103</definedName>
    <definedName name="Subvia_Destrucción">Tablas!$P$1096:$P$1102</definedName>
    <definedName name="Subvia_Esencia">Tablas!$U$1096:$U$1100</definedName>
    <definedName name="Subvia_Fuego">Tablas!$Q$1096:$Q$1099</definedName>
    <definedName name="Subvia_Ilusión">Tablas!$V$1096:$V$1100</definedName>
    <definedName name="Subvia_Luz">Tablas!$M$1096:$M$1103</definedName>
    <definedName name="Subvia_Nigromancia">Tablas!$W$1096:$W$1103</definedName>
    <definedName name="Subvia_Oscuridad">Tablas!$N$1096:$N$1108</definedName>
    <definedName name="Subvia_Tierra">Tablas!$S$1096:$S$1099</definedName>
    <definedName name="Subvias">Tablas!$C$1095:$C$1108</definedName>
    <definedName name="Subvías_Agua">Tablas!$R$1095:$R$1110</definedName>
    <definedName name="Subvías_Aire">Tablas!$T$1095:$T$1110</definedName>
    <definedName name="Subvías_Creación">Tablas!$O$1095:$O$1110</definedName>
    <definedName name="Subvías_Destrucción">Tablas!$P$1095:$P$1110</definedName>
    <definedName name="Subvías_Esencia">Tablas!$U$1095:$U$1110</definedName>
    <definedName name="Subvías_Fuego">Tablas!$Q$1095:$Q$1110</definedName>
    <definedName name="Subvías_Ilusión">Tablas!$V$1095:$V$1110</definedName>
    <definedName name="Subvías_Luz">Tablas!$M$1095:$M$1110</definedName>
    <definedName name="Subvías_Nigromancia">Tablas!$W$1095:$W$1110</definedName>
    <definedName name="Subvías_Oscuridad">Tablas!$N$1095:$N$1110</definedName>
    <definedName name="Subvías_Tierra">Tablas!$S$1095:$S$1110</definedName>
    <definedName name="SueAman">Personalización!$E$45</definedName>
    <definedName name="T.Manos_final">PDs!$AA$172</definedName>
    <definedName name="Tabla_Acum">Tablas!$P$14:$Q$33</definedName>
    <definedName name="Tabla_AlcanceFUE">Tablas!$L$14:$N$33</definedName>
    <definedName name="Tabla_AM_Armas">Tablas!$E$924:$N$954</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Tablas!$D$638:$Y$817</definedName>
    <definedName name="Tabla_ArsMagnus">Tablas!$E$962:$R$1022</definedName>
    <definedName name="Tabla_ArtesMarciales">Tablas!$D$827:$AC$916</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Tablas!$F$1080:$G$1090</definedName>
    <definedName name="Tabla_CreaciónSeres">Tablas!$W$47:$AF$54</definedName>
    <definedName name="Tabla_CualidadesGéminis">Tablas!$AG$583:$AG$590</definedName>
    <definedName name="Tabla_DesElemental">Tablas!$H$1080:$I$1091</definedName>
    <definedName name="Tabla_Desvío">Tablas!$AC$929</definedName>
    <definedName name="Tabla_Dificultades">Tablas!$T$26:$U$38</definedName>
    <definedName name="Tabla_DisciplinasPsi">Tablas!$D$1139:$N$1151</definedName>
    <definedName name="Tabla_Elan">Tablas!$E$1735:$R$1928</definedName>
    <definedName name="Tabla_ElementosKi">Tablas!$O$1086:$O$1091</definedName>
    <definedName name="Tabla_ElementosKiCrit">Tablas!$O$1086:$P$1091</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Tablas!$E$1220:$J$1422</definedName>
    <definedName name="Tabla_Idiomas">Tablas!$AI$27:$AJ$46</definedName>
    <definedName name="Tabla_LegadosSangre">Tablas!$N$235:$S$261</definedName>
    <definedName name="Tabla_Límites">Tablas!$C$1041:$M$1047</definedName>
    <definedName name="Tabla_LímiteSecundarias">Tablas!$T$42:$U$45</definedName>
    <definedName name="Tabla_Listas_PodHabMonstruo">Tablas!$W$1218:$Y$1396</definedName>
    <definedName name="Tabla_MagiaInnata">Tablas!$E$1080:$F$1089</definedName>
    <definedName name="Tabla_MagiaNatural_DifBase">Tablas!$G$1054:$H$1058</definedName>
    <definedName name="Tabla_ModElan">Tablas!$T$1735:$Y$1855</definedName>
    <definedName name="Tabla_Municiones">Tablas!$AB$780:$AU$803</definedName>
    <definedName name="Tabla_NivelMagia">Tablas!$P$1041:$Q$1060</definedName>
    <definedName name="Tabla_NumAcciones">Tablas!$Q$38:$R$45</definedName>
    <definedName name="Tabla_NumeroConjurosLA">Tablas!$S$1041:$U$1060</definedName>
    <definedName name="Tabla_PatronesM">Tablas!$D$1120:$W$1135</definedName>
    <definedName name="Tabla_PodCriatura">Tablas!$O$1220:$S$1726</definedName>
    <definedName name="Tabla_PoderesPsi">'Tablas psiquica'!$D$7:$T$145</definedName>
    <definedName name="Tabla_PotPsi">Tablas!$W$1040:$X$1059</definedName>
    <definedName name="Tabla_PotPsitporCV">Tablas!$L$1080:$M$1089</definedName>
    <definedName name="Tabla_RaicesCulturales">Tablas!$G$141:$DF$196</definedName>
    <definedName name="Tabla_Razas">Tablas!$J$109:$CV$129</definedName>
    <definedName name="Tabla_Regen">Tablas!$C$38:$H$65</definedName>
    <definedName name="Tabla_SelecciónConjuros">Tablas!$M$1051:$N$1061</definedName>
    <definedName name="Tabla_SiNo">Tablas!$C$8:$C$9</definedName>
    <definedName name="Tabla_Subvías_VíasPermitidas">Tablas!$M$1096:$W$1109</definedName>
    <definedName name="Tabla_Subvías_VíasProhibidas">Tablas!$C$1095:$K$1108</definedName>
    <definedName name="Tabla_SueAman">Tablas!$F$107:$F$108</definedName>
    <definedName name="Tabla_Tabla_Estilos">Tablas!$R$924:$AB$945</definedName>
    <definedName name="Tabla_TablasArmas">Tablas!$X$583:$AA$588</definedName>
    <definedName name="Tabla_TablasSobrenat">Tablas!$E$1027:$L$1029</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Tablas!$E$1065:$K$1075</definedName>
    <definedName name="Tabla_Yelmos">Tablas!$D$619:$Q$628</definedName>
    <definedName name="Tablas_de_Armas">Tablas!$X$583:$X$588</definedName>
    <definedName name="Tablas_Estilo">Tablas!$R$924:$R$945</definedName>
    <definedName name="Tablas_Místicas">Tablas!$E$1027:$E$1028</definedName>
    <definedName name="Tablas_Psíquicas">Tablas!$E$1029</definedName>
    <definedName name="Tactica_final">PDs!$AA$148</definedName>
    <definedName name="Tamaño">Principal!$K$6</definedName>
    <definedName name="Tamaño_Armas">Tablas!$AC$622:$AC$624</definedName>
    <definedName name="Tasación_final">PDs!$AA$153</definedName>
    <definedName name="Teoremas_Magia">Tablas!$E$1051:$E$1055</definedName>
    <definedName name="Tipo_Acción">Tablas!$E$8:$E$9</definedName>
    <definedName name="Tipo_Armadura">Tablas!$AC$582:$AC$584</definedName>
    <definedName name="Tipo_Conjuro">Tablas!$K$1051:$K$1056</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Tablas!$E$1762:$E$1774</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Tablas!$E$1065:$E$1076</definedName>
    <definedName name="ViasMayores">Tablas!$E$1065:$F$1075</definedName>
    <definedName name="VíasYSubvías">Tablas!$C$1061:$C$1086</definedName>
    <definedName name="Vodoun">Místicos!$BJ$11:$BK$24</definedName>
    <definedName name="VOL">Principal!$G$18</definedName>
    <definedName name="VueloKi">Ki!$R$31</definedName>
    <definedName name="Yelmos">Tablas!$D$620:$D$628</definedName>
    <definedName name="Zemial">Tablas!$E$1749:$E$1760</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45" i="4" l="1"/>
  <c r="G45" i="4"/>
  <c r="R38" i="4"/>
  <c r="G38" i="4"/>
  <c r="R31" i="4"/>
  <c r="D998" i="11"/>
  <c r="D999" i="11"/>
  <c r="D1000" i="11"/>
  <c r="D1001" i="11"/>
  <c r="D1002" i="11"/>
  <c r="D1003" i="11"/>
  <c r="D1004" i="11"/>
  <c r="D1005" i="11"/>
  <c r="D1006" i="11"/>
  <c r="D1007" i="11"/>
  <c r="D1008" i="11"/>
  <c r="H1000" i="11"/>
  <c r="L809" i="11" s="1"/>
  <c r="H998" i="11"/>
  <c r="L807" i="11" s="1"/>
  <c r="H999" i="11"/>
  <c r="L808" i="11" s="1"/>
  <c r="D1013" i="11"/>
  <c r="C1013" i="11" s="1"/>
  <c r="D1014" i="11"/>
  <c r="D1015" i="11"/>
  <c r="D1016" i="11"/>
  <c r="D1017" i="11"/>
  <c r="D1018" i="11"/>
  <c r="D1019" i="11"/>
  <c r="D1020" i="11"/>
  <c r="D1021" i="11"/>
  <c r="D1022" i="11"/>
  <c r="E807" i="11"/>
  <c r="T809" i="11"/>
  <c r="E809" i="11"/>
  <c r="T808" i="11"/>
  <c r="E808" i="11"/>
  <c r="T807" i="11"/>
  <c r="F994" i="11" l="1"/>
  <c r="F995" i="11"/>
  <c r="C1022" i="11"/>
  <c r="C1020" i="11"/>
  <c r="C1018" i="11"/>
  <c r="C1016" i="11"/>
  <c r="C1014" i="11"/>
  <c r="C1021" i="11"/>
  <c r="C1019" i="11"/>
  <c r="C1017" i="11"/>
  <c r="C1015" i="11"/>
  <c r="E817" i="11"/>
  <c r="E816" i="11"/>
  <c r="E815" i="11"/>
  <c r="E814" i="11"/>
  <c r="E806" i="11"/>
  <c r="P45" i="4"/>
  <c r="E45" i="4"/>
  <c r="P38" i="4"/>
  <c r="E38" i="4"/>
  <c r="P31" i="4"/>
  <c r="F642" i="11"/>
  <c r="F641" i="11"/>
  <c r="F640" i="11"/>
  <c r="S1940"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8" i="11"/>
  <c r="H1959" i="11"/>
  <c r="H1960" i="11"/>
  <c r="H1961" i="11"/>
  <c r="H1962" i="11"/>
  <c r="H1963" i="11"/>
  <c r="H1964" i="11"/>
  <c r="H1965" i="11"/>
  <c r="H1966" i="11"/>
  <c r="H1967" i="11"/>
  <c r="H1968" i="11"/>
  <c r="H1969" i="11"/>
  <c r="H1957" i="11"/>
  <c r="H1943" i="11"/>
  <c r="H1944" i="11"/>
  <c r="H1945" i="11"/>
  <c r="H1946" i="11"/>
  <c r="H1947" i="11"/>
  <c r="H1948" i="11"/>
  <c r="H1949" i="11"/>
  <c r="H1950" i="11"/>
  <c r="H1951" i="11"/>
  <c r="H1952" i="11"/>
  <c r="H1953" i="11"/>
  <c r="H1954" i="11"/>
  <c r="H1955" i="11"/>
  <c r="H1956"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O187" i="3"/>
  <c r="Q187" i="3"/>
  <c r="S187" i="3"/>
  <c r="M187" i="3"/>
  <c r="K187" i="3"/>
  <c r="AC925" i="11" l="1"/>
  <c r="AC926" i="11"/>
  <c r="AC927" i="11"/>
  <c r="AC928" i="11"/>
  <c r="AC929" i="11"/>
  <c r="AC930" i="11"/>
  <c r="AC931" i="11"/>
  <c r="AC932" i="11"/>
  <c r="AC933" i="11"/>
  <c r="AC934" i="11"/>
  <c r="AC935" i="11"/>
  <c r="AC936" i="11"/>
  <c r="AC937" i="11"/>
  <c r="AC938" i="11"/>
  <c r="AC939" i="11"/>
  <c r="AC940" i="11"/>
  <c r="AC941" i="11"/>
  <c r="AC942" i="11"/>
  <c r="AC943" i="11"/>
  <c r="AC944" i="11"/>
  <c r="AC945" i="11"/>
  <c r="AC924" i="11"/>
  <c r="P62" i="4"/>
  <c r="E62" i="4"/>
  <c r="Q53" i="4"/>
  <c r="P53" i="4"/>
  <c r="E53" i="4"/>
  <c r="Q38" i="4"/>
  <c r="F38"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7"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5" i="11"/>
  <c r="H2005" i="11" s="1"/>
  <c r="G1976" i="11"/>
  <c r="G1977" i="11"/>
  <c r="G1978" i="11"/>
  <c r="G1979" i="11"/>
  <c r="G1980" i="11"/>
  <c r="G1981" i="11"/>
  <c r="H1971" i="11"/>
  <c r="H1972" i="11"/>
  <c r="H1970" i="11"/>
  <c r="H1942" i="11"/>
  <c r="G1965" i="11" s="1"/>
  <c r="I1965" i="11" l="1"/>
  <c r="G1942" i="11"/>
  <c r="G1950" i="11"/>
  <c r="I1950" i="11" s="1"/>
  <c r="G1955" i="11"/>
  <c r="I1955" i="11" s="1"/>
  <c r="G1947" i="11"/>
  <c r="I1947" i="11" s="1"/>
  <c r="G1954" i="11"/>
  <c r="I1954" i="11" s="1"/>
  <c r="G1946" i="11"/>
  <c r="I1946" i="11" s="1"/>
  <c r="G1951" i="11"/>
  <c r="I1951" i="11" s="1"/>
  <c r="G1957" i="11"/>
  <c r="I1957" i="11" s="1"/>
  <c r="G1969" i="11"/>
  <c r="I1969" i="11" s="1"/>
  <c r="G1949" i="11"/>
  <c r="I1949" i="11" s="1"/>
  <c r="G1943" i="11"/>
  <c r="I1943" i="11" s="1"/>
  <c r="G1945" i="11"/>
  <c r="I1945" i="11" s="1"/>
  <c r="G1948" i="11"/>
  <c r="I1948" i="11" s="1"/>
  <c r="G1953" i="11"/>
  <c r="I1953" i="11" s="1"/>
  <c r="G1944" i="11"/>
  <c r="I1944" i="11" s="1"/>
  <c r="G1956" i="11"/>
  <c r="I1956" i="11" s="1"/>
  <c r="G1952" i="11"/>
  <c r="I1952" i="11" s="1"/>
  <c r="G1964" i="11"/>
  <c r="I1964" i="11" s="1"/>
  <c r="G1960" i="11"/>
  <c r="I1960" i="11" s="1"/>
  <c r="G1966" i="11"/>
  <c r="I1966" i="11" s="1"/>
  <c r="G1962" i="11"/>
  <c r="I1962" i="11" s="1"/>
  <c r="G1968" i="11"/>
  <c r="I1968" i="11" s="1"/>
  <c r="G1961" i="11"/>
  <c r="I1961" i="11" s="1"/>
  <c r="G1970" i="11"/>
  <c r="I1970" i="11" s="1"/>
  <c r="G1958" i="11"/>
  <c r="I1958" i="11" s="1"/>
  <c r="G1972" i="11"/>
  <c r="I1972" i="11" s="1"/>
  <c r="G1967" i="11"/>
  <c r="I1967" i="11" s="1"/>
  <c r="G1963" i="11"/>
  <c r="I1963" i="11" s="1"/>
  <c r="G1959" i="11"/>
  <c r="I1959" i="11" s="1"/>
  <c r="G1971" i="11"/>
  <c r="I1971"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8" i="11" l="1"/>
  <c r="C2017"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8" i="11"/>
  <c r="F1011" i="11"/>
  <c r="G1011" i="11"/>
  <c r="F1012" i="11"/>
  <c r="G1012" i="11"/>
  <c r="G1010" i="11"/>
  <c r="F1010" i="11"/>
  <c r="E1012" i="11"/>
  <c r="J1012" i="11" s="1"/>
  <c r="E1011" i="11"/>
  <c r="H1011" i="11" s="1"/>
  <c r="E1010" i="11"/>
  <c r="H1010" i="11" l="1"/>
  <c r="D1009"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1" i="11"/>
  <c r="H1012" i="11"/>
  <c r="J1010" i="11"/>
  <c r="C1009" i="11" l="1"/>
  <c r="D1010" i="11"/>
  <c r="D1011" i="11" s="1"/>
  <c r="D1012"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2" i="11" l="1"/>
  <c r="C1011" i="11"/>
  <c r="C1010"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8" i="11" l="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827" i="11"/>
  <c r="AF57" i="3"/>
  <c r="AF58" i="3"/>
  <c r="AF59" i="3"/>
  <c r="AF60" i="3"/>
  <c r="AF61" i="3"/>
  <c r="AF62" i="3"/>
  <c r="AF63" i="3"/>
  <c r="AF64" i="3"/>
  <c r="AF65" i="3"/>
  <c r="AF66" i="3"/>
  <c r="AF67" i="3"/>
  <c r="AF68" i="3"/>
  <c r="AF69" i="3"/>
  <c r="AF70" i="3"/>
  <c r="AF71" i="3"/>
  <c r="AF72" i="3"/>
  <c r="AF73" i="3"/>
  <c r="AF74" i="3"/>
  <c r="AI828" i="11"/>
  <c r="AK828" i="11" s="1"/>
  <c r="AJ828" i="11"/>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E64" i="3"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E58" i="3" l="1"/>
  <c r="AL834" i="11"/>
  <c r="AL832" i="11"/>
  <c r="AL833" i="11"/>
  <c r="AE57" i="3"/>
  <c r="AL831" i="11"/>
  <c r="AL830" i="11"/>
  <c r="AE72" i="3"/>
  <c r="AE68" i="3"/>
  <c r="AE60" i="3"/>
  <c r="AE71" i="3"/>
  <c r="AE67" i="3"/>
  <c r="AE63" i="3"/>
  <c r="AE59" i="3"/>
  <c r="AE74" i="3"/>
  <c r="AE70" i="3"/>
  <c r="AE66" i="3"/>
  <c r="AE62" i="3"/>
  <c r="AE73" i="3"/>
  <c r="AE69" i="3"/>
  <c r="AE65" i="3"/>
  <c r="AE61" i="3"/>
  <c r="AL835" i="11"/>
  <c r="AL829" i="11"/>
  <c r="AL828" i="11"/>
  <c r="AD57" i="3" l="1"/>
  <c r="AD58" i="3"/>
  <c r="AD59" i="3"/>
  <c r="AD60" i="3"/>
  <c r="AD61" i="3"/>
  <c r="AD62" i="3"/>
  <c r="AD63" i="3"/>
  <c r="AD64" i="3"/>
  <c r="AD65" i="3"/>
  <c r="AD66" i="3"/>
  <c r="AD67" i="3"/>
  <c r="AD68" i="3"/>
  <c r="AD69" i="3"/>
  <c r="AD70" i="3"/>
  <c r="AD71" i="3"/>
  <c r="AD72" i="3"/>
  <c r="AD73" i="3"/>
  <c r="V73" i="3" s="1"/>
  <c r="AD74" i="3"/>
  <c r="AJ827" i="11"/>
  <c r="AI827" i="11"/>
  <c r="AK827" i="11" s="1"/>
  <c r="AE56" i="3" s="1"/>
  <c r="AD56" i="3"/>
  <c r="AK825" i="11"/>
  <c r="BG824" i="11"/>
  <c r="BB824" i="11"/>
  <c r="AW824" i="11"/>
  <c r="AR824" i="11"/>
  <c r="AM824" i="11"/>
  <c r="AK824" i="11"/>
  <c r="AN828" i="11" l="1"/>
  <c r="AN829" i="11"/>
  <c r="N58" i="3" s="1"/>
  <c r="AN827" i="11"/>
  <c r="N56" i="3" s="1"/>
  <c r="AM829" i="11"/>
  <c r="AM841" i="11"/>
  <c r="AM830" i="11"/>
  <c r="AM834" i="11"/>
  <c r="AM838" i="11"/>
  <c r="AM842" i="11"/>
  <c r="AM831" i="11"/>
  <c r="AM835" i="11"/>
  <c r="AM839" i="11"/>
  <c r="AM843" i="11"/>
  <c r="N57" i="3"/>
  <c r="AM828" i="11"/>
  <c r="AM832" i="11"/>
  <c r="AM836" i="11"/>
  <c r="AM840" i="11"/>
  <c r="AM844" i="11"/>
  <c r="AM833" i="11"/>
  <c r="AM837" i="11"/>
  <c r="AM845" i="11"/>
  <c r="L59" i="3"/>
  <c r="L63" i="3"/>
  <c r="L67" i="3"/>
  <c r="L71" i="3"/>
  <c r="L60" i="3"/>
  <c r="L64" i="3"/>
  <c r="L68" i="3"/>
  <c r="L72" i="3"/>
  <c r="L61" i="3"/>
  <c r="L69" i="3"/>
  <c r="L58" i="3"/>
  <c r="L66" i="3"/>
  <c r="L74" i="3"/>
  <c r="L65" i="3"/>
  <c r="L73" i="3"/>
  <c r="L62" i="3"/>
  <c r="L70" i="3"/>
  <c r="AN830" i="11"/>
  <c r="N59" i="3" s="1"/>
  <c r="AN832" i="11"/>
  <c r="N61" i="3" s="1"/>
  <c r="AN834" i="11"/>
  <c r="N63" i="3" s="1"/>
  <c r="AN836" i="11"/>
  <c r="N65" i="3" s="1"/>
  <c r="AN838" i="11"/>
  <c r="N67" i="3" s="1"/>
  <c r="AN840" i="11"/>
  <c r="N69" i="3" s="1"/>
  <c r="AN842" i="11"/>
  <c r="N71" i="3" s="1"/>
  <c r="AN844" i="11"/>
  <c r="N73" i="3" s="1"/>
  <c r="AN845" i="11"/>
  <c r="N74" i="3" s="1"/>
  <c r="AN831" i="11"/>
  <c r="N60" i="3" s="1"/>
  <c r="AN833" i="11"/>
  <c r="N62" i="3" s="1"/>
  <c r="AN835" i="11"/>
  <c r="N64" i="3" s="1"/>
  <c r="AN837" i="11"/>
  <c r="N66" i="3" s="1"/>
  <c r="AN839" i="11"/>
  <c r="N68" i="3" s="1"/>
  <c r="AN841" i="11"/>
  <c r="N70" i="3" s="1"/>
  <c r="AN843" i="11"/>
  <c r="N72" i="3" s="1"/>
  <c r="Y833" i="11"/>
  <c r="Y832" i="11" s="1"/>
  <c r="Y831" i="11" s="1"/>
  <c r="Y830" i="11"/>
  <c r="Y829" i="11" s="1"/>
  <c r="Y828" i="11" s="1"/>
  <c r="Y892" i="11"/>
  <c r="Y884" i="11"/>
  <c r="Y872" i="11"/>
  <c r="Y860" i="11"/>
  <c r="Y848" i="11"/>
  <c r="Y836" i="11"/>
  <c r="Y835" i="11" s="1"/>
  <c r="Y834" i="11" s="1"/>
  <c r="Y898" i="11"/>
  <c r="Y906" i="11"/>
  <c r="Y912" i="11"/>
  <c r="Y910" i="11"/>
  <c r="Y909" i="11" s="1"/>
  <c r="Y890" i="11"/>
  <c r="Y881" i="11"/>
  <c r="Y869" i="11"/>
  <c r="Y857" i="11"/>
  <c r="Y845" i="11"/>
  <c r="Y844" i="11" s="1"/>
  <c r="Y900" i="11"/>
  <c r="Y914" i="11"/>
  <c r="Y913" i="11" s="1"/>
  <c r="Y875" i="11"/>
  <c r="Y851" i="11"/>
  <c r="Y896" i="11"/>
  <c r="Y888" i="11"/>
  <c r="Y878" i="11"/>
  <c r="Y866" i="11"/>
  <c r="Y854" i="11"/>
  <c r="Y842" i="11"/>
  <c r="Y894" i="11"/>
  <c r="Y902" i="11"/>
  <c r="Y908" i="11"/>
  <c r="Y916" i="11"/>
  <c r="Y915" i="11" s="1"/>
  <c r="Y886" i="11"/>
  <c r="Y863" i="11"/>
  <c r="Y839" i="11"/>
  <c r="Y904" i="11"/>
  <c r="AO842" i="11" l="1"/>
  <c r="AP842" i="11" s="1"/>
  <c r="P71" i="3" s="1"/>
  <c r="AO844" i="11"/>
  <c r="AP844" i="11" s="1"/>
  <c r="P73" i="3" s="1"/>
  <c r="AO834" i="11"/>
  <c r="AP834" i="11" s="1"/>
  <c r="P63" i="3" s="1"/>
  <c r="AO839" i="11"/>
  <c r="AP839" i="11" s="1"/>
  <c r="P68" i="3" s="1"/>
  <c r="AO828" i="11"/>
  <c r="AP828" i="11" s="1"/>
  <c r="AO837" i="11"/>
  <c r="AP837" i="11" s="1"/>
  <c r="P66" i="3" s="1"/>
  <c r="AO840" i="11"/>
  <c r="AP840" i="11" s="1"/>
  <c r="P69" i="3" s="1"/>
  <c r="AO832" i="11"/>
  <c r="AP832" i="11" s="1"/>
  <c r="AO835" i="11"/>
  <c r="AP835" i="11" s="1"/>
  <c r="P64" i="3" s="1"/>
  <c r="AO838" i="11"/>
  <c r="AP838" i="11" s="1"/>
  <c r="P67" i="3" s="1"/>
  <c r="AO830" i="11"/>
  <c r="AP830" i="11" s="1"/>
  <c r="P59" i="3" s="1"/>
  <c r="Y911" i="11"/>
  <c r="AO831" i="11"/>
  <c r="AP831" i="11" s="1"/>
  <c r="AO841" i="11"/>
  <c r="AP841" i="11" s="1"/>
  <c r="P70" i="3" s="1"/>
  <c r="AO829" i="11"/>
  <c r="AP829" i="11" s="1"/>
  <c r="P58" i="3" s="1"/>
  <c r="AO833" i="11"/>
  <c r="AP833" i="11" s="1"/>
  <c r="AO836" i="11"/>
  <c r="AP836" i="11" s="1"/>
  <c r="P65" i="3" s="1"/>
  <c r="AO843" i="11"/>
  <c r="AP843" i="11" s="1"/>
  <c r="P72" i="3" s="1"/>
  <c r="AO845" i="11"/>
  <c r="AP845" i="11" s="1"/>
  <c r="P74" i="3" s="1"/>
  <c r="N888" i="11"/>
  <c r="S888" i="11" s="1"/>
  <c r="N887" i="11"/>
  <c r="Y907" i="11"/>
  <c r="Y905" i="11" s="1"/>
  <c r="Y903" i="11" s="1"/>
  <c r="Y901" i="11" s="1"/>
  <c r="Y899" i="11" s="1"/>
  <c r="Y897" i="11" s="1"/>
  <c r="Y895" i="11" s="1"/>
  <c r="Y893" i="11" s="1"/>
  <c r="Y891" i="11" s="1"/>
  <c r="Y889" i="11" s="1"/>
  <c r="Y887" i="11" s="1"/>
  <c r="Y885" i="11" s="1"/>
  <c r="AQ842" i="11" l="1"/>
  <c r="AG71" i="3" s="1"/>
  <c r="Y883" i="11"/>
  <c r="K917" i="11" s="1"/>
  <c r="M917" i="11"/>
  <c r="AQ838" i="11"/>
  <c r="AQ837" i="11"/>
  <c r="AQ839" i="11"/>
  <c r="AQ835" i="11"/>
  <c r="AQ832" i="11"/>
  <c r="AQ829" i="11"/>
  <c r="AR829" i="11" s="1"/>
  <c r="R58" i="3" s="1"/>
  <c r="AQ834" i="11"/>
  <c r="AQ830" i="11"/>
  <c r="AQ840" i="11"/>
  <c r="AQ841" i="11"/>
  <c r="AQ828" i="11"/>
  <c r="AR828" i="11" s="1"/>
  <c r="R57" i="3" s="1"/>
  <c r="AQ844" i="11"/>
  <c r="AQ833" i="11"/>
  <c r="AQ836" i="11"/>
  <c r="AQ843" i="11"/>
  <c r="AQ845" i="11"/>
  <c r="AQ831" i="11"/>
  <c r="AS842" i="11" l="1"/>
  <c r="AT842" i="11" s="1"/>
  <c r="T71" i="3" s="1"/>
  <c r="AR842" i="11"/>
  <c r="AG64" i="3"/>
  <c r="AR835" i="11"/>
  <c r="R64" i="3" s="1"/>
  <c r="AG72" i="3"/>
  <c r="AR843" i="11"/>
  <c r="R72" i="3" s="1"/>
  <c r="AG68" i="3"/>
  <c r="AR839" i="11"/>
  <c r="R68" i="3" s="1"/>
  <c r="AG73" i="3"/>
  <c r="AR844" i="11"/>
  <c r="R73" i="3" s="1"/>
  <c r="AG74" i="3"/>
  <c r="AR845" i="11"/>
  <c r="R74" i="3" s="1"/>
  <c r="AG65" i="3"/>
  <c r="AR836" i="11"/>
  <c r="R65" i="3" s="1"/>
  <c r="AG70" i="3"/>
  <c r="AR841" i="11"/>
  <c r="R70" i="3" s="1"/>
  <c r="AG66" i="3"/>
  <c r="AR837" i="11"/>
  <c r="R66" i="3" s="1"/>
  <c r="AG69" i="3"/>
  <c r="AR840" i="11"/>
  <c r="R69" i="3" s="1"/>
  <c r="AG67" i="3"/>
  <c r="AR838" i="11"/>
  <c r="R67" i="3" s="1"/>
  <c r="AG63" i="3"/>
  <c r="AR834" i="11"/>
  <c r="R63" i="3" s="1"/>
  <c r="AR833" i="11"/>
  <c r="R62" i="3" s="1"/>
  <c r="AG62" i="3"/>
  <c r="AR832" i="11"/>
  <c r="R61" i="3" s="1"/>
  <c r="AG61" i="3"/>
  <c r="AR831" i="11"/>
  <c r="R60" i="3" s="1"/>
  <c r="AG60" i="3"/>
  <c r="AR830" i="11"/>
  <c r="R59" i="3" s="1"/>
  <c r="AG59" i="3"/>
  <c r="AG58" i="3"/>
  <c r="AG57" i="3"/>
  <c r="L57" i="3" s="1"/>
  <c r="AS838" i="11"/>
  <c r="AT838" i="11" s="1"/>
  <c r="T67" i="3" s="1"/>
  <c r="Y882" i="11"/>
  <c r="Y880" i="11" s="1"/>
  <c r="Y879" i="11" s="1"/>
  <c r="Y877" i="11" s="1"/>
  <c r="Y876" i="11" s="1"/>
  <c r="AS832" i="11"/>
  <c r="AT832" i="11" s="1"/>
  <c r="AS839" i="11"/>
  <c r="AT839" i="11" s="1"/>
  <c r="AS837" i="11"/>
  <c r="AT837" i="11" s="1"/>
  <c r="T66" i="3" s="1"/>
  <c r="AS829" i="11"/>
  <c r="AT829" i="11" s="1"/>
  <c r="AS841" i="11"/>
  <c r="AT841" i="11" s="1"/>
  <c r="AS840" i="11"/>
  <c r="AT840" i="11" s="1"/>
  <c r="AS830" i="11"/>
  <c r="AT830" i="11" s="1"/>
  <c r="T59" i="3" s="1"/>
  <c r="AS828" i="11"/>
  <c r="AT828" i="11" s="1"/>
  <c r="T57" i="3" s="1"/>
  <c r="AS835" i="11"/>
  <c r="AT835" i="11" s="1"/>
  <c r="AU842" i="11"/>
  <c r="AS844" i="11"/>
  <c r="AT844" i="11" s="1"/>
  <c r="T73" i="3" s="1"/>
  <c r="AS834" i="11"/>
  <c r="AT834" i="11" s="1"/>
  <c r="T63" i="3" s="1"/>
  <c r="AU838" i="11"/>
  <c r="AS833" i="11"/>
  <c r="AS836" i="11"/>
  <c r="AT836" i="11" s="1"/>
  <c r="T65" i="3" s="1"/>
  <c r="AS845" i="11"/>
  <c r="AT845" i="11" s="1"/>
  <c r="T74" i="3" s="1"/>
  <c r="AS843" i="11"/>
  <c r="AT843" i="11" s="1"/>
  <c r="T72" i="3" s="1"/>
  <c r="AS831" i="11"/>
  <c r="AT831"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5" i="11" l="1"/>
  <c r="AW845" i="11" s="1"/>
  <c r="AV841" i="11"/>
  <c r="AW841" i="11" s="1"/>
  <c r="AV839" i="11"/>
  <c r="AW839" i="11" s="1"/>
  <c r="BA839" i="11" s="1"/>
  <c r="AV835" i="11"/>
  <c r="AW835" i="11" s="1"/>
  <c r="BA835" i="11" s="1"/>
  <c r="R71" i="3"/>
  <c r="AV842" i="11"/>
  <c r="AV838" i="11"/>
  <c r="AW838" i="11" s="1"/>
  <c r="BA838" i="11" s="1"/>
  <c r="AV843" i="11"/>
  <c r="AW843" i="11" s="1"/>
  <c r="BA843" i="11" s="1"/>
  <c r="BB843" i="11" s="1"/>
  <c r="AV840" i="11"/>
  <c r="AW840" i="11" s="1"/>
  <c r="AV837" i="11"/>
  <c r="AW837" i="11" s="1"/>
  <c r="BA837" i="11" s="1"/>
  <c r="BB837" i="11" s="1"/>
  <c r="AV830" i="11"/>
  <c r="AW830" i="11" s="1"/>
  <c r="BA830" i="11" s="1"/>
  <c r="BB830" i="11" s="1"/>
  <c r="AV832" i="11"/>
  <c r="AW832" i="11" s="1"/>
  <c r="AV831" i="11"/>
  <c r="AW831" i="11" s="1"/>
  <c r="AU840" i="11"/>
  <c r="T69" i="3"/>
  <c r="AU832" i="11"/>
  <c r="T61" i="3"/>
  <c r="AU835" i="11"/>
  <c r="T64" i="3"/>
  <c r="AU829" i="11"/>
  <c r="T58" i="3"/>
  <c r="AU841" i="11"/>
  <c r="T70" i="3"/>
  <c r="AU839" i="11"/>
  <c r="T68" i="3"/>
  <c r="AU837" i="11"/>
  <c r="AH74" i="3"/>
  <c r="AH72" i="3"/>
  <c r="BA841" i="11"/>
  <c r="AH70" i="3"/>
  <c r="BA840" i="11"/>
  <c r="AV829" i="11"/>
  <c r="AW829" i="11" s="1"/>
  <c r="AH57" i="4"/>
  <c r="U612" i="11"/>
  <c r="AX838" i="11"/>
  <c r="AY838" i="11" s="1"/>
  <c r="AZ838" i="11" s="1"/>
  <c r="AU828" i="11"/>
  <c r="AV828" i="11" s="1"/>
  <c r="AW828" i="11" s="1"/>
  <c r="AU830" i="11"/>
  <c r="AX840" i="11"/>
  <c r="AY840" i="11" s="1"/>
  <c r="AZ840" i="11" s="1"/>
  <c r="AX841" i="11"/>
  <c r="AY841" i="11" s="1"/>
  <c r="AZ841" i="11" s="1"/>
  <c r="AU845" i="11"/>
  <c r="AV844" i="11"/>
  <c r="AU831" i="11"/>
  <c r="AU834" i="11"/>
  <c r="AU843" i="11"/>
  <c r="AU844" i="11"/>
  <c r="AU836" i="11"/>
  <c r="AV836" i="11"/>
  <c r="AW836" i="11" s="1"/>
  <c r="AV834" i="11"/>
  <c r="AT833" i="11"/>
  <c r="T62" i="3" s="1"/>
  <c r="BA845" i="11"/>
  <c r="BB845" i="11" s="1"/>
  <c r="AX845" i="11"/>
  <c r="AY845" i="11" s="1"/>
  <c r="AZ845" i="11" s="1"/>
  <c r="Y874" i="11"/>
  <c r="Y873" i="11" s="1"/>
  <c r="Y871" i="11" s="1"/>
  <c r="Y870" i="11" s="1"/>
  <c r="Y868" i="11" s="1"/>
  <c r="AX835" i="11" l="1"/>
  <c r="AY835" i="11" s="1"/>
  <c r="AZ835" i="11" s="1"/>
  <c r="AX839" i="11"/>
  <c r="AY839" i="11" s="1"/>
  <c r="AZ839" i="11" s="1"/>
  <c r="AX843" i="11"/>
  <c r="AY843" i="11" s="1"/>
  <c r="AZ843" i="11" s="1"/>
  <c r="AH64" i="3"/>
  <c r="AH68" i="3"/>
  <c r="AW842" i="11"/>
  <c r="BA842" i="11" s="1"/>
  <c r="AH71" i="3"/>
  <c r="AX842" i="11"/>
  <c r="AY842" i="11" s="1"/>
  <c r="AZ842" i="11" s="1"/>
  <c r="AH67" i="3"/>
  <c r="AX837" i="11"/>
  <c r="AY837" i="11" s="1"/>
  <c r="AZ837" i="11" s="1"/>
  <c r="AH66" i="3"/>
  <c r="AH69" i="3"/>
  <c r="AX830" i="11"/>
  <c r="AY830" i="11" s="1"/>
  <c r="AZ830" i="11" s="1"/>
  <c r="AH59" i="3"/>
  <c r="AX832" i="11"/>
  <c r="AY832" i="11" s="1"/>
  <c r="AZ832" i="11" s="1"/>
  <c r="AH61" i="3"/>
  <c r="AX831" i="11"/>
  <c r="AY831" i="11" s="1"/>
  <c r="AZ831" i="11" s="1"/>
  <c r="AH60" i="3"/>
  <c r="BC837" i="11"/>
  <c r="BD837" i="11" s="1"/>
  <c r="BE837" i="11" s="1"/>
  <c r="BC838" i="11"/>
  <c r="BD838" i="11" s="1"/>
  <c r="BE838" i="11" s="1"/>
  <c r="BB838" i="11"/>
  <c r="BF838" i="11" s="1"/>
  <c r="BG838" i="11" s="1"/>
  <c r="AH73" i="3"/>
  <c r="AW844" i="11"/>
  <c r="BA844" i="11" s="1"/>
  <c r="BC841" i="11"/>
  <c r="BD841" i="11" s="1"/>
  <c r="BE841" i="11" s="1"/>
  <c r="BB841" i="11"/>
  <c r="BF841" i="11" s="1"/>
  <c r="BC840" i="11"/>
  <c r="BD840" i="11" s="1"/>
  <c r="BE840" i="11" s="1"/>
  <c r="BB840" i="11"/>
  <c r="BF840" i="11" s="1"/>
  <c r="BC835" i="11"/>
  <c r="BD835" i="11" s="1"/>
  <c r="BE835" i="11" s="1"/>
  <c r="BB835" i="11"/>
  <c r="BF835" i="11" s="1"/>
  <c r="BC839" i="11"/>
  <c r="BD839" i="11" s="1"/>
  <c r="BE839" i="11" s="1"/>
  <c r="BB839" i="11"/>
  <c r="BF839" i="11" s="1"/>
  <c r="BG839" i="11" s="1"/>
  <c r="AH63" i="3"/>
  <c r="AW834" i="11"/>
  <c r="BA834" i="11" s="1"/>
  <c r="AX829" i="11"/>
  <c r="AY829" i="11" s="1"/>
  <c r="AZ829" i="11" s="1"/>
  <c r="BF837" i="11"/>
  <c r="BG837" i="11" s="1"/>
  <c r="AI66" i="3"/>
  <c r="BF830" i="11"/>
  <c r="BG830" i="11" s="1"/>
  <c r="AI59" i="3"/>
  <c r="AI67" i="3"/>
  <c r="BC830" i="11"/>
  <c r="BD830" i="11" s="1"/>
  <c r="BE830" i="11" s="1"/>
  <c r="AX836" i="11"/>
  <c r="AY836" i="11" s="1"/>
  <c r="AZ836" i="11" s="1"/>
  <c r="AH65" i="3"/>
  <c r="BF843" i="11"/>
  <c r="BG843" i="11" s="1"/>
  <c r="AI72" i="3"/>
  <c r="AI70" i="3"/>
  <c r="AI74" i="3"/>
  <c r="AI69" i="3"/>
  <c r="AI64" i="3"/>
  <c r="AI68" i="3"/>
  <c r="BA829" i="11"/>
  <c r="AH58" i="3"/>
  <c r="AH57" i="3"/>
  <c r="AX828" i="11"/>
  <c r="AY828" i="11" s="1"/>
  <c r="AZ828" i="11" s="1"/>
  <c r="BA828" i="11" s="1"/>
  <c r="BA836" i="11"/>
  <c r="BB836" i="11" s="1"/>
  <c r="AU833" i="11"/>
  <c r="AX834" i="11"/>
  <c r="AY834" i="11" s="1"/>
  <c r="AZ834" i="11" s="1"/>
  <c r="AX844" i="11"/>
  <c r="AY844" i="11" s="1"/>
  <c r="AZ844" i="11" s="1"/>
  <c r="AV833" i="11"/>
  <c r="BC843" i="11"/>
  <c r="BD843" i="11" s="1"/>
  <c r="BE843" i="11" s="1"/>
  <c r="BF845" i="11"/>
  <c r="BG845" i="11" s="1"/>
  <c r="BC845" i="11"/>
  <c r="BD845" i="11" s="1"/>
  <c r="BE845" i="11" s="1"/>
  <c r="Y867" i="11"/>
  <c r="Y865" i="11" s="1"/>
  <c r="Y864" i="11" s="1"/>
  <c r="Y862" i="11" s="1"/>
  <c r="BB842" i="11" l="1"/>
  <c r="BF842" i="11" s="1"/>
  <c r="AI71" i="3"/>
  <c r="BC842" i="11"/>
  <c r="BD842" i="11" s="1"/>
  <c r="BE842" i="11" s="1"/>
  <c r="BA832" i="11"/>
  <c r="BA831" i="11"/>
  <c r="BH837" i="11"/>
  <c r="BI837" i="11" s="1"/>
  <c r="BJ837" i="11" s="1"/>
  <c r="BH838" i="11"/>
  <c r="BI838" i="11" s="1"/>
  <c r="BJ838" i="11" s="1"/>
  <c r="AI73" i="3"/>
  <c r="BB844" i="11"/>
  <c r="BF844" i="11" s="1"/>
  <c r="BH840" i="11"/>
  <c r="BI840" i="11" s="1"/>
  <c r="BJ840" i="11" s="1"/>
  <c r="BG840" i="11"/>
  <c r="BK840" i="11" s="1"/>
  <c r="AI63" i="3"/>
  <c r="BB834" i="11"/>
  <c r="BF834" i="11" s="1"/>
  <c r="BH835" i="11"/>
  <c r="BI835" i="11" s="1"/>
  <c r="BJ835" i="11" s="1"/>
  <c r="BG835" i="11"/>
  <c r="BK835" i="11" s="1"/>
  <c r="BH841" i="11"/>
  <c r="BI841" i="11" s="1"/>
  <c r="BJ841" i="11" s="1"/>
  <c r="BG841" i="11"/>
  <c r="BH830" i="11"/>
  <c r="BI830" i="11" s="1"/>
  <c r="BJ830" i="11" s="1"/>
  <c r="AH62" i="3"/>
  <c r="AW833" i="11"/>
  <c r="BC829" i="11"/>
  <c r="BD829" i="11" s="1"/>
  <c r="BE829" i="11" s="1"/>
  <c r="BB829" i="11"/>
  <c r="BF829" i="11" s="1"/>
  <c r="BG829" i="11" s="1"/>
  <c r="AI57" i="3"/>
  <c r="P57" i="3" s="1"/>
  <c r="BB828" i="11"/>
  <c r="AJ72" i="3"/>
  <c r="BK839" i="11"/>
  <c r="AJ68" i="3"/>
  <c r="BK838" i="11"/>
  <c r="AJ67" i="3"/>
  <c r="BK837" i="11"/>
  <c r="AJ66" i="3"/>
  <c r="BK841" i="11"/>
  <c r="AJ70" i="3"/>
  <c r="AJ64" i="3"/>
  <c r="AJ69" i="3"/>
  <c r="BH839" i="11"/>
  <c r="BI839" i="11" s="1"/>
  <c r="BJ839" i="11" s="1"/>
  <c r="BK845" i="11"/>
  <c r="AJ74" i="3"/>
  <c r="BF836" i="11"/>
  <c r="BG836" i="11" s="1"/>
  <c r="AI65" i="3"/>
  <c r="BK830" i="11"/>
  <c r="AJ59" i="3"/>
  <c r="AI58" i="3"/>
  <c r="BC836" i="11"/>
  <c r="BD836" i="11" s="1"/>
  <c r="BE836" i="11" s="1"/>
  <c r="BC834" i="11"/>
  <c r="BD834" i="11" s="1"/>
  <c r="BE834" i="11" s="1"/>
  <c r="BC844" i="11"/>
  <c r="BD844" i="11" s="1"/>
  <c r="BE844" i="11" s="1"/>
  <c r="AX833" i="11"/>
  <c r="AY833" i="11" s="1"/>
  <c r="AZ833" i="11" s="1"/>
  <c r="BC828" i="11"/>
  <c r="BD828" i="11" s="1"/>
  <c r="BE828" i="11" s="1"/>
  <c r="BH845" i="11"/>
  <c r="BI845" i="11" s="1"/>
  <c r="BJ845" i="11" s="1"/>
  <c r="BK843" i="11"/>
  <c r="BH843" i="11"/>
  <c r="BI843" i="11" s="1"/>
  <c r="BJ843" i="11" s="1"/>
  <c r="H917" i="11"/>
  <c r="Y861" i="11"/>
  <c r="BF34" i="4"/>
  <c r="BE34" i="4"/>
  <c r="BD34" i="4"/>
  <c r="BC34" i="4"/>
  <c r="BG842" i="11" l="1"/>
  <c r="BK842" i="11" s="1"/>
  <c r="AJ71" i="3"/>
  <c r="BH842" i="11"/>
  <c r="BI842" i="11" s="1"/>
  <c r="BJ842" i="11" s="1"/>
  <c r="BA833" i="11"/>
  <c r="AI62" i="3" s="1"/>
  <c r="P62" i="3" s="1"/>
  <c r="AI61" i="3"/>
  <c r="P61" i="3" s="1"/>
  <c r="BB832" i="11"/>
  <c r="BF832" i="11" s="1"/>
  <c r="BC832" i="11"/>
  <c r="BD832" i="11" s="1"/>
  <c r="BE832" i="11" s="1"/>
  <c r="BB831" i="11"/>
  <c r="BF831" i="11" s="1"/>
  <c r="BC831" i="11"/>
  <c r="BD831" i="11" s="1"/>
  <c r="BE831" i="11" s="1"/>
  <c r="AI60" i="3"/>
  <c r="P60" i="3" s="1"/>
  <c r="AJ63" i="3"/>
  <c r="BG834" i="11"/>
  <c r="BK834" i="11" s="1"/>
  <c r="AJ73" i="3"/>
  <c r="BG844" i="11"/>
  <c r="BK844" i="11" s="1"/>
  <c r="BK836" i="11"/>
  <c r="AJ65" i="3"/>
  <c r="BH836" i="11"/>
  <c r="BI836" i="11" s="1"/>
  <c r="BJ836" i="11" s="1"/>
  <c r="BL840" i="11"/>
  <c r="AL69" i="3" s="1"/>
  <c r="AK69" i="3"/>
  <c r="BL837" i="11"/>
  <c r="AL66" i="3" s="1"/>
  <c r="AK66" i="3"/>
  <c r="BL839" i="11"/>
  <c r="AL68" i="3" s="1"/>
  <c r="AK68" i="3"/>
  <c r="BL843" i="11"/>
  <c r="AL72" i="3" s="1"/>
  <c r="AK72" i="3"/>
  <c r="BL845" i="11"/>
  <c r="AL74" i="3" s="1"/>
  <c r="AK74" i="3"/>
  <c r="BL830" i="11"/>
  <c r="AL59" i="3" s="1"/>
  <c r="AK59" i="3"/>
  <c r="BL835" i="11"/>
  <c r="AL64" i="3" s="1"/>
  <c r="AK64" i="3"/>
  <c r="BL841" i="11"/>
  <c r="AL70" i="3" s="1"/>
  <c r="AK70" i="3"/>
  <c r="BL838" i="11"/>
  <c r="AL67" i="3" s="1"/>
  <c r="AK67" i="3"/>
  <c r="BK829" i="11"/>
  <c r="AJ58" i="3"/>
  <c r="BH829" i="11"/>
  <c r="BI829" i="11" s="1"/>
  <c r="BJ829" i="11" s="1"/>
  <c r="BH844" i="11"/>
  <c r="BI844" i="11" s="1"/>
  <c r="BJ844" i="11" s="1"/>
  <c r="BH834" i="11"/>
  <c r="BI834" i="11" s="1"/>
  <c r="BJ834" i="11" s="1"/>
  <c r="BF828" i="11"/>
  <c r="BG828" i="11" s="1"/>
  <c r="Y859" i="11"/>
  <c r="Y858" i="11" s="1"/>
  <c r="Y856" i="11" s="1"/>
  <c r="Y855" i="11" s="1"/>
  <c r="BB833" i="11" l="1"/>
  <c r="BF833" i="11" s="1"/>
  <c r="AJ62" i="3" s="1"/>
  <c r="BC833" i="11"/>
  <c r="BD833" i="11" s="1"/>
  <c r="BE833" i="11" s="1"/>
  <c r="AK71" i="3"/>
  <c r="BL842" i="11"/>
  <c r="AL71" i="3" s="1"/>
  <c r="BH832" i="11"/>
  <c r="BI832" i="11" s="1"/>
  <c r="BJ832" i="11" s="1"/>
  <c r="BG832" i="11"/>
  <c r="BK832" i="11" s="1"/>
  <c r="AJ61" i="3"/>
  <c r="BG831" i="11"/>
  <c r="BK831" i="11" s="1"/>
  <c r="BH831" i="11"/>
  <c r="BI831" i="11" s="1"/>
  <c r="BJ831" i="11" s="1"/>
  <c r="AJ60" i="3"/>
  <c r="BG833" i="11"/>
  <c r="BK833" i="11" s="1"/>
  <c r="BL834" i="11"/>
  <c r="AL63" i="3" s="1"/>
  <c r="AK63" i="3"/>
  <c r="BL844" i="11"/>
  <c r="AL73" i="3" s="1"/>
  <c r="AK73" i="3"/>
  <c r="BL836" i="11"/>
  <c r="AL65" i="3" s="1"/>
  <c r="AK65" i="3"/>
  <c r="BL829" i="11"/>
  <c r="AL58" i="3" s="1"/>
  <c r="AK58" i="3"/>
  <c r="AJ57" i="3"/>
  <c r="Y853" i="11"/>
  <c r="Y852" i="11" s="1"/>
  <c r="Y850" i="11" s="1"/>
  <c r="Y849" i="11" s="1"/>
  <c r="Y847" i="11" s="1"/>
  <c r="Y846" i="11" s="1"/>
  <c r="Y843" i="11" s="1"/>
  <c r="Y841" i="11" s="1"/>
  <c r="L917" i="11"/>
  <c r="BH828" i="11"/>
  <c r="BI828" i="11" s="1"/>
  <c r="BJ828" i="11" s="1"/>
  <c r="BH833" i="11"/>
  <c r="BI833" i="11" s="1"/>
  <c r="BJ833" i="11" s="1"/>
  <c r="BL832" i="11" l="1"/>
  <c r="AL61" i="3" s="1"/>
  <c r="AK61" i="3"/>
  <c r="BL831" i="11"/>
  <c r="AL60" i="3" s="1"/>
  <c r="AK60" i="3"/>
  <c r="BK828" i="11"/>
  <c r="BL828" i="11" s="1"/>
  <c r="AL57" i="3" s="1"/>
  <c r="BL833" i="11"/>
  <c r="AL62" i="3" s="1"/>
  <c r="AK62" i="3"/>
  <c r="Y840" i="11"/>
  <c r="Y838" i="11" s="1"/>
  <c r="Y837" i="11" s="1"/>
  <c r="J917" i="11"/>
  <c r="O57" i="4"/>
  <c r="D57" i="4"/>
  <c r="O48" i="4"/>
  <c r="D48" i="4"/>
  <c r="D27" i="4"/>
  <c r="AK57" i="3" l="1"/>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X46" i="4" l="1"/>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1"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0" i="11"/>
  <c r="E1921" i="11"/>
  <c r="E1922" i="11"/>
  <c r="E1923" i="11"/>
  <c r="E1924" i="11"/>
  <c r="E1925" i="11"/>
  <c r="E1926" i="11"/>
  <c r="E1927" i="11"/>
  <c r="E1928" i="11"/>
  <c r="E1929" i="11"/>
  <c r="E1930" i="11"/>
  <c r="E1931" i="11"/>
  <c r="G1931" i="11" s="1"/>
  <c r="E1932" i="11"/>
  <c r="L1932" i="11" s="1"/>
  <c r="E1933" i="11"/>
  <c r="J1933" i="11" s="1"/>
  <c r="R1933" i="11" s="1"/>
  <c r="E1934" i="11"/>
  <c r="I46" i="9" l="1"/>
  <c r="Y127" i="11"/>
  <c r="T127" i="11"/>
  <c r="X127" i="11"/>
  <c r="N127" i="11"/>
  <c r="AC127" i="11"/>
  <c r="O127" i="11"/>
  <c r="U127" i="11"/>
  <c r="V127" i="11"/>
  <c r="Q127" i="11"/>
  <c r="S127" i="11"/>
  <c r="I1933" i="11"/>
  <c r="L1931" i="11"/>
  <c r="G1933" i="11"/>
  <c r="I1932" i="11"/>
  <c r="J1931" i="11"/>
  <c r="R1931" i="11" s="1"/>
  <c r="G1932" i="11"/>
  <c r="I1931" i="11"/>
  <c r="L1933" i="11"/>
  <c r="J1932" i="11"/>
  <c r="R1932"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20" i="11" l="1"/>
  <c r="L1921" i="11"/>
  <c r="J1922" i="11"/>
  <c r="R1922" i="11" s="1"/>
  <c r="I1923" i="11"/>
  <c r="G1924" i="11"/>
  <c r="L1925" i="11"/>
  <c r="J1926" i="11"/>
  <c r="R1926" i="11" s="1"/>
  <c r="I1927" i="11"/>
  <c r="G1928" i="11"/>
  <c r="L1929" i="11"/>
  <c r="J1930" i="11"/>
  <c r="R1930" i="11" s="1"/>
  <c r="L1934" i="11"/>
  <c r="G1926" i="11" l="1"/>
  <c r="G1923" i="11"/>
  <c r="I1926" i="11"/>
  <c r="J1929" i="11"/>
  <c r="R1929" i="11" s="1"/>
  <c r="I1929" i="11"/>
  <c r="G1930" i="11"/>
  <c r="G1922" i="11"/>
  <c r="I1925" i="11"/>
  <c r="J1925" i="11"/>
  <c r="R1925" i="11" s="1"/>
  <c r="I1921" i="11"/>
  <c r="G1927" i="11"/>
  <c r="I1930" i="11"/>
  <c r="I1922" i="11"/>
  <c r="J1921" i="11"/>
  <c r="R1921" i="11" s="1"/>
  <c r="L1928" i="11"/>
  <c r="L1920" i="11"/>
  <c r="J1924" i="11"/>
  <c r="R1924" i="11" s="1"/>
  <c r="L1927" i="11"/>
  <c r="G1929" i="11"/>
  <c r="G1925" i="11"/>
  <c r="G1921" i="11"/>
  <c r="I1928" i="11"/>
  <c r="I1924" i="11"/>
  <c r="I1920" i="11"/>
  <c r="J1927" i="11"/>
  <c r="R1927" i="11" s="1"/>
  <c r="J1923" i="11"/>
  <c r="R1923" i="11" s="1"/>
  <c r="L1930" i="11"/>
  <c r="L1926" i="11"/>
  <c r="L1922" i="11"/>
  <c r="L1924" i="11"/>
  <c r="J1928" i="11"/>
  <c r="R1928" i="11" s="1"/>
  <c r="J1920" i="11"/>
  <c r="R1920" i="11" s="1"/>
  <c r="L1923" i="11"/>
  <c r="G1934" i="11"/>
  <c r="I1934" i="11"/>
  <c r="J1934" i="11"/>
  <c r="R1934"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1" i="11" s="1"/>
  <c r="AG55" i="3"/>
  <c r="AG54" i="3"/>
  <c r="H2037" i="11"/>
  <c r="I2037" i="11" s="1"/>
  <c r="V53" i="3"/>
  <c r="AH26" i="4" s="1"/>
  <c r="AG51" i="3"/>
  <c r="AG53" i="3"/>
  <c r="AG49" i="3"/>
  <c r="AG47" i="3"/>
  <c r="AG52" i="3"/>
  <c r="AG48" i="3"/>
  <c r="H2036" i="11"/>
  <c r="V52" i="3"/>
  <c r="AH25" i="4" s="1"/>
  <c r="H2035" i="11"/>
  <c r="V55" i="3"/>
  <c r="AH28" i="4" s="1"/>
  <c r="V51" i="3"/>
  <c r="AH24" i="4" s="1"/>
  <c r="H2038" i="11"/>
  <c r="H2034" i="11"/>
  <c r="V54" i="3"/>
  <c r="AH27" i="4" s="1"/>
  <c r="V47" i="3"/>
  <c r="AH20" i="4" s="1"/>
  <c r="V49" i="3"/>
  <c r="AH22" i="4" s="1"/>
  <c r="H2032" i="11"/>
  <c r="I2032" i="11" s="1"/>
  <c r="V48" i="3"/>
  <c r="AH21" i="4" s="1"/>
  <c r="D2037" i="11" l="1"/>
  <c r="E2037" i="11" s="1"/>
  <c r="I2031" i="11"/>
  <c r="D2031" i="11"/>
  <c r="I2034" i="11"/>
  <c r="D2034" i="11"/>
  <c r="I2035" i="11"/>
  <c r="D2035" i="11"/>
  <c r="I2038" i="11"/>
  <c r="D2038" i="11"/>
  <c r="I2036" i="11"/>
  <c r="D2036" i="11"/>
  <c r="D2032" i="11"/>
  <c r="E2038" i="11" l="1"/>
  <c r="E2034" i="11"/>
  <c r="E2036" i="11"/>
  <c r="E2035" i="11"/>
  <c r="H22" i="6"/>
  <c r="I22" i="6" s="1"/>
  <c r="H23" i="6"/>
  <c r="I23" i="6" s="1"/>
  <c r="H24" i="6"/>
  <c r="I24" i="6" s="1"/>
  <c r="H25" i="6"/>
  <c r="I25" i="6" s="1"/>
  <c r="J1065"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7" i="11" l="1"/>
  <c r="X21" i="11"/>
  <c r="J61" i="6" s="1"/>
  <c r="E1422" i="11"/>
  <c r="E1421" i="11"/>
  <c r="E1420" i="11"/>
  <c r="E1419" i="11"/>
  <c r="AF23" i="18"/>
  <c r="W58" i="11" l="1"/>
  <c r="P63" i="5" l="1"/>
  <c r="G13" i="23" l="1"/>
  <c r="BA3" i="6" l="1"/>
  <c r="J1066" i="11"/>
  <c r="J1067" i="11"/>
  <c r="J1068" i="11"/>
  <c r="J1069" i="11"/>
  <c r="J1070" i="11"/>
  <c r="J1071" i="11"/>
  <c r="J1072" i="11"/>
  <c r="J1073" i="11"/>
  <c r="J1074" i="11"/>
  <c r="L1074" i="11" s="1"/>
  <c r="J1075" i="11"/>
  <c r="K1301" i="11" a="1"/>
  <c r="K1304" i="11" s="1"/>
  <c r="K1305" i="11" l="1"/>
  <c r="K1309" i="11"/>
  <c r="K1301" i="11"/>
  <c r="K1306" i="11"/>
  <c r="K1310" i="11"/>
  <c r="K1302" i="11"/>
  <c r="K1311" i="11"/>
  <c r="K1307" i="11"/>
  <c r="K1303" i="11"/>
  <c r="K1308" i="11"/>
  <c r="V16" i="2"/>
  <c r="P122" i="11" l="1"/>
  <c r="P1999" i="11"/>
  <c r="P1998" i="11"/>
  <c r="P1997" i="11"/>
  <c r="P1996" i="11"/>
  <c r="P1995" i="11"/>
  <c r="S1995" i="11"/>
  <c r="S1996" i="11"/>
  <c r="S1997" i="11"/>
  <c r="S1998" i="11"/>
  <c r="S1999"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1944" i="11"/>
  <c r="AC1981" i="11" l="1"/>
  <c r="AC1945" i="11"/>
  <c r="AC1997" i="11"/>
  <c r="AC1965" i="11"/>
  <c r="AC1946" i="11"/>
  <c r="AC1993" i="11"/>
  <c r="AC1977" i="11"/>
  <c r="AC1961" i="11"/>
  <c r="AC1949" i="11"/>
  <c r="AC1944" i="11"/>
  <c r="AC1989" i="11"/>
  <c r="AC1973" i="11"/>
  <c r="AC1957" i="11"/>
  <c r="AC1985" i="11"/>
  <c r="AC1969" i="11"/>
  <c r="AC1953" i="11"/>
  <c r="W122" i="11"/>
  <c r="X122" i="11"/>
  <c r="AN15" i="9"/>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AC1947" i="11"/>
  <c r="AC1998" i="11"/>
  <c r="AC1994" i="11"/>
  <c r="AC1990" i="11"/>
  <c r="AC1986" i="11"/>
  <c r="AC1982" i="11"/>
  <c r="AC1978" i="11"/>
  <c r="AC1974" i="11"/>
  <c r="AC1970" i="11"/>
  <c r="AC1966" i="11"/>
  <c r="AC1962" i="11"/>
  <c r="AC1958" i="11"/>
  <c r="AC1954" i="11"/>
  <c r="AC1950"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7" i="11"/>
  <c r="W1068" i="11" s="1"/>
  <c r="W1069" i="11" s="1"/>
  <c r="W1070" i="11" s="1"/>
  <c r="W1071" i="11" s="1"/>
  <c r="W1072" i="11" s="1"/>
  <c r="W1073" i="11" s="1"/>
  <c r="W1074" i="11" s="1"/>
  <c r="W1075" i="11" s="1"/>
  <c r="AL12" i="6"/>
  <c r="U1067" i="11"/>
  <c r="U1068" i="11" s="1"/>
  <c r="U1069" i="11" s="1"/>
  <c r="U1070" i="11" s="1"/>
  <c r="U1071" i="11" s="1"/>
  <c r="U1072" i="11" s="1"/>
  <c r="U1073" i="11" s="1"/>
  <c r="U1074" i="11" s="1"/>
  <c r="U1075" i="11" s="1"/>
  <c r="V1069" i="11"/>
  <c r="V1071" i="11" s="1"/>
  <c r="V1073" i="11" s="1"/>
  <c r="V1075" i="11" s="1"/>
  <c r="V1077" i="11" s="1"/>
  <c r="V1079" i="11" s="1"/>
  <c r="V1081" i="11" s="1"/>
  <c r="V1083" i="11" s="1"/>
  <c r="V1085" i="11" s="1"/>
  <c r="V1068" i="11"/>
  <c r="V1070" i="11" s="1"/>
  <c r="V1072" i="11" s="1"/>
  <c r="V1074" i="11" s="1"/>
  <c r="V1076" i="11" s="1"/>
  <c r="V1078" i="11" s="1"/>
  <c r="V1080" i="11" s="1"/>
  <c r="V1082" i="11" s="1"/>
  <c r="V1084"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7" i="11"/>
  <c r="AI42" i="2" s="1"/>
  <c r="O1718" i="11"/>
  <c r="O1719" i="11"/>
  <c r="O1720" i="11"/>
  <c r="O1721" i="11"/>
  <c r="O1722" i="11"/>
  <c r="O1723" i="11"/>
  <c r="O1724" i="11"/>
  <c r="O1725" i="11"/>
  <c r="O1726" i="11"/>
  <c r="AA110" i="3"/>
  <c r="Z110" i="3"/>
  <c r="Y110" i="3"/>
  <c r="X110" i="3"/>
  <c r="W110" i="3"/>
  <c r="AA100" i="3"/>
  <c r="Z100" i="3"/>
  <c r="Y100" i="3"/>
  <c r="X100" i="3"/>
  <c r="W100" i="3"/>
  <c r="AA99" i="3"/>
  <c r="Z99" i="3"/>
  <c r="Y99" i="3"/>
  <c r="X99" i="3"/>
  <c r="W99" i="3"/>
  <c r="L110" i="3"/>
  <c r="Q718" i="11"/>
  <c r="Q717" i="11"/>
  <c r="Q716" i="11"/>
  <c r="W18" i="18" l="1"/>
  <c r="W14" i="18"/>
  <c r="W16" i="18"/>
  <c r="Y1363"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5"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5" i="11"/>
  <c r="AB1235" i="11"/>
  <c r="AA1235" i="11"/>
  <c r="Z1235"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6" i="11"/>
  <c r="AF1950" i="11"/>
  <c r="AF1951" i="11"/>
  <c r="AF1952" i="11"/>
  <c r="AF1953" i="11"/>
  <c r="AF1954" i="11"/>
  <c r="AF1955" i="11"/>
  <c r="AF1956" i="11"/>
  <c r="AF1957" i="11"/>
  <c r="AF1960" i="11"/>
  <c r="AF1961" i="11"/>
  <c r="AF1962" i="11"/>
  <c r="AF1963" i="11"/>
  <c r="AF1964" i="11"/>
  <c r="AF1965" i="11"/>
  <c r="AF1966" i="11"/>
  <c r="AF1967" i="11"/>
  <c r="AF1968" i="11"/>
  <c r="AF1969" i="11"/>
  <c r="AF1970" i="11"/>
  <c r="AF1971" i="11"/>
  <c r="AF1972" i="11"/>
  <c r="AF1973" i="11"/>
  <c r="AF1975" i="11"/>
  <c r="AF1976" i="11"/>
  <c r="AF1977" i="11"/>
  <c r="AF1979" i="11"/>
  <c r="AF1981" i="11"/>
  <c r="AF1982" i="11"/>
  <c r="AF1983" i="11"/>
  <c r="AF1985" i="11"/>
  <c r="AF1986" i="11"/>
  <c r="AF1987" i="11"/>
  <c r="AF1988" i="11"/>
  <c r="AF1989" i="11"/>
  <c r="AF1990" i="11"/>
  <c r="AF1991" i="11"/>
  <c r="AF1992" i="11"/>
  <c r="AF1993" i="11"/>
  <c r="AF1994" i="11"/>
  <c r="AF1995" i="11"/>
  <c r="AF1996" i="11"/>
  <c r="AF1997" i="11"/>
  <c r="AF1998" i="11"/>
  <c r="AF1999"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5" i="11" s="1"/>
  <c r="H62" i="5"/>
  <c r="H61" i="5"/>
  <c r="P64" i="5"/>
  <c r="AJ50" i="11" s="1"/>
  <c r="C2016" i="11" s="1"/>
  <c r="AB33" i="4"/>
  <c r="AF33" i="4" s="1"/>
  <c r="AB31" i="4"/>
  <c r="AF31" i="4" s="1"/>
  <c r="K1101"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4" i="11" s="1"/>
  <c r="AM22" i="2"/>
  <c r="AM23" i="2"/>
  <c r="F1904" i="11"/>
  <c r="F1880" i="11"/>
  <c r="F1866" i="11"/>
  <c r="F1854" i="11"/>
  <c r="F1841" i="11"/>
  <c r="F1829" i="11"/>
  <c r="F1815" i="11"/>
  <c r="F1802" i="11"/>
  <c r="F1789" i="11"/>
  <c r="F1775" i="11"/>
  <c r="F1761" i="11"/>
  <c r="F1748" i="11"/>
  <c r="F1735" i="11"/>
  <c r="F1892"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8"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5" i="11"/>
  <c r="Y1329" i="11"/>
  <c r="Y1333" i="11"/>
  <c r="Y1337" i="11"/>
  <c r="Y1340" i="11"/>
  <c r="Y1345" i="11"/>
  <c r="Y1346" i="11"/>
  <c r="Y1349" i="11"/>
  <c r="Y1354" i="11"/>
  <c r="Y1358" i="11"/>
  <c r="Y1362" i="11"/>
  <c r="Y1366" i="11"/>
  <c r="Y1370" i="11"/>
  <c r="Y1374" i="11"/>
  <c r="Y1378" i="11"/>
  <c r="Y1382" i="11"/>
  <c r="Y1386" i="11"/>
  <c r="Y1387" i="11"/>
  <c r="Y1390" i="11"/>
  <c r="AK20" i="2"/>
  <c r="AK21" i="2"/>
  <c r="AK22" i="2"/>
  <c r="AK23" i="2"/>
  <c r="Y1320" i="11"/>
  <c r="Y1240" i="11"/>
  <c r="Y1341" i="11"/>
  <c r="Y1364" i="11"/>
  <c r="Y1322" i="11"/>
  <c r="Y1323" i="11"/>
  <c r="Y1324" i="11"/>
  <c r="Y1326" i="11"/>
  <c r="Y1327" i="11"/>
  <c r="Y1328" i="11"/>
  <c r="Y1330" i="11"/>
  <c r="Y1331" i="11"/>
  <c r="Y1332" i="11"/>
  <c r="Y1334" i="11"/>
  <c r="Y1335" i="11"/>
  <c r="Y1336" i="11"/>
  <c r="Y1338" i="11"/>
  <c r="Y1344" i="11"/>
  <c r="Y1347" i="11"/>
  <c r="Y1348" i="11"/>
  <c r="Y1353" i="11"/>
  <c r="Y1355" i="11"/>
  <c r="Y1356" i="11"/>
  <c r="Y1357" i="11"/>
  <c r="Y1359" i="11"/>
  <c r="Y1360" i="11"/>
  <c r="Y1361" i="11"/>
  <c r="Y1310" i="11"/>
  <c r="Y1311" i="11"/>
  <c r="Y1312" i="11"/>
  <c r="Y1313" i="11"/>
  <c r="Y1314" i="11"/>
  <c r="Y1315" i="11"/>
  <c r="Y1316" i="11"/>
  <c r="Y1317" i="11"/>
  <c r="Y1318" i="11"/>
  <c r="Y1319" i="11"/>
  <c r="Y1365" i="11"/>
  <c r="Y1367" i="11"/>
  <c r="Y1368" i="11"/>
  <c r="Y1369" i="11"/>
  <c r="Y1371" i="11"/>
  <c r="Y1372" i="11"/>
  <c r="Y1373" i="11"/>
  <c r="Y1375" i="11"/>
  <c r="Y1376" i="11"/>
  <c r="Y1377" i="11"/>
  <c r="Y1379" i="11"/>
  <c r="Y1380" i="11"/>
  <c r="Y1381" i="11"/>
  <c r="Y1383" i="11"/>
  <c r="Y1384" i="11"/>
  <c r="Y1385" i="11"/>
  <c r="Y1388" i="11"/>
  <c r="Y1389" i="11"/>
  <c r="Y1223" i="11"/>
  <c r="Y1248" i="11"/>
  <c r="Y1251" i="11"/>
  <c r="Y1253" i="11"/>
  <c r="Y1260" i="11"/>
  <c r="Y1263" i="11"/>
  <c r="Y1265" i="11"/>
  <c r="Y1274" i="11"/>
  <c r="Y1276" i="11"/>
  <c r="Y1282" i="11"/>
  <c r="Y1284" i="11"/>
  <c r="Y1290" i="11"/>
  <c r="Y1291" i="11"/>
  <c r="Y1292" i="11"/>
  <c r="Y1293" i="11"/>
  <c r="Y1296" i="11"/>
  <c r="Y1269" i="11"/>
  <c r="Y1270" i="11"/>
  <c r="Y1273" i="11"/>
  <c r="X1277" i="11"/>
  <c r="Y1277" i="11"/>
  <c r="Y1225" i="11"/>
  <c r="Y1230" i="11"/>
  <c r="Y1233" i="11"/>
  <c r="AK43" i="2" s="1"/>
  <c r="Y1234" i="11"/>
  <c r="Y1235" i="11"/>
  <c r="Y1236" i="11"/>
  <c r="Y1237" i="11"/>
  <c r="Y1239" i="11"/>
  <c r="Y1241" i="11"/>
  <c r="Y1242" i="11"/>
  <c r="Y1243" i="11"/>
  <c r="Y1245" i="11"/>
  <c r="Y1246" i="11"/>
  <c r="Y1247" i="11"/>
  <c r="Y1249" i="11"/>
  <c r="Y1250" i="11"/>
  <c r="Y1252" i="11"/>
  <c r="Y1255" i="11"/>
  <c r="Y1257" i="11"/>
  <c r="Y1258" i="11"/>
  <c r="Y1259" i="11"/>
  <c r="Y1256" i="11"/>
  <c r="Y1254" i="11"/>
  <c r="Y1262" i="11"/>
  <c r="Y1261" i="11"/>
  <c r="Y1271" i="11"/>
  <c r="Y1268" i="11"/>
  <c r="Y1278" i="11"/>
  <c r="Y1280" i="11"/>
  <c r="Y1266" i="11"/>
  <c r="Y1281" i="11"/>
  <c r="Y1264" i="11"/>
  <c r="Y1272" i="11"/>
  <c r="Y1279" i="11"/>
  <c r="Y1275" i="11"/>
  <c r="Y1285" i="11"/>
  <c r="Y1283" i="11"/>
  <c r="Y1286" i="11"/>
  <c r="Y1287" i="11"/>
  <c r="Y1288" i="11"/>
  <c r="Y1289" i="11"/>
  <c r="Y1295" i="11"/>
  <c r="Y1294" i="11"/>
  <c r="Y1219" i="11"/>
  <c r="Y1220" i="11"/>
  <c r="Y1227" i="11"/>
  <c r="Y1231" i="11"/>
  <c r="Y1229" i="11"/>
  <c r="Y1222" i="11"/>
  <c r="Y1224" i="11"/>
  <c r="Y1228" i="11"/>
  <c r="E1418" i="11"/>
  <c r="W1392"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6" i="11"/>
  <c r="W1395" i="11"/>
  <c r="W1394" i="11"/>
  <c r="W1393" i="11"/>
  <c r="C1586"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9" i="11"/>
  <c r="E1918" i="11"/>
  <c r="F1918" i="11" s="1"/>
  <c r="T1849" i="11"/>
  <c r="U1849" i="11"/>
  <c r="V1849" i="11"/>
  <c r="W1849" i="11"/>
  <c r="X1849" i="11"/>
  <c r="Y1849" i="1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T1855" i="11"/>
  <c r="U1855" i="11"/>
  <c r="V1855" i="11"/>
  <c r="W1855" i="11"/>
  <c r="R1748" i="11"/>
  <c r="R1761" i="11"/>
  <c r="R1775" i="11"/>
  <c r="R1789" i="11"/>
  <c r="R1802" i="11"/>
  <c r="R1815" i="11"/>
  <c r="R1829" i="11"/>
  <c r="R1841" i="11"/>
  <c r="R1854" i="11"/>
  <c r="R1866" i="11"/>
  <c r="R1880" i="11"/>
  <c r="R1892" i="11"/>
  <c r="R1904" i="11"/>
  <c r="R1918" i="1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5" i="11"/>
  <c r="R1905" i="11" s="1"/>
  <c r="J1903" i="11"/>
  <c r="R1903" i="11" s="1"/>
  <c r="J1902" i="11"/>
  <c r="R1902" i="11" s="1"/>
  <c r="J1901" i="11"/>
  <c r="R1901" i="11" s="1"/>
  <c r="J1900" i="11"/>
  <c r="R1900" i="11" s="1"/>
  <c r="J1899" i="11"/>
  <c r="R1899" i="11" s="1"/>
  <c r="J1898" i="11"/>
  <c r="R1898" i="11" s="1"/>
  <c r="J1897" i="11"/>
  <c r="J1896" i="11"/>
  <c r="J1895" i="11"/>
  <c r="K1895" i="11" s="1"/>
  <c r="J1894" i="11"/>
  <c r="J1893" i="11"/>
  <c r="J1891" i="11"/>
  <c r="R1891" i="11" s="1"/>
  <c r="J1890" i="11"/>
  <c r="R1890" i="11" s="1"/>
  <c r="J1889" i="11"/>
  <c r="R1889" i="11" s="1"/>
  <c r="J1888" i="11"/>
  <c r="R1888" i="11" s="1"/>
  <c r="J1887" i="11"/>
  <c r="R1887" i="11" s="1"/>
  <c r="J1886" i="11"/>
  <c r="R1886" i="11" s="1"/>
  <c r="J1885" i="1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7" i="11"/>
  <c r="R1867" i="11" s="1"/>
  <c r="J1865" i="11"/>
  <c r="R1865" i="11" s="1"/>
  <c r="J1864" i="11"/>
  <c r="R1864" i="11" s="1"/>
  <c r="J1863" i="11"/>
  <c r="R1863" i="11" s="1"/>
  <c r="J1862" i="11"/>
  <c r="R1862" i="11" s="1"/>
  <c r="J1861" i="11"/>
  <c r="R1861" i="11" s="1"/>
  <c r="J1860" i="11"/>
  <c r="J1859" i="11"/>
  <c r="R1859" i="11" s="1"/>
  <c r="J1858" i="11"/>
  <c r="R1858" i="11" s="1"/>
  <c r="J1857" i="11"/>
  <c r="R1857" i="11" s="1"/>
  <c r="J1856" i="11"/>
  <c r="R1856" i="11" s="1"/>
  <c r="J1855" i="11"/>
  <c r="R1855" i="11" s="1"/>
  <c r="J1853" i="11"/>
  <c r="R1853" i="11" s="1"/>
  <c r="J1852" i="11"/>
  <c r="R1852" i="11" s="1"/>
  <c r="J1851" i="11"/>
  <c r="J1850" i="11"/>
  <c r="R1850" i="11" s="1"/>
  <c r="J1849" i="11"/>
  <c r="R1849" i="11" s="1"/>
  <c r="J1848" i="11"/>
  <c r="J1847" i="11"/>
  <c r="R1847" i="11" s="1"/>
  <c r="J1846" i="11"/>
  <c r="R1846" i="11" s="1"/>
  <c r="J1845" i="11"/>
  <c r="R1845" i="11" s="1"/>
  <c r="J1844" i="11"/>
  <c r="R1844" i="11" s="1"/>
  <c r="J1843" i="11"/>
  <c r="R1843" i="11" s="1"/>
  <c r="J1842" i="11"/>
  <c r="R1842" i="11" s="1"/>
  <c r="J1840" i="11"/>
  <c r="J1839" i="11"/>
  <c r="R1839" i="11" s="1"/>
  <c r="J1838" i="11"/>
  <c r="R1838" i="11" s="1"/>
  <c r="J1837" i="11"/>
  <c r="R1837" i="11" s="1"/>
  <c r="J1836" i="11"/>
  <c r="R1836" i="11" s="1"/>
  <c r="J1835" i="11"/>
  <c r="J1834" i="11"/>
  <c r="R1834" i="11" s="1"/>
  <c r="J1833" i="11"/>
  <c r="R1833" i="11" s="1"/>
  <c r="J1832" i="11"/>
  <c r="R1832" i="11" s="1"/>
  <c r="J1831" i="11"/>
  <c r="R1831" i="11" s="1"/>
  <c r="J1830" i="11"/>
  <c r="R1830" i="11" s="1"/>
  <c r="J1828" i="11"/>
  <c r="R1828" i="11" s="1"/>
  <c r="J1827" i="11"/>
  <c r="R1827" i="11" s="1"/>
  <c r="J1826" i="11"/>
  <c r="R1826" i="11" s="1"/>
  <c r="J1825" i="11"/>
  <c r="R1825" i="11" s="1"/>
  <c r="J1824" i="11"/>
  <c r="R1824" i="11" s="1"/>
  <c r="J1823" i="11"/>
  <c r="R1823" i="11" s="1"/>
  <c r="J1822" i="11"/>
  <c r="R1822" i="11" s="1"/>
  <c r="J1821" i="11"/>
  <c r="R1821" i="11" s="1"/>
  <c r="J1820" i="11"/>
  <c r="J1819" i="11"/>
  <c r="R1819" i="11" s="1"/>
  <c r="J1818" i="11"/>
  <c r="R1818" i="11" s="1"/>
  <c r="J1817" i="11"/>
  <c r="R1817" i="11" s="1"/>
  <c r="J1816" i="11"/>
  <c r="R1816" i="11" s="1"/>
  <c r="J1814" i="11"/>
  <c r="R1814" i="11" s="1"/>
  <c r="J1813" i="11"/>
  <c r="R1813" i="11" s="1"/>
  <c r="J1812" i="11"/>
  <c r="R1812" i="11" s="1"/>
  <c r="J1811" i="11"/>
  <c r="R1811" i="11" s="1"/>
  <c r="J1810" i="11"/>
  <c r="R1810" i="11" s="1"/>
  <c r="J1809" i="11"/>
  <c r="J1808" i="11"/>
  <c r="R1808" i="11" s="1"/>
  <c r="J1807" i="11"/>
  <c r="R1807" i="11" s="1"/>
  <c r="J1806" i="11"/>
  <c r="AI62" i="11" s="1"/>
  <c r="J1805" i="11"/>
  <c r="R1805" i="11" s="1"/>
  <c r="J1804" i="11"/>
  <c r="R1804" i="11" s="1"/>
  <c r="J1803" i="11"/>
  <c r="J1801" i="11"/>
  <c r="R1801" i="11" s="1"/>
  <c r="J1800" i="11"/>
  <c r="R1800"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8" i="11"/>
  <c r="R1788" i="11" s="1"/>
  <c r="J1787" i="11"/>
  <c r="R1787" i="11" s="1"/>
  <c r="J1786" i="11"/>
  <c r="R1786" i="11" s="1"/>
  <c r="J1785" i="11"/>
  <c r="R1785" i="11" s="1"/>
  <c r="J1784" i="11"/>
  <c r="J1783" i="11"/>
  <c r="J1782" i="11"/>
  <c r="J1781" i="11"/>
  <c r="J1780" i="11"/>
  <c r="J1779" i="11"/>
  <c r="J1778" i="11"/>
  <c r="J1777" i="11"/>
  <c r="J1776" i="11"/>
  <c r="J1774" i="11"/>
  <c r="R1774" i="11" s="1"/>
  <c r="J1773" i="11"/>
  <c r="R1773" i="11" s="1"/>
  <c r="J1772" i="11"/>
  <c r="J1771" i="11"/>
  <c r="J1770" i="11"/>
  <c r="R1770" i="11" s="1"/>
  <c r="J1769" i="11"/>
  <c r="R1769" i="11" s="1"/>
  <c r="J1768" i="11"/>
  <c r="R1768" i="11" s="1"/>
  <c r="J1767" i="11"/>
  <c r="R1767" i="11" s="1"/>
  <c r="J1766" i="11"/>
  <c r="J1765" i="11"/>
  <c r="R1765" i="11" s="1"/>
  <c r="J1764" i="11"/>
  <c r="R1764" i="11" s="1"/>
  <c r="J1763" i="11"/>
  <c r="R1763" i="11" s="1"/>
  <c r="J1762" i="11"/>
  <c r="R1762"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9" i="11"/>
  <c r="R1749" i="11" s="1"/>
  <c r="J1747" i="11"/>
  <c r="J1746" i="11"/>
  <c r="R1746" i="11" s="1"/>
  <c r="J1745" i="11"/>
  <c r="R1745" i="11" s="1"/>
  <c r="J1744" i="11"/>
  <c r="R1744" i="11" s="1"/>
  <c r="J1743" i="11"/>
  <c r="R1743" i="11" s="1"/>
  <c r="J1742" i="11"/>
  <c r="R1742" i="11" s="1"/>
  <c r="J1741" i="11"/>
  <c r="R1741" i="11" s="1"/>
  <c r="J1740" i="11"/>
  <c r="R1740" i="11" s="1"/>
  <c r="J1739" i="11"/>
  <c r="R1739" i="11" s="1"/>
  <c r="J1738" i="11"/>
  <c r="R1738" i="11" s="1"/>
  <c r="J1737" i="11"/>
  <c r="J1736" i="11"/>
  <c r="M89" i="11" l="1"/>
  <c r="R1783" i="11"/>
  <c r="R1782" i="11"/>
  <c r="R1781" i="11"/>
  <c r="R1780" i="11"/>
  <c r="R1779" i="11"/>
  <c r="R1778" i="11"/>
  <c r="R1777" i="11"/>
  <c r="R1776" i="11"/>
  <c r="R1806" i="11"/>
  <c r="R1820" i="11"/>
  <c r="AF25" i="23"/>
  <c r="J1919" i="11"/>
  <c r="R1919" i="11" s="1"/>
  <c r="L1919" i="11"/>
  <c r="I1919" i="11"/>
  <c r="G1919" i="11"/>
  <c r="AP26" i="2"/>
  <c r="AN26" i="2" s="1"/>
  <c r="R1772" i="11"/>
  <c r="R1860" i="11"/>
  <c r="K1860" i="11"/>
  <c r="R1896" i="11"/>
  <c r="R1840" i="11"/>
  <c r="R1835" i="11"/>
  <c r="O84" i="9"/>
  <c r="U85" i="11"/>
  <c r="H86" i="11" s="1"/>
  <c r="W83" i="11"/>
  <c r="J84" i="11" s="1"/>
  <c r="R89" i="11"/>
  <c r="E90" i="11" s="1"/>
  <c r="V89" i="11"/>
  <c r="I90" i="11" s="1"/>
  <c r="Z89" i="11"/>
  <c r="R1848" i="11"/>
  <c r="R1897" i="11"/>
  <c r="R1794" i="11"/>
  <c r="R1766" i="11"/>
  <c r="R1895" i="11"/>
  <c r="R1894" i="11"/>
  <c r="R1893" i="11"/>
  <c r="R1851" i="11"/>
  <c r="K1851" i="11"/>
  <c r="R1809" i="11"/>
  <c r="R1771" i="11"/>
  <c r="K1771" i="11"/>
  <c r="R1784" i="11"/>
  <c r="K1784" i="11"/>
  <c r="K1739" i="11"/>
  <c r="K1790" i="11"/>
  <c r="AD171" i="3" s="1"/>
  <c r="K1751" i="11"/>
  <c r="K1805" i="11"/>
  <c r="K1905" i="11"/>
  <c r="AD157" i="3" s="1"/>
  <c r="K1867" i="11"/>
  <c r="AD133" i="3" s="1"/>
  <c r="K1869" i="11"/>
  <c r="K1780" i="11"/>
  <c r="AD147" i="3" s="1"/>
  <c r="K1777" i="11"/>
  <c r="K1776" i="11"/>
  <c r="AD136" i="3" s="1"/>
  <c r="K1831" i="11"/>
  <c r="AD134" i="3" s="1"/>
  <c r="K1830" i="11"/>
  <c r="K1816" i="11"/>
  <c r="K1817" i="11"/>
  <c r="K1842" i="11"/>
  <c r="K1843" i="11"/>
  <c r="C1748" i="11"/>
  <c r="G14" i="23"/>
  <c r="AL14" i="23"/>
  <c r="AL13" i="23"/>
  <c r="R1803" i="11"/>
  <c r="R1747" i="11"/>
  <c r="R1736" i="11"/>
  <c r="R1737" i="11"/>
  <c r="R1885" i="11"/>
  <c r="F82" i="9"/>
  <c r="P84" i="9"/>
  <c r="N84" i="9"/>
  <c r="L4" i="23"/>
  <c r="I10" i="23"/>
  <c r="T1848"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3"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4" i="11"/>
  <c r="G1073" i="11"/>
  <c r="G1072" i="11"/>
  <c r="G1071" i="11"/>
  <c r="G1070" i="11"/>
  <c r="G1069" i="11"/>
  <c r="G1068" i="11"/>
  <c r="G1067" i="11"/>
  <c r="G1066" i="11"/>
  <c r="G1065"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6" i="3" l="1"/>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AL13" i="4"/>
  <c r="H2030"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3" i="11" s="1"/>
  <c r="AG50" i="3"/>
  <c r="V50" i="3"/>
  <c r="AH23" i="4" s="1"/>
  <c r="AB19" i="4"/>
  <c r="H2029" i="11" s="1"/>
  <c r="D2030" i="11"/>
  <c r="I2030" i="11"/>
  <c r="K131" i="11"/>
  <c r="U99" i="11"/>
  <c r="W97" i="11"/>
  <c r="J98" i="11" s="1"/>
  <c r="Z131" i="11"/>
  <c r="L131" i="11"/>
  <c r="M131" i="11"/>
  <c r="S131" i="11"/>
  <c r="W131" i="11"/>
  <c r="AA131" i="11"/>
  <c r="N131" i="11"/>
  <c r="V131" i="11"/>
  <c r="X131" i="11"/>
  <c r="O131" i="11"/>
  <c r="AO18" i="2" l="1"/>
  <c r="AO17" i="2"/>
  <c r="AO16" i="2"/>
  <c r="AO13" i="2"/>
  <c r="I2033" i="11"/>
  <c r="D2033" i="11"/>
  <c r="D2029" i="11"/>
  <c r="I202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3"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0" i="11"/>
  <c r="E2031" i="11"/>
  <c r="E2029" i="11"/>
  <c r="E2032"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2" i="11"/>
  <c r="Q1663" i="11"/>
  <c r="Q1662" i="11"/>
  <c r="Q1661" i="11"/>
  <c r="Q1660" i="11"/>
  <c r="Q1659" i="11"/>
  <c r="Q1656" i="11"/>
  <c r="Q1655" i="11"/>
  <c r="Q1654" i="11"/>
  <c r="Q1643" i="11"/>
  <c r="Q1642" i="11"/>
  <c r="Q1641" i="11"/>
  <c r="Q1640" i="11"/>
  <c r="Q1639" i="11"/>
  <c r="Q1638" i="11"/>
  <c r="Q1632" i="11"/>
  <c r="Q1631" i="11"/>
  <c r="Q1630" i="11"/>
  <c r="Q1629" i="11"/>
  <c r="Q1627" i="11"/>
  <c r="Q1626" i="11"/>
  <c r="Q1604" i="11"/>
  <c r="Q1603" i="11"/>
  <c r="Q1599" i="11"/>
  <c r="Q1598"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27" i="11"/>
  <c r="Q1526" i="11"/>
  <c r="Q1518" i="11"/>
  <c r="Q1517" i="11"/>
  <c r="Q1366" i="11"/>
  <c r="Q1365" i="11"/>
  <c r="Q1364" i="11"/>
  <c r="Q1323" i="11"/>
  <c r="Q1322" i="11"/>
  <c r="Q1321" i="11"/>
  <c r="Q1320" i="11"/>
  <c r="Q1319" i="11"/>
  <c r="Q1318" i="11"/>
  <c r="Q1317" i="11"/>
  <c r="Q1316" i="11"/>
  <c r="Q1315" i="11"/>
  <c r="Q1314" i="11"/>
  <c r="Q1313" i="11"/>
  <c r="Q1312" i="11"/>
  <c r="Q1310" i="11"/>
  <c r="Q1309" i="11"/>
  <c r="Q1308" i="11"/>
  <c r="Q1307" i="11"/>
  <c r="Q1306" i="11"/>
  <c r="Q1305" i="11"/>
  <c r="Q1304" i="11"/>
  <c r="Q1303" i="11"/>
  <c r="Q1302" i="11"/>
  <c r="Q1301" i="11"/>
  <c r="Q1300" i="11"/>
  <c r="AJ45" i="2" s="1"/>
  <c r="Q1299" i="11"/>
  <c r="Q1298" i="11"/>
  <c r="Q1297" i="11"/>
  <c r="Q1272" i="11"/>
  <c r="Q1271" i="11"/>
  <c r="Q1270" i="11"/>
  <c r="AJ50" i="2" s="1"/>
  <c r="Q1269" i="11"/>
  <c r="Q1268" i="11"/>
  <c r="Q1267" i="11"/>
  <c r="Q1266" i="11"/>
  <c r="Q1265" i="11"/>
  <c r="Q1264" i="11"/>
  <c r="Q1263" i="11"/>
  <c r="AJ48" i="2" s="1"/>
  <c r="Q1262" i="11"/>
  <c r="Q1261" i="11"/>
  <c r="Q1260" i="11"/>
  <c r="Q1259" i="11"/>
  <c r="Q1258" i="11"/>
  <c r="Q1257" i="11"/>
  <c r="Q1256" i="11"/>
  <c r="Q1255"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4"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3" i="11" l="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157" i="11"/>
  <c r="Z1157" i="11" s="1"/>
  <c r="AA1041" i="11"/>
  <c r="Z1041" i="11" s="1"/>
  <c r="AA1086" i="11"/>
  <c r="Z1086" i="11" s="1"/>
  <c r="D991" i="11"/>
  <c r="D992" i="11"/>
  <c r="D993" i="11"/>
  <c r="D994" i="11"/>
  <c r="D995" i="11"/>
  <c r="D996" i="11"/>
  <c r="D997" i="11"/>
  <c r="D970" i="11"/>
  <c r="D971" i="11"/>
  <c r="D972" i="11"/>
  <c r="D973" i="11"/>
  <c r="D974" i="11"/>
  <c r="D975" i="11"/>
  <c r="D976" i="11"/>
  <c r="D977" i="11"/>
  <c r="D978" i="11"/>
  <c r="D979" i="11"/>
  <c r="D980" i="11"/>
  <c r="D981" i="11"/>
  <c r="D982" i="11"/>
  <c r="D983" i="11"/>
  <c r="D984" i="11"/>
  <c r="D985" i="11"/>
  <c r="D986" i="11"/>
  <c r="D987" i="11"/>
  <c r="D988" i="11"/>
  <c r="D989" i="11"/>
  <c r="D963" i="11"/>
  <c r="D964" i="11"/>
  <c r="D965" i="11"/>
  <c r="D966" i="11"/>
  <c r="D967" i="11"/>
  <c r="D968" i="11"/>
  <c r="D990" i="11"/>
  <c r="D969" i="11"/>
  <c r="C969" i="11" s="1"/>
  <c r="D962" i="11"/>
  <c r="C962"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1" i="11" l="1"/>
  <c r="C1005" i="11"/>
  <c r="C998" i="11"/>
  <c r="C1002" i="11"/>
  <c r="C1006" i="11"/>
  <c r="C999" i="11"/>
  <c r="C1003" i="11"/>
  <c r="C1007" i="11"/>
  <c r="C1000" i="11"/>
  <c r="C1004" i="11"/>
  <c r="C1008" i="11"/>
  <c r="C990"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8" i="11"/>
  <c r="C413" i="11"/>
  <c r="C473" i="11"/>
  <c r="Z1042" i="11"/>
  <c r="Z1087"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9"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43"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C412" i="11"/>
  <c r="C474" i="11"/>
  <c r="C454" i="11"/>
  <c r="C498" i="11"/>
  <c r="C450" i="11"/>
  <c r="C446" i="11"/>
  <c r="C442" i="11"/>
  <c r="C438" i="11"/>
  <c r="C434" i="11"/>
  <c r="C430" i="11"/>
  <c r="C426" i="11"/>
  <c r="C422" i="11"/>
  <c r="C418" i="11"/>
  <c r="C414" i="11"/>
  <c r="C410" i="11"/>
  <c r="C458" i="11"/>
  <c r="C462" i="11"/>
  <c r="C466" i="11"/>
  <c r="C470" i="11"/>
  <c r="C963" i="11"/>
  <c r="C970"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1" i="11"/>
  <c r="C996" i="11"/>
  <c r="C994" i="11"/>
  <c r="C992" i="11"/>
  <c r="C997" i="11"/>
  <c r="C995" i="11"/>
  <c r="C993" i="11"/>
  <c r="C989" i="11"/>
  <c r="C987" i="11"/>
  <c r="C985" i="11"/>
  <c r="C983" i="11"/>
  <c r="C981" i="11"/>
  <c r="C979" i="11"/>
  <c r="C977" i="11"/>
  <c r="C975" i="11"/>
  <c r="C973" i="11"/>
  <c r="C971" i="11"/>
  <c r="C988" i="11"/>
  <c r="C986" i="11"/>
  <c r="C984" i="11"/>
  <c r="C982" i="11"/>
  <c r="C980" i="11"/>
  <c r="C978" i="11"/>
  <c r="C976" i="11"/>
  <c r="C974" i="11"/>
  <c r="C972" i="11"/>
  <c r="C968" i="11"/>
  <c r="C966" i="11"/>
  <c r="C964" i="11"/>
  <c r="C967" i="11"/>
  <c r="C965"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2" i="11"/>
  <c r="D2042" i="11" s="1"/>
  <c r="H2047" i="11"/>
  <c r="D2047" i="11" s="1"/>
  <c r="H2051" i="11"/>
  <c r="D2051" i="11" s="1"/>
  <c r="C2051" i="11" s="1"/>
  <c r="H2055" i="11"/>
  <c r="D2055" i="11" s="1"/>
  <c r="C2055" i="11" s="1"/>
  <c r="H926" i="11"/>
  <c r="H2041" i="11"/>
  <c r="H2048" i="11"/>
  <c r="D2048" i="11" s="1"/>
  <c r="C2048" i="11" s="1"/>
  <c r="H2052" i="11"/>
  <c r="D2052" i="11" s="1"/>
  <c r="C2052" i="11" s="1"/>
  <c r="H2056" i="11"/>
  <c r="D2056" i="11" s="1"/>
  <c r="C2056" i="11" s="1"/>
  <c r="H2043" i="11"/>
  <c r="D2043" i="11" s="1"/>
  <c r="H2049" i="11"/>
  <c r="D2049" i="11" s="1"/>
  <c r="C2049" i="11" s="1"/>
  <c r="H2053" i="11"/>
  <c r="D2053" i="11" s="1"/>
  <c r="C2053" i="11" s="1"/>
  <c r="H2057" i="11"/>
  <c r="D2057" i="11" s="1"/>
  <c r="C2057" i="11" s="1"/>
  <c r="H2046" i="11"/>
  <c r="D2046" i="11" s="1"/>
  <c r="H2050" i="11"/>
  <c r="D2050" i="11" s="1"/>
  <c r="C2050" i="11" s="1"/>
  <c r="H2054" i="11"/>
  <c r="D2054" i="11" s="1"/>
  <c r="C2054" i="11" s="1"/>
  <c r="H2044" i="11"/>
  <c r="D2044" i="11" s="1"/>
  <c r="H2045" i="11"/>
  <c r="D2045"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BA45" i="4" l="1"/>
  <c r="BE45" i="4"/>
  <c r="AX45" i="4"/>
  <c r="BB45" i="4"/>
  <c r="BF45" i="4"/>
  <c r="AY45" i="4"/>
  <c r="BC45" i="4"/>
  <c r="AZ45" i="4"/>
  <c r="BD45" i="4"/>
  <c r="AW45" i="4"/>
  <c r="E55" i="4"/>
  <c r="G53" i="4"/>
  <c r="O31" i="4"/>
  <c r="N31" i="4"/>
  <c r="AU95" i="9"/>
  <c r="C40" i="4"/>
  <c r="C39" i="4" s="1"/>
  <c r="N40" i="4"/>
  <c r="N39" i="4" s="1"/>
  <c r="N47" i="4"/>
  <c r="C47" i="4"/>
  <c r="C46" i="4" s="1"/>
  <c r="AE784" i="11"/>
  <c r="AF784" i="11" s="1"/>
  <c r="AG784" i="11" s="1"/>
  <c r="N33" i="4"/>
  <c r="D62" i="4"/>
  <c r="BE36" i="4" s="1"/>
  <c r="E64" i="4"/>
  <c r="G62" i="4"/>
  <c r="R53" i="4"/>
  <c r="H2040" i="11"/>
  <c r="D2040" i="11" s="1"/>
  <c r="I917"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9" i="11"/>
  <c r="D2039" i="11" s="1"/>
  <c r="D2041" i="11"/>
  <c r="AW62" i="4"/>
  <c r="AW63" i="4" s="1"/>
  <c r="P917" i="11"/>
  <c r="O917" i="11"/>
  <c r="Z626" i="11"/>
  <c r="AA626" i="11"/>
  <c r="BB24" i="4"/>
  <c r="BC24" i="4"/>
  <c r="BA24" i="4"/>
  <c r="AZ24" i="4"/>
  <c r="BD24" i="4"/>
  <c r="AY24" i="4"/>
  <c r="BE24" i="4"/>
  <c r="E21" i="4" l="1"/>
  <c r="AC759"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9" i="11"/>
  <c r="E2052" i="11"/>
  <c r="E2054" i="11"/>
  <c r="E2057" i="11"/>
  <c r="E2050" i="11"/>
  <c r="E2047" i="11"/>
  <c r="E2049" i="11"/>
  <c r="E2044" i="11"/>
  <c r="E2042" i="11"/>
  <c r="E2045" i="11"/>
  <c r="E2056" i="11"/>
  <c r="E2040" i="11"/>
  <c r="E2043" i="11"/>
  <c r="E2053" i="11"/>
  <c r="E2046" i="11"/>
  <c r="E2048" i="11"/>
  <c r="E2055" i="11"/>
  <c r="E2051" i="11"/>
  <c r="E2041"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59" i="11" l="1"/>
  <c r="AN3" i="9" s="1"/>
  <c r="I658" i="26"/>
  <c r="F658" i="26"/>
  <c r="G658" i="26" s="1"/>
  <c r="AE639" i="11"/>
  <c r="AE759" i="11"/>
  <c r="AN6" i="9" s="1"/>
  <c r="AD759"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9" i="11" l="1"/>
  <c r="S45" i="2"/>
  <c r="J2030" i="11" s="1"/>
  <c r="AD14" i="6"/>
  <c r="AG2032" i="11"/>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31" i="11"/>
  <c r="J2031" i="11" l="1"/>
  <c r="S46" i="2"/>
  <c r="T181" i="3"/>
  <c r="T180" i="3"/>
  <c r="T179" i="3"/>
  <c r="T178" i="3"/>
  <c r="T177" i="3"/>
  <c r="S47" i="2" l="1"/>
  <c r="J2032" i="11" l="1"/>
  <c r="S48" i="2"/>
  <c r="J2033" i="11" s="1"/>
  <c r="E810" i="11"/>
  <c r="S49" i="2" l="1"/>
  <c r="J2034" i="11" s="1"/>
  <c r="AG2030" i="11"/>
  <c r="T44" i="2"/>
  <c r="T51" i="2"/>
  <c r="T52" i="2"/>
  <c r="T53" i="2"/>
  <c r="T54" i="2"/>
  <c r="T55" i="2"/>
  <c r="T56" i="2"/>
  <c r="T57" i="2"/>
  <c r="T58" i="2"/>
  <c r="T59" i="2"/>
  <c r="T60" i="2"/>
  <c r="T61" i="2"/>
  <c r="T62" i="2"/>
  <c r="T63" i="2"/>
  <c r="T64" i="2"/>
  <c r="T65" i="2"/>
  <c r="T66" i="2"/>
  <c r="T67" i="2"/>
  <c r="T68" i="2"/>
  <c r="T69" i="2"/>
  <c r="T43" i="2"/>
  <c r="S50" i="2" l="1"/>
  <c r="J2035" i="11" s="1"/>
  <c r="AF2055" i="11"/>
  <c r="AF2051" i="11"/>
  <c r="AF2047" i="11"/>
  <c r="AF2043" i="11"/>
  <c r="AF2030" i="11"/>
  <c r="AF2054" i="11"/>
  <c r="AF2050" i="11"/>
  <c r="AF2046" i="11"/>
  <c r="AF2042" i="11"/>
  <c r="AF2057" i="11"/>
  <c r="AF2053" i="11"/>
  <c r="AF2049" i="11"/>
  <c r="AF2045" i="11"/>
  <c r="AF2041" i="11"/>
  <c r="AF2056" i="11"/>
  <c r="AF2052" i="11"/>
  <c r="AF2048" i="11"/>
  <c r="AF2044" i="11"/>
  <c r="AF2039" i="11"/>
  <c r="AF2038" i="11"/>
  <c r="AF2040" i="11"/>
  <c r="AF2037" i="11"/>
  <c r="AF2031" i="11"/>
  <c r="AF2034" i="11"/>
  <c r="AF2036" i="11"/>
  <c r="AF2032" i="11"/>
  <c r="AF2033" i="11" s="1"/>
  <c r="T45" i="2"/>
  <c r="T46" i="2" s="1"/>
  <c r="M39" i="5"/>
  <c r="S51" i="2" l="1"/>
  <c r="J2036" i="11" s="1"/>
  <c r="T47" i="2"/>
  <c r="T50" i="2" s="1"/>
  <c r="AF2035" i="11"/>
  <c r="T48" i="2"/>
  <c r="T49" i="2" s="1"/>
  <c r="S52" i="2" l="1"/>
  <c r="J2037" i="11" s="1"/>
  <c r="AD2027" i="11"/>
  <c r="Z2027" i="11"/>
  <c r="S53" i="2" l="1"/>
  <c r="J2038" i="11"/>
  <c r="Z2058" i="11"/>
  <c r="AD2058" i="11"/>
  <c r="N2027" i="11"/>
  <c r="L2027" i="11"/>
  <c r="X2027" i="11"/>
  <c r="V2027" i="11"/>
  <c r="T2027" i="11"/>
  <c r="AB2027" i="11"/>
  <c r="P2027" i="11"/>
  <c r="R2027" i="11"/>
  <c r="S54" i="2" l="1"/>
  <c r="J2039" i="11" s="1"/>
  <c r="AB2058" i="11"/>
  <c r="X2058" i="11"/>
  <c r="P2058" i="11"/>
  <c r="R2058" i="11"/>
  <c r="T2058" i="11"/>
  <c r="V2058" i="11"/>
  <c r="S55" i="2" l="1"/>
  <c r="S56" i="2" s="1"/>
  <c r="L11" i="10"/>
  <c r="J2041" i="11" l="1"/>
  <c r="S57" i="2"/>
  <c r="S58" i="2" s="1"/>
  <c r="S59" i="2" s="1"/>
  <c r="S60" i="2" s="1"/>
  <c r="S61" i="2" s="1"/>
  <c r="S62" i="2" s="1"/>
  <c r="S63" i="2" s="1"/>
  <c r="S64" i="2" s="1"/>
  <c r="S65" i="2" s="1"/>
  <c r="S66" i="2" s="1"/>
  <c r="S67" i="2" s="1"/>
  <c r="S68" i="2" s="1"/>
  <c r="S69" i="2" s="1"/>
  <c r="J2049" i="11" s="1"/>
  <c r="Y9" i="3" l="1"/>
  <c r="Y7" i="3"/>
  <c r="R136" i="3"/>
  <c r="R162" i="3"/>
  <c r="R163" i="3"/>
  <c r="R172" i="3"/>
  <c r="R149" i="3"/>
  <c r="R146" i="3"/>
  <c r="R150" i="3"/>
  <c r="R152" i="3"/>
  <c r="R154" i="3"/>
  <c r="R153" i="3"/>
  <c r="R143" i="3"/>
  <c r="R155" i="3"/>
  <c r="R156" i="3"/>
  <c r="R157" i="3"/>
  <c r="K320" i="11" a="1"/>
  <c r="J2046" i="11"/>
  <c r="J2040" i="11"/>
  <c r="J2052" i="11"/>
  <c r="J2044" i="11"/>
  <c r="J2045" i="11"/>
  <c r="J2057" i="11"/>
  <c r="J2042" i="11"/>
  <c r="J2054" i="11"/>
  <c r="J2053" i="11"/>
  <c r="J2050" i="11"/>
  <c r="J2047" i="11"/>
  <c r="J2051" i="11"/>
  <c r="J2056" i="11"/>
  <c r="J2048" i="11"/>
  <c r="J2043" i="11"/>
  <c r="J2055" i="11"/>
  <c r="AB23" i="2" l="1"/>
  <c r="R1345" i="11" l="1"/>
  <c r="R1347" i="11"/>
  <c r="R1229" i="11"/>
  <c r="R1245" i="11"/>
  <c r="R1261" i="11"/>
  <c r="R1277" i="11"/>
  <c r="R1293" i="11"/>
  <c r="R1309" i="11"/>
  <c r="R1325" i="11"/>
  <c r="R1341" i="11"/>
  <c r="R1363" i="11"/>
  <c r="R1379" i="11"/>
  <c r="R1396" i="11"/>
  <c r="R1412" i="11"/>
  <c r="R1428" i="11"/>
  <c r="R1445" i="11"/>
  <c r="R1461" i="11"/>
  <c r="R1477" i="11"/>
  <c r="R1494" i="11"/>
  <c r="R1512" i="11"/>
  <c r="R1529" i="11"/>
  <c r="R1545" i="11"/>
  <c r="R1561" i="11"/>
  <c r="R1226" i="11"/>
  <c r="R1246" i="11"/>
  <c r="R1262" i="11"/>
  <c r="R1278" i="11"/>
  <c r="R1294" i="11"/>
  <c r="R1310" i="11"/>
  <c r="R1326" i="11"/>
  <c r="R1342" i="11"/>
  <c r="AX62" i="4" s="1"/>
  <c r="AX63" i="4" s="1"/>
  <c r="R1364" i="11"/>
  <c r="R1380" i="11"/>
  <c r="R1397" i="11"/>
  <c r="R1413" i="11"/>
  <c r="R1429" i="11"/>
  <c r="R1446" i="11"/>
  <c r="R1462" i="11"/>
  <c r="R1479" i="11"/>
  <c r="R1495" i="11"/>
  <c r="R1513" i="11"/>
  <c r="R1530" i="11"/>
  <c r="R1546" i="11"/>
  <c r="R1562" i="11"/>
  <c r="R1235" i="11"/>
  <c r="R1251" i="11"/>
  <c r="R1267" i="11"/>
  <c r="R1283" i="11"/>
  <c r="R1299" i="11"/>
  <c r="R1315" i="11"/>
  <c r="R1331" i="11"/>
  <c r="R1353" i="11"/>
  <c r="R1369" i="11"/>
  <c r="R1385" i="11"/>
  <c r="R1402" i="11"/>
  <c r="R1418" i="11"/>
  <c r="R1434" i="11"/>
  <c r="R1451" i="11"/>
  <c r="R1467" i="11"/>
  <c r="R1484" i="11"/>
  <c r="R1500" i="11"/>
  <c r="R1519" i="11"/>
  <c r="R1535" i="11"/>
  <c r="R1551" i="11"/>
  <c r="R1567" i="11"/>
  <c r="R1272" i="11"/>
  <c r="R1336" i="11"/>
  <c r="R1407" i="11"/>
  <c r="R1472" i="11"/>
  <c r="R1260" i="11"/>
  <c r="R1324" i="11"/>
  <c r="R1395" i="11"/>
  <c r="R1460" i="11"/>
  <c r="R1528" i="11"/>
  <c r="R1574" i="11"/>
  <c r="R1590" i="11"/>
  <c r="R1607" i="11"/>
  <c r="R1623" i="11"/>
  <c r="R1639" i="11"/>
  <c r="R1655" i="11"/>
  <c r="R1671" i="11"/>
  <c r="R1688" i="11"/>
  <c r="R1705" i="11"/>
  <c r="R1668" i="11"/>
  <c r="R1702" i="11"/>
  <c r="R1238" i="11"/>
  <c r="R1343" i="11"/>
  <c r="R1233" i="11"/>
  <c r="R1249" i="11"/>
  <c r="R1265" i="11"/>
  <c r="R1281" i="11"/>
  <c r="R1297" i="11"/>
  <c r="R1313" i="11"/>
  <c r="R1329" i="11"/>
  <c r="R1351" i="11"/>
  <c r="R1367" i="11"/>
  <c r="R1383" i="11"/>
  <c r="R1400" i="11"/>
  <c r="R1416" i="11"/>
  <c r="R1432" i="11"/>
  <c r="R1449" i="11"/>
  <c r="R1465" i="11"/>
  <c r="R1482" i="11"/>
  <c r="R1498" i="11"/>
  <c r="R1517" i="11"/>
  <c r="R1533" i="11"/>
  <c r="R1549" i="11"/>
  <c r="R1565" i="11"/>
  <c r="R1230" i="11"/>
  <c r="R1250" i="11"/>
  <c r="R1266" i="11"/>
  <c r="R1282" i="11"/>
  <c r="R1298" i="11"/>
  <c r="R1314" i="11"/>
  <c r="R1330" i="11"/>
  <c r="R1352" i="11"/>
  <c r="R1368" i="11"/>
  <c r="R1384" i="11"/>
  <c r="R1401" i="11"/>
  <c r="R1417" i="11"/>
  <c r="R1433" i="11"/>
  <c r="R1450" i="11"/>
  <c r="R1466" i="11"/>
  <c r="R1483" i="11"/>
  <c r="R1499" i="11"/>
  <c r="R1518" i="11"/>
  <c r="R1534" i="11"/>
  <c r="R1550" i="11"/>
  <c r="R1223" i="11"/>
  <c r="R1239" i="11"/>
  <c r="R1255" i="11"/>
  <c r="R1271" i="11"/>
  <c r="R1287" i="11"/>
  <c r="R1303" i="11"/>
  <c r="R1319" i="11"/>
  <c r="R1335" i="11"/>
  <c r="R1357" i="11"/>
  <c r="R1373" i="11"/>
  <c r="R1390" i="11"/>
  <c r="R1406" i="11"/>
  <c r="R1422" i="11"/>
  <c r="R1439" i="11"/>
  <c r="R1455" i="11"/>
  <c r="R1471" i="11"/>
  <c r="R1488" i="11"/>
  <c r="R1504" i="11"/>
  <c r="R1523" i="11"/>
  <c r="R1539" i="11"/>
  <c r="R1555" i="11"/>
  <c r="R1224" i="11"/>
  <c r="R1288" i="11"/>
  <c r="R1358" i="11"/>
  <c r="R1423" i="11"/>
  <c r="R1489" i="11"/>
  <c r="R1276" i="11"/>
  <c r="R1340" i="11"/>
  <c r="R1411" i="11"/>
  <c r="R1476" i="11"/>
  <c r="R1544" i="11"/>
  <c r="R1578" i="11"/>
  <c r="R1594" i="11"/>
  <c r="R1611" i="11"/>
  <c r="R1627" i="11"/>
  <c r="R1643" i="11"/>
  <c r="R1659" i="11"/>
  <c r="R1344" i="11"/>
  <c r="AY62" i="4" s="1"/>
  <c r="AY63" i="4" s="1"/>
  <c r="R1221" i="11"/>
  <c r="R1237" i="11"/>
  <c r="R1253" i="11"/>
  <c r="R1269" i="11"/>
  <c r="R1285" i="11"/>
  <c r="R1301" i="11"/>
  <c r="R1317" i="11"/>
  <c r="R1333" i="11"/>
  <c r="R1355" i="11"/>
  <c r="R1371" i="11"/>
  <c r="R1387" i="11"/>
  <c r="R1404" i="11"/>
  <c r="R1420" i="11"/>
  <c r="R1437" i="11"/>
  <c r="R1453" i="11"/>
  <c r="R1469" i="11"/>
  <c r="R1486" i="11"/>
  <c r="R1502" i="11"/>
  <c r="R1521" i="11"/>
  <c r="R1537" i="11"/>
  <c r="R1553" i="11"/>
  <c r="R1569" i="11"/>
  <c r="R1234" i="11"/>
  <c r="R1254" i="11"/>
  <c r="R1270" i="11"/>
  <c r="R1286" i="11"/>
  <c r="R1302" i="11"/>
  <c r="R1318" i="11"/>
  <c r="R1334" i="11"/>
  <c r="R1356" i="11"/>
  <c r="R1372" i="11"/>
  <c r="R1389" i="11"/>
  <c r="R1405" i="11"/>
  <c r="R1421" i="11"/>
  <c r="R1438" i="11"/>
  <c r="R1454" i="11"/>
  <c r="R1470" i="11"/>
  <c r="R1487" i="11"/>
  <c r="R1503" i="11"/>
  <c r="R1522" i="11"/>
  <c r="R1538" i="11"/>
  <c r="R1554" i="11"/>
  <c r="R1227" i="11"/>
  <c r="R1243" i="11"/>
  <c r="R1259" i="11"/>
  <c r="R1275" i="11"/>
  <c r="R1291" i="11"/>
  <c r="R1307" i="11"/>
  <c r="R1323" i="11"/>
  <c r="R1339" i="11"/>
  <c r="R1361" i="11"/>
  <c r="R1377" i="11"/>
  <c r="R1394" i="11"/>
  <c r="R1410" i="11"/>
  <c r="R1426" i="11"/>
  <c r="R1443" i="11"/>
  <c r="R1459" i="11"/>
  <c r="R1475" i="11"/>
  <c r="R1492" i="11"/>
  <c r="R1510" i="11"/>
  <c r="R1527" i="11"/>
  <c r="R1543" i="11"/>
  <c r="R1559" i="11"/>
  <c r="R1240" i="11"/>
  <c r="R1304" i="11"/>
  <c r="R1374" i="11"/>
  <c r="R1440" i="11"/>
  <c r="R1228" i="11"/>
  <c r="R1292" i="11"/>
  <c r="R1362" i="11"/>
  <c r="R1427" i="11"/>
  <c r="R1493" i="11"/>
  <c r="R1560" i="11"/>
  <c r="R1582" i="11"/>
  <c r="R1598" i="11"/>
  <c r="R1615" i="11"/>
  <c r="R1631" i="11"/>
  <c r="R1647" i="11"/>
  <c r="R1663" i="11"/>
  <c r="R1679" i="11"/>
  <c r="R1696" i="11"/>
  <c r="R1346" i="11"/>
  <c r="R1225" i="11"/>
  <c r="R1241" i="11"/>
  <c r="R1257" i="11"/>
  <c r="R1273" i="11"/>
  <c r="R1289" i="11"/>
  <c r="R1305" i="11"/>
  <c r="R1321" i="11"/>
  <c r="R1337" i="11"/>
  <c r="R1359" i="11"/>
  <c r="R1375" i="11"/>
  <c r="R1392" i="11"/>
  <c r="R1408" i="11"/>
  <c r="R1424" i="11"/>
  <c r="R1441" i="11"/>
  <c r="R1457" i="11"/>
  <c r="R1473" i="11"/>
  <c r="R1490" i="11"/>
  <c r="R1507" i="11"/>
  <c r="R1525" i="11"/>
  <c r="R1541" i="11"/>
  <c r="R1557" i="11"/>
  <c r="R1222" i="11"/>
  <c r="R1242" i="11"/>
  <c r="R1258" i="11"/>
  <c r="R1274" i="11"/>
  <c r="R1290" i="11"/>
  <c r="R1306" i="11"/>
  <c r="R1322" i="11"/>
  <c r="R1338" i="11"/>
  <c r="R1360" i="11"/>
  <c r="R1376" i="11"/>
  <c r="R1393" i="11"/>
  <c r="R1409" i="11"/>
  <c r="R1425" i="11"/>
  <c r="R1442" i="11"/>
  <c r="R1458" i="11"/>
  <c r="R1474" i="11"/>
  <c r="R1491" i="11"/>
  <c r="R1508" i="11"/>
  <c r="R1526" i="11"/>
  <c r="R1542" i="11"/>
  <c r="R1558" i="11"/>
  <c r="R1231" i="11"/>
  <c r="R1247" i="11"/>
  <c r="R1263" i="11"/>
  <c r="R1279" i="11"/>
  <c r="R1295" i="11"/>
  <c r="R1311" i="11"/>
  <c r="R1327" i="11"/>
  <c r="R1349" i="11"/>
  <c r="R1365" i="11"/>
  <c r="R1381" i="11"/>
  <c r="R1398" i="11"/>
  <c r="R1414" i="11"/>
  <c r="R1430" i="11"/>
  <c r="R1447" i="11"/>
  <c r="R1463" i="11"/>
  <c r="R1480" i="11"/>
  <c r="R1496" i="11"/>
  <c r="R1515" i="11"/>
  <c r="R1531" i="11"/>
  <c r="R1547" i="11"/>
  <c r="R1563" i="11"/>
  <c r="R1256" i="11"/>
  <c r="R1320" i="11"/>
  <c r="R1391" i="11"/>
  <c r="R1456" i="11"/>
  <c r="R1244" i="11"/>
  <c r="R1308" i="11"/>
  <c r="R1378" i="11"/>
  <c r="R1444" i="11"/>
  <c r="R1511" i="11"/>
  <c r="R1570" i="11"/>
  <c r="R1586" i="11"/>
  <c r="R1602" i="11"/>
  <c r="R1619" i="11"/>
  <c r="R1635" i="11"/>
  <c r="R1651" i="11"/>
  <c r="R1667" i="11"/>
  <c r="R1683" i="11"/>
  <c r="R1701" i="11"/>
  <c r="R1660" i="11"/>
  <c r="R1675" i="11"/>
  <c r="R1680" i="11"/>
  <c r="R1711" i="11"/>
  <c r="R1316" i="11"/>
  <c r="R1419" i="11"/>
  <c r="R1520" i="11"/>
  <c r="R1588" i="11"/>
  <c r="R1613" i="11"/>
  <c r="R1280" i="11"/>
  <c r="R1350" i="11"/>
  <c r="R1415" i="11"/>
  <c r="R1481" i="11"/>
  <c r="R1548" i="11"/>
  <c r="R1579" i="11"/>
  <c r="R1595" i="11"/>
  <c r="R1612" i="11"/>
  <c r="R1632" i="11"/>
  <c r="R1648" i="11"/>
  <c r="R1672" i="11"/>
  <c r="R1715" i="11"/>
  <c r="R1403" i="11"/>
  <c r="R1566" i="11"/>
  <c r="R1609" i="11"/>
  <c r="R1601" i="11"/>
  <c r="R1641" i="11"/>
  <c r="R1673" i="11"/>
  <c r="R1708" i="11"/>
  <c r="R1709" i="11"/>
  <c r="R1621" i="11"/>
  <c r="R1677" i="11"/>
  <c r="R1597" i="11"/>
  <c r="R1654" i="11"/>
  <c r="R1713" i="11"/>
  <c r="R1606" i="11"/>
  <c r="R1642" i="11"/>
  <c r="R1700" i="11"/>
  <c r="R1669" i="11"/>
  <c r="R1614" i="11"/>
  <c r="R1704" i="11"/>
  <c r="R1717" i="11"/>
  <c r="R1720" i="11"/>
  <c r="R1666" i="11"/>
  <c r="R1686" i="11"/>
  <c r="R1524" i="11"/>
  <c r="R1650" i="11"/>
  <c r="R1646" i="11"/>
  <c r="R1723" i="11"/>
  <c r="R1692" i="11"/>
  <c r="R1684" i="11"/>
  <c r="R1236" i="11"/>
  <c r="R1354" i="11"/>
  <c r="R1436" i="11"/>
  <c r="R1552" i="11"/>
  <c r="R1592" i="11"/>
  <c r="R1232" i="11"/>
  <c r="R1296" i="11"/>
  <c r="R1366" i="11"/>
  <c r="R1431" i="11"/>
  <c r="R1497" i="11"/>
  <c r="R1564" i="11"/>
  <c r="R1583" i="11"/>
  <c r="R1599" i="11"/>
  <c r="R1616" i="11"/>
  <c r="R1636" i="11"/>
  <c r="R1652" i="11"/>
  <c r="R1676" i="11"/>
  <c r="R1252" i="11"/>
  <c r="R1452" i="11"/>
  <c r="R1572" i="11"/>
  <c r="R1506" i="11"/>
  <c r="R1617" i="11"/>
  <c r="R1649" i="11"/>
  <c r="R1681" i="11"/>
  <c r="R1710" i="11"/>
  <c r="R1693" i="11"/>
  <c r="R1268" i="11"/>
  <c r="R1370" i="11"/>
  <c r="R1468" i="11"/>
  <c r="R1576" i="11"/>
  <c r="R1600" i="11"/>
  <c r="R1248" i="11"/>
  <c r="R1312" i="11"/>
  <c r="R1382" i="11"/>
  <c r="R1448" i="11"/>
  <c r="R1516" i="11"/>
  <c r="R1571" i="11"/>
  <c r="R1587" i="11"/>
  <c r="R1603" i="11"/>
  <c r="R1620" i="11"/>
  <c r="R1640" i="11"/>
  <c r="R1656" i="11"/>
  <c r="R1689" i="11"/>
  <c r="R1300" i="11"/>
  <c r="R1485" i="11"/>
  <c r="R1584" i="11"/>
  <c r="R1568" i="11"/>
  <c r="R1625" i="11"/>
  <c r="R1657" i="11"/>
  <c r="R1690" i="11"/>
  <c r="R1674" i="11"/>
  <c r="R1577" i="11"/>
  <c r="R1653" i="11"/>
  <c r="R1703" i="11"/>
  <c r="R1630" i="11"/>
  <c r="R1678" i="11"/>
  <c r="R1573" i="11"/>
  <c r="R1626" i="11"/>
  <c r="R1658" i="11"/>
  <c r="R1629" i="11"/>
  <c r="R1712" i="11"/>
  <c r="R1670" i="11"/>
  <c r="R1719" i="11"/>
  <c r="R1718" i="11"/>
  <c r="R1726" i="11"/>
  <c r="R1687" i="11"/>
  <c r="R1724" i="11"/>
  <c r="R1637" i="11"/>
  <c r="R1662" i="11"/>
  <c r="R1593" i="11"/>
  <c r="R1725" i="11"/>
  <c r="R1714" i="11"/>
  <c r="R1706" i="11"/>
  <c r="R1284" i="11"/>
  <c r="R1386" i="11"/>
  <c r="R1501" i="11"/>
  <c r="R1580" i="11"/>
  <c r="R1604" i="11"/>
  <c r="R1264" i="11"/>
  <c r="R1328" i="11"/>
  <c r="R1399" i="11"/>
  <c r="R1464" i="11"/>
  <c r="R1532" i="11"/>
  <c r="R1575" i="11"/>
  <c r="R1591" i="11"/>
  <c r="R1608" i="11"/>
  <c r="R1624" i="11"/>
  <c r="R1644" i="11"/>
  <c r="R1664" i="11"/>
  <c r="R1698" i="11"/>
  <c r="R1332" i="11"/>
  <c r="R1536" i="11"/>
  <c r="R1596" i="11"/>
  <c r="R1585" i="11"/>
  <c r="R1633" i="11"/>
  <c r="R1665" i="11"/>
  <c r="R1699" i="11"/>
  <c r="R1682" i="11"/>
  <c r="R1610" i="11"/>
  <c r="R1661" i="11"/>
  <c r="R1556" i="11"/>
  <c r="R1638" i="11"/>
  <c r="R1695" i="11"/>
  <c r="R1589" i="11"/>
  <c r="R1634" i="11"/>
  <c r="R1691" i="11"/>
  <c r="R1645" i="11"/>
  <c r="R1581" i="11"/>
  <c r="R1722" i="11"/>
  <c r="R1540" i="11"/>
  <c r="R1622" i="11"/>
  <c r="R1618" i="11"/>
  <c r="R1694" i="11"/>
  <c r="R1721" i="11"/>
  <c r="U42" i="2"/>
  <c r="J639" i="11" l="1"/>
  <c r="I639" i="11"/>
  <c r="T60" i="11"/>
  <c r="U1628" i="11"/>
  <c r="R1628" i="11" s="1"/>
  <c r="AZ62" i="4"/>
  <c r="AZ63" i="4" s="1"/>
  <c r="AV62" i="4"/>
  <c r="AV63" i="4" s="1"/>
  <c r="AD2047" i="11"/>
  <c r="AE2047" i="11" s="1"/>
  <c r="AD2031" i="11"/>
  <c r="AE2031" i="11" s="1"/>
  <c r="AD2042" i="11"/>
  <c r="AE2042" i="11" s="1"/>
  <c r="AD2052" i="11"/>
  <c r="AE2052" i="11" s="1"/>
  <c r="AD2045" i="11"/>
  <c r="AE2045" i="11" s="1"/>
  <c r="AD2029" i="11"/>
  <c r="AE2029" i="11" s="1"/>
  <c r="AD2032" i="11"/>
  <c r="AE2032" i="11" s="1"/>
  <c r="Z2053" i="11"/>
  <c r="AA2053" i="11" s="1"/>
  <c r="Z2037" i="11"/>
  <c r="AA2037" i="11" s="1"/>
  <c r="Z2052" i="11"/>
  <c r="AA2052" i="11" s="1"/>
  <c r="Z2036" i="11"/>
  <c r="Z2047" i="11"/>
  <c r="AA2047" i="11" s="1"/>
  <c r="Z2031" i="11"/>
  <c r="AA2031" i="11" s="1"/>
  <c r="Z2050" i="11"/>
  <c r="AA2050" i="11" s="1"/>
  <c r="AD2035" i="11"/>
  <c r="AE2035" i="11" s="1"/>
  <c r="AD2049" i="11"/>
  <c r="AE2049" i="11" s="1"/>
  <c r="Z2057" i="11"/>
  <c r="AA2057" i="11" s="1"/>
  <c r="Z2040" i="11"/>
  <c r="AA2040" i="11" s="1"/>
  <c r="Z2042" i="11"/>
  <c r="AA2042" i="11" s="1"/>
  <c r="AD2043" i="11"/>
  <c r="AE2043" i="11" s="1"/>
  <c r="AD2054" i="11"/>
  <c r="AE2054" i="11" s="1"/>
  <c r="AD2038" i="11"/>
  <c r="AE2038" i="11" s="1"/>
  <c r="AD2057" i="11"/>
  <c r="AE2057" i="11" s="1"/>
  <c r="AD2041" i="11"/>
  <c r="AE2041" i="11" s="1"/>
  <c r="AD2056" i="11"/>
  <c r="AE2056" i="11" s="1"/>
  <c r="AD2040" i="11"/>
  <c r="AE2040" i="11" s="1"/>
  <c r="Z2049" i="11"/>
  <c r="AA2049" i="11" s="1"/>
  <c r="Z2033" i="11"/>
  <c r="AA2033" i="11" s="1"/>
  <c r="Z2048" i="11"/>
  <c r="AA2048" i="11" s="1"/>
  <c r="Z2032" i="11"/>
  <c r="AA2032" i="11" s="1"/>
  <c r="Z2043" i="11"/>
  <c r="AA2043" i="11" s="1"/>
  <c r="Z2054" i="11"/>
  <c r="AA2054" i="11" s="1"/>
  <c r="Z2034" i="11"/>
  <c r="AA2034" i="11" s="1"/>
  <c r="AD2046" i="11"/>
  <c r="AE2046" i="11" s="1"/>
  <c r="AD2033" i="11"/>
  <c r="AE2033" i="11" s="1"/>
  <c r="Z2041" i="11"/>
  <c r="AA2041" i="11" s="1"/>
  <c r="Z2051" i="11"/>
  <c r="AA2051" i="11" s="1"/>
  <c r="Z2030" i="11"/>
  <c r="AA2030" i="11" s="1"/>
  <c r="AD2055" i="11"/>
  <c r="AE2055" i="11" s="1"/>
  <c r="AD2039" i="11"/>
  <c r="AE2039" i="11" s="1"/>
  <c r="AD2050" i="11"/>
  <c r="AE2050" i="11" s="1"/>
  <c r="AD2034" i="11"/>
  <c r="AE2034" i="11" s="1"/>
  <c r="AD2053" i="11"/>
  <c r="AE2053" i="11" s="1"/>
  <c r="AD2037" i="11"/>
  <c r="AE2037" i="11" s="1"/>
  <c r="AD2048" i="11"/>
  <c r="AE2048" i="11" s="1"/>
  <c r="AD2036" i="11"/>
  <c r="AE2036" i="11" s="1"/>
  <c r="Z2045" i="11"/>
  <c r="AA2045" i="11" s="1"/>
  <c r="Z2029" i="11"/>
  <c r="AA2029" i="11" s="1"/>
  <c r="Z2044" i="11"/>
  <c r="AA2044" i="11" s="1"/>
  <c r="Z2055" i="11"/>
  <c r="AA2055" i="11" s="1"/>
  <c r="Z2039" i="11"/>
  <c r="AA2039" i="11" s="1"/>
  <c r="Z2038" i="11"/>
  <c r="AA2038" i="11" s="1"/>
  <c r="Z2046" i="11"/>
  <c r="AA2046" i="11" s="1"/>
  <c r="AD2051" i="11"/>
  <c r="AE2051" i="11" s="1"/>
  <c r="AD2030" i="11"/>
  <c r="AE2030" i="11" s="1"/>
  <c r="AD2044" i="11"/>
  <c r="AE2044" i="11" s="1"/>
  <c r="Z2056" i="11"/>
  <c r="AA2056" i="11" s="1"/>
  <c r="Z2035" i="11"/>
  <c r="AA2035" i="11" s="1"/>
  <c r="R2057" i="11"/>
  <c r="S2057" i="11" s="1"/>
  <c r="R2041" i="11"/>
  <c r="S2041" i="11" s="1"/>
  <c r="R2056" i="11"/>
  <c r="S2056" i="11" s="1"/>
  <c r="R2040" i="11"/>
  <c r="S2040" i="11" s="1"/>
  <c r="R2051" i="11"/>
  <c r="S2051" i="11" s="1"/>
  <c r="R2035" i="11"/>
  <c r="S2035" i="11" s="1"/>
  <c r="R2046" i="11"/>
  <c r="S2046" i="11" s="1"/>
  <c r="R2030" i="11"/>
  <c r="S2030" i="11" s="1"/>
  <c r="V2043" i="11"/>
  <c r="W2043" i="11" s="1"/>
  <c r="V2054" i="11"/>
  <c r="W2054" i="11" s="1"/>
  <c r="V2038" i="11"/>
  <c r="W2038" i="11" s="1"/>
  <c r="V2053" i="11"/>
  <c r="W2053" i="11" s="1"/>
  <c r="V2037" i="11"/>
  <c r="W2037" i="11" s="1"/>
  <c r="V2032" i="11"/>
  <c r="W2032" i="11" s="1"/>
  <c r="V2052" i="11"/>
  <c r="W2052" i="11" s="1"/>
  <c r="L2048" i="11"/>
  <c r="M2048" i="11" s="1"/>
  <c r="L2032" i="11"/>
  <c r="M2032" i="11" s="1"/>
  <c r="L2043" i="11"/>
  <c r="M2043" i="11" s="1"/>
  <c r="L2054" i="11"/>
  <c r="M2054" i="11" s="1"/>
  <c r="L2038" i="11"/>
  <c r="M2038" i="11" s="1"/>
  <c r="L2057" i="11"/>
  <c r="M2057" i="11" s="1"/>
  <c r="L2053" i="11"/>
  <c r="M2053" i="11" s="1"/>
  <c r="N2051" i="11"/>
  <c r="O2051" i="11" s="1"/>
  <c r="N2035" i="11"/>
  <c r="O2035" i="11" s="1"/>
  <c r="N2046" i="11"/>
  <c r="O2046" i="11" s="1"/>
  <c r="N2030" i="11"/>
  <c r="O2030" i="11" s="1"/>
  <c r="N2045" i="11"/>
  <c r="O2045" i="11" s="1"/>
  <c r="N2029" i="11"/>
  <c r="O2029" i="11" s="1"/>
  <c r="N2048" i="11"/>
  <c r="O2048" i="11" s="1"/>
  <c r="P2054" i="11"/>
  <c r="Q2054" i="11" s="1"/>
  <c r="P2038" i="11"/>
  <c r="Q2038" i="11" s="1"/>
  <c r="P2053" i="11"/>
  <c r="Q2053" i="11" s="1"/>
  <c r="P2037" i="11"/>
  <c r="Q2037" i="11" s="1"/>
  <c r="P2052" i="11"/>
  <c r="Q2052" i="11" s="1"/>
  <c r="P2036" i="11"/>
  <c r="Q2036" i="11" s="1"/>
  <c r="P2031" i="11"/>
  <c r="Q2031" i="11" s="1"/>
  <c r="P2047" i="11"/>
  <c r="Q2047" i="11" s="1"/>
  <c r="T2044" i="11"/>
  <c r="U2044" i="11" s="1"/>
  <c r="T2055" i="11"/>
  <c r="U2055" i="11" s="1"/>
  <c r="T2039" i="11"/>
  <c r="U2039" i="11" s="1"/>
  <c r="T2050" i="11"/>
  <c r="U2050" i="11" s="1"/>
  <c r="T2034" i="11"/>
  <c r="U2034" i="11" s="1"/>
  <c r="T2037" i="11"/>
  <c r="U2037" i="11" s="1"/>
  <c r="T2053" i="11"/>
  <c r="U2053" i="11" s="1"/>
  <c r="AB2048" i="11"/>
  <c r="AC2048" i="11" s="1"/>
  <c r="AB2032" i="11"/>
  <c r="AC2032" i="11" s="1"/>
  <c r="AB2043" i="11"/>
  <c r="AC2043" i="11" s="1"/>
  <c r="AB2054" i="11"/>
  <c r="AC2054" i="11" s="1"/>
  <c r="AB2038" i="11"/>
  <c r="AC2038" i="11" s="1"/>
  <c r="AB2041" i="11"/>
  <c r="AC2041" i="11" s="1"/>
  <c r="AB2033" i="11"/>
  <c r="AC2033" i="11" s="1"/>
  <c r="X2050" i="11"/>
  <c r="Y2050" i="11" s="1"/>
  <c r="X2034" i="11"/>
  <c r="Y2034" i="11" s="1"/>
  <c r="X2049" i="11"/>
  <c r="Y2049" i="11" s="1"/>
  <c r="X2033" i="11"/>
  <c r="Y2033" i="11" s="1"/>
  <c r="X2048" i="11"/>
  <c r="Y2048" i="11" s="1"/>
  <c r="X2032" i="11"/>
  <c r="Y2032" i="11" s="1"/>
  <c r="X2039" i="11"/>
  <c r="Y2039" i="11" s="1"/>
  <c r="R2034" i="11"/>
  <c r="S2034" i="11" s="1"/>
  <c r="V2048" i="11"/>
  <c r="W2048" i="11" s="1"/>
  <c r="L2047" i="11"/>
  <c r="M2047" i="11" s="1"/>
  <c r="L2033" i="11"/>
  <c r="M2033" i="11" s="1"/>
  <c r="N2050" i="11"/>
  <c r="O2050" i="11" s="1"/>
  <c r="N2033" i="11"/>
  <c r="O2033" i="11" s="1"/>
  <c r="P2042" i="11"/>
  <c r="Q2042" i="11" s="1"/>
  <c r="P2056" i="11"/>
  <c r="Q2056" i="11" s="1"/>
  <c r="P2035" i="11"/>
  <c r="Q2035" i="11" s="1"/>
  <c r="T2043" i="11"/>
  <c r="U2043" i="11" s="1"/>
  <c r="T2029" i="11"/>
  <c r="U2029" i="11" s="1"/>
  <c r="AB2036" i="11"/>
  <c r="AC2036" i="11" s="1"/>
  <c r="AB2042" i="11"/>
  <c r="AC2042" i="11" s="1"/>
  <c r="X2054" i="11"/>
  <c r="Y2054" i="11" s="1"/>
  <c r="X2037" i="11"/>
  <c r="Y2037" i="11" s="1"/>
  <c r="X2043" i="11"/>
  <c r="Y2043" i="11" s="1"/>
  <c r="X2055" i="11"/>
  <c r="Y2055" i="11" s="1"/>
  <c r="R2053" i="11"/>
  <c r="S2053" i="11" s="1"/>
  <c r="R2037" i="11"/>
  <c r="S2037" i="11" s="1"/>
  <c r="R2052" i="11"/>
  <c r="S2052" i="11" s="1"/>
  <c r="R2036" i="11"/>
  <c r="S2036" i="11" s="1"/>
  <c r="R2047" i="11"/>
  <c r="S2047" i="11" s="1"/>
  <c r="R2031" i="11"/>
  <c r="S2031" i="11" s="1"/>
  <c r="R2054" i="11"/>
  <c r="S2054" i="11" s="1"/>
  <c r="V2055" i="11"/>
  <c r="W2055" i="11" s="1"/>
  <c r="V2039" i="11"/>
  <c r="W2039" i="11" s="1"/>
  <c r="V2050" i="11"/>
  <c r="W2050" i="11" s="1"/>
  <c r="V2034" i="11"/>
  <c r="W2034" i="11" s="1"/>
  <c r="V2049" i="11"/>
  <c r="W2049" i="11" s="1"/>
  <c r="V2033" i="11"/>
  <c r="W2033" i="11" s="1"/>
  <c r="V2040" i="11"/>
  <c r="W2040" i="11" s="1"/>
  <c r="V2036" i="11"/>
  <c r="W2036" i="11" s="1"/>
  <c r="L2044" i="11"/>
  <c r="M2044" i="11" s="1"/>
  <c r="L2055" i="11"/>
  <c r="M2055" i="11" s="1"/>
  <c r="L2039" i="11"/>
  <c r="M2039" i="11" s="1"/>
  <c r="L2050" i="11"/>
  <c r="M2050" i="11" s="1"/>
  <c r="L2034" i="11"/>
  <c r="M2034" i="11" s="1"/>
  <c r="L2041" i="11"/>
  <c r="M2041" i="11" s="1"/>
  <c r="L2029" i="11"/>
  <c r="M2029" i="11" s="1"/>
  <c r="N2047" i="11"/>
  <c r="O2047" i="11" s="1"/>
  <c r="N2031" i="11"/>
  <c r="O2031" i="11" s="1"/>
  <c r="N2042" i="11"/>
  <c r="O2042" i="11" s="1"/>
  <c r="N2057" i="11"/>
  <c r="O2057" i="11" s="1"/>
  <c r="N2041" i="11"/>
  <c r="O2041" i="11" s="1"/>
  <c r="N2052" i="11"/>
  <c r="O2052" i="11" s="1"/>
  <c r="N2032" i="11"/>
  <c r="O2032" i="11" s="1"/>
  <c r="P2050" i="11"/>
  <c r="Q2050" i="11" s="1"/>
  <c r="P2034" i="11"/>
  <c r="Q2034" i="11" s="1"/>
  <c r="P2049" i="11"/>
  <c r="Q2049" i="11" s="1"/>
  <c r="P2033" i="11"/>
  <c r="Q2033" i="11" s="1"/>
  <c r="P2048" i="11"/>
  <c r="Q2048" i="11" s="1"/>
  <c r="P2032" i="11"/>
  <c r="Q2032" i="11" s="1"/>
  <c r="P2043" i="11"/>
  <c r="Q2043" i="11" s="1"/>
  <c r="T2056" i="11"/>
  <c r="U2056" i="11" s="1"/>
  <c r="T2040" i="11"/>
  <c r="U2040" i="11" s="1"/>
  <c r="T2051" i="11"/>
  <c r="U2051" i="11" s="1"/>
  <c r="T2035" i="11"/>
  <c r="U2035" i="11" s="1"/>
  <c r="T2046" i="11"/>
  <c r="U2046" i="11" s="1"/>
  <c r="T2030" i="11"/>
  <c r="U2030" i="11" s="1"/>
  <c r="T2049" i="11"/>
  <c r="U2049" i="11" s="1"/>
  <c r="T2033" i="11"/>
  <c r="U2033" i="11" s="1"/>
  <c r="AB2044" i="11"/>
  <c r="AC2044" i="11" s="1"/>
  <c r="AB2055" i="11"/>
  <c r="AC2055" i="11" s="1"/>
  <c r="AB2039" i="11"/>
  <c r="AC2039" i="11" s="1"/>
  <c r="AB2050" i="11"/>
  <c r="AC2050" i="11" s="1"/>
  <c r="AB2034" i="11"/>
  <c r="AC2034" i="11" s="1"/>
  <c r="AB2049" i="11"/>
  <c r="AC2049" i="11" s="1"/>
  <c r="AB2045" i="11"/>
  <c r="AC2045" i="11" s="1"/>
  <c r="X2046" i="11"/>
  <c r="Y2046" i="11" s="1"/>
  <c r="X2030" i="11"/>
  <c r="Y2030" i="11" s="1"/>
  <c r="X2045" i="11"/>
  <c r="Y2045" i="11" s="1"/>
  <c r="X2029" i="11"/>
  <c r="Y2029" i="11" s="1"/>
  <c r="X2044" i="11"/>
  <c r="Y2044" i="11" s="1"/>
  <c r="X2051" i="11"/>
  <c r="Y2051" i="11" s="1"/>
  <c r="X2047" i="11"/>
  <c r="Y2047" i="11" s="1"/>
  <c r="R2029" i="11"/>
  <c r="S2029" i="11" s="1"/>
  <c r="R2055" i="11"/>
  <c r="S2055" i="11" s="1"/>
  <c r="R2050" i="11"/>
  <c r="S2050" i="11" s="1"/>
  <c r="V2031" i="11"/>
  <c r="W2031" i="11" s="1"/>
  <c r="V2057" i="11"/>
  <c r="W2057" i="11" s="1"/>
  <c r="V2056" i="11"/>
  <c r="W2056" i="11" s="1"/>
  <c r="L2036" i="11"/>
  <c r="M2036" i="11" s="1"/>
  <c r="L2042" i="11"/>
  <c r="M2042" i="11" s="1"/>
  <c r="N2055" i="11"/>
  <c r="O2055" i="11" s="1"/>
  <c r="N2034" i="11"/>
  <c r="O2034" i="11" s="1"/>
  <c r="N2040" i="11"/>
  <c r="O2040" i="11" s="1"/>
  <c r="P2041" i="11"/>
  <c r="Q2041" i="11" s="1"/>
  <c r="P2039" i="11"/>
  <c r="Q2039" i="11" s="1"/>
  <c r="T2032" i="11"/>
  <c r="U2032" i="11" s="1"/>
  <c r="T2038" i="11"/>
  <c r="U2038" i="11" s="1"/>
  <c r="AB2052" i="11"/>
  <c r="AC2052" i="11" s="1"/>
  <c r="AB2031" i="11"/>
  <c r="AC2031" i="11" s="1"/>
  <c r="AB2037" i="11"/>
  <c r="AC2037" i="11" s="1"/>
  <c r="X2053" i="11"/>
  <c r="Y2053" i="11" s="1"/>
  <c r="X2036" i="11"/>
  <c r="Y2036" i="11" s="1"/>
  <c r="R2049" i="11"/>
  <c r="S2049" i="11" s="1"/>
  <c r="R2033" i="11"/>
  <c r="S2033" i="11" s="1"/>
  <c r="R2048" i="11"/>
  <c r="S2048" i="11" s="1"/>
  <c r="R2032" i="11"/>
  <c r="S2032" i="11" s="1"/>
  <c r="R2043" i="11"/>
  <c r="S2043" i="11" s="1"/>
  <c r="R2042" i="11"/>
  <c r="S2042" i="11" s="1"/>
  <c r="R2038" i="11"/>
  <c r="S2038" i="11" s="1"/>
  <c r="V2051" i="11"/>
  <c r="W2051" i="11" s="1"/>
  <c r="V2035" i="11"/>
  <c r="W2035" i="11" s="1"/>
  <c r="V2046" i="11"/>
  <c r="W2046" i="11" s="1"/>
  <c r="V2030" i="11"/>
  <c r="W2030" i="11" s="1"/>
  <c r="V2045" i="11"/>
  <c r="W2045" i="11" s="1"/>
  <c r="V2029" i="11"/>
  <c r="W2029" i="11" s="1"/>
  <c r="V2044" i="11"/>
  <c r="W2044" i="11" s="1"/>
  <c r="L2056" i="11"/>
  <c r="M2056" i="11" s="1"/>
  <c r="L2040" i="11"/>
  <c r="M2040" i="11" s="1"/>
  <c r="L2051" i="11"/>
  <c r="M2051" i="11" s="1"/>
  <c r="L2035" i="11"/>
  <c r="M2035" i="11" s="1"/>
  <c r="L2046" i="11"/>
  <c r="M2046" i="11" s="1"/>
  <c r="L2049" i="11"/>
  <c r="M2049" i="11" s="1"/>
  <c r="L2037" i="11"/>
  <c r="M2037" i="11" s="1"/>
  <c r="L2030" i="11"/>
  <c r="M2030" i="11" s="1"/>
  <c r="N2043" i="11"/>
  <c r="O2043" i="11" s="1"/>
  <c r="N2054" i="11"/>
  <c r="O2054" i="11" s="1"/>
  <c r="N2038" i="11"/>
  <c r="O2038" i="11" s="1"/>
  <c r="N2053" i="11"/>
  <c r="O2053" i="11" s="1"/>
  <c r="N2037" i="11"/>
  <c r="O2037" i="11" s="1"/>
  <c r="N2036" i="11"/>
  <c r="O2036" i="11" s="1"/>
  <c r="N2044" i="11"/>
  <c r="O2044" i="11" s="1"/>
  <c r="P2046" i="11"/>
  <c r="Q2046" i="11" s="1"/>
  <c r="P2030" i="11"/>
  <c r="Q2030" i="11" s="1"/>
  <c r="P2045" i="11"/>
  <c r="Q2045" i="11" s="1"/>
  <c r="P2029" i="11"/>
  <c r="Q2029" i="11" s="1"/>
  <c r="P2044" i="11"/>
  <c r="Q2044" i="11" s="1"/>
  <c r="P2055" i="11"/>
  <c r="Q2055" i="11" s="1"/>
  <c r="P2051" i="11"/>
  <c r="Q2051" i="11" s="1"/>
  <c r="T2052" i="11"/>
  <c r="U2052" i="11" s="1"/>
  <c r="T2036" i="11"/>
  <c r="U2036" i="11" s="1"/>
  <c r="T2047" i="11"/>
  <c r="U2047" i="11" s="1"/>
  <c r="T2031" i="11"/>
  <c r="U2031" i="11" s="1"/>
  <c r="T2042" i="11"/>
  <c r="U2042" i="11" s="1"/>
  <c r="T2045" i="11"/>
  <c r="U2045" i="11" s="1"/>
  <c r="T2057" i="11"/>
  <c r="U2057" i="11" s="1"/>
  <c r="AB2056" i="11"/>
  <c r="AC2056" i="11" s="1"/>
  <c r="AB2040" i="11"/>
  <c r="AC2040" i="11" s="1"/>
  <c r="AB2051" i="11"/>
  <c r="AC2051" i="11" s="1"/>
  <c r="AB2035" i="11"/>
  <c r="AC2035" i="11" s="1"/>
  <c r="AB2046" i="11"/>
  <c r="AC2046" i="11" s="1"/>
  <c r="AB2030" i="11"/>
  <c r="AC2030" i="11" s="1"/>
  <c r="AB2053" i="11"/>
  <c r="AC2053" i="11" s="1"/>
  <c r="AB2029" i="11"/>
  <c r="AC2029" i="11" s="1"/>
  <c r="X2042" i="11"/>
  <c r="Y2042" i="11" s="1"/>
  <c r="X2057" i="11"/>
  <c r="Y2057" i="11" s="1"/>
  <c r="X2041" i="11"/>
  <c r="Y2041" i="11" s="1"/>
  <c r="X2056" i="11"/>
  <c r="Y2056" i="11" s="1"/>
  <c r="X2040" i="11"/>
  <c r="Y2040" i="11" s="1"/>
  <c r="X2035" i="11"/>
  <c r="Y2035" i="11" s="1"/>
  <c r="X2031" i="11"/>
  <c r="Y2031" i="11" s="1"/>
  <c r="R2045" i="11"/>
  <c r="S2045" i="11" s="1"/>
  <c r="R2044" i="11"/>
  <c r="S2044" i="11" s="1"/>
  <c r="R2039" i="11"/>
  <c r="S2039" i="11" s="1"/>
  <c r="V2047" i="11"/>
  <c r="W2047" i="11" s="1"/>
  <c r="V2042" i="11"/>
  <c r="W2042" i="11" s="1"/>
  <c r="V2041" i="11"/>
  <c r="W2041" i="11" s="1"/>
  <c r="L2052" i="11"/>
  <c r="M2052" i="11" s="1"/>
  <c r="L2031" i="11"/>
  <c r="M2031" i="11" s="1"/>
  <c r="L2045" i="11"/>
  <c r="M2045" i="11" s="1"/>
  <c r="N2039" i="11"/>
  <c r="O2039" i="11" s="1"/>
  <c r="N2049" i="11"/>
  <c r="O2049" i="11" s="1"/>
  <c r="N2056" i="11"/>
  <c r="O2056" i="11" s="1"/>
  <c r="P2057" i="11"/>
  <c r="Q2057" i="11" s="1"/>
  <c r="P2040" i="11"/>
  <c r="Q2040" i="11" s="1"/>
  <c r="T2048" i="11"/>
  <c r="U2048" i="11" s="1"/>
  <c r="T2054" i="11"/>
  <c r="U2054" i="11" s="1"/>
  <c r="T2041" i="11"/>
  <c r="U2041" i="11" s="1"/>
  <c r="AB2047" i="11"/>
  <c r="AC2047" i="11" s="1"/>
  <c r="AB2057" i="11"/>
  <c r="AC2057" i="11" s="1"/>
  <c r="X2038" i="11"/>
  <c r="Y2038" i="11" s="1"/>
  <c r="X2052" i="11"/>
  <c r="Y2052" i="11" s="1"/>
  <c r="AA2036" i="11"/>
  <c r="K2028" i="11"/>
  <c r="I793" i="11" l="1"/>
  <c r="C53" i="4" s="1"/>
  <c r="C31" i="4"/>
  <c r="J793" i="11"/>
  <c r="D53" i="4" s="1"/>
  <c r="D31" i="4"/>
  <c r="U60" i="11"/>
  <c r="V60" i="11"/>
  <c r="AY64" i="4"/>
  <c r="AX64" i="4"/>
  <c r="AW64" i="4"/>
  <c r="AV64" i="4"/>
  <c r="AZ64" i="4"/>
  <c r="T639" i="11"/>
  <c r="S639" i="11"/>
  <c r="L2058" i="11"/>
  <c r="K2029" i="1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N2058" i="11"/>
  <c r="BC36" i="4" l="1"/>
  <c r="AW36" i="4"/>
  <c r="O64" i="4"/>
  <c r="D64" i="4"/>
  <c r="D55" i="4"/>
  <c r="O55" i="4"/>
  <c r="C65" i="4"/>
  <c r="D65" i="4" s="1"/>
  <c r="E63" i="4" s="1"/>
  <c r="N65" i="4"/>
  <c r="O65" i="4" s="1"/>
  <c r="P63" i="4" s="1"/>
  <c r="N56" i="4"/>
  <c r="O56" i="4" s="1"/>
  <c r="P54" i="4" s="1"/>
  <c r="N21" i="4"/>
  <c r="L2059" i="11"/>
  <c r="J2058" i="11"/>
  <c r="BF201" i="11"/>
  <c r="BF224" i="11" s="1"/>
  <c r="BI201" i="11"/>
  <c r="BI224" i="11" s="1"/>
  <c r="J2060"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91" i="18"/>
  <c r="B60" i="18"/>
  <c r="B22" i="18"/>
  <c r="B15" i="18"/>
  <c r="B9" i="18"/>
  <c r="S64" i="18"/>
  <c r="B59" i="18"/>
  <c r="B63" i="18"/>
  <c r="B56" i="18"/>
  <c r="B11" i="18"/>
  <c r="B113" i="18"/>
  <c r="B102" i="18" l="1"/>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7" i="11"/>
  <c r="K1098" i="11"/>
  <c r="K1099" i="11"/>
  <c r="K1105" i="11"/>
  <c r="K1106" i="11"/>
  <c r="K1108"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J15" i="18"/>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0" i="11"/>
  <c r="T1832" i="11"/>
  <c r="T1824" i="11"/>
  <c r="T1816" i="11"/>
  <c r="T1808" i="11"/>
  <c r="T1800" i="11"/>
  <c r="T1792" i="11"/>
  <c r="T1784" i="11"/>
  <c r="T1776" i="11"/>
  <c r="T1768" i="11"/>
  <c r="T1759" i="11"/>
  <c r="T1751" i="11"/>
  <c r="T1743" i="11"/>
  <c r="AJ14" i="18" l="1"/>
  <c r="AL10" i="18"/>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AS44" i="2"/>
  <c r="AJ18" i="18" l="1"/>
  <c r="T62" i="11"/>
  <c r="S1372" i="11" a="1"/>
  <c r="T63" i="11"/>
  <c r="Q58" i="6"/>
  <c r="P58" i="6"/>
  <c r="Q57" i="6"/>
  <c r="P57" i="6"/>
  <c r="AJ19" i="18" l="1"/>
  <c r="U62" i="11"/>
  <c r="V62" i="11"/>
  <c r="U63" i="11"/>
  <c r="V63" i="11"/>
  <c r="AJ20" i="18"/>
  <c r="AJ21" i="18" s="1"/>
  <c r="AJ22" i="18" s="1"/>
  <c r="S1375" i="11" a="1"/>
  <c r="S1375" i="11" s="1"/>
  <c r="S1380" i="11" a="1"/>
  <c r="S1380" i="11" s="1"/>
  <c r="S1397" i="11" a="1"/>
  <c r="S1397" i="11" s="1"/>
  <c r="S1372" i="11"/>
  <c r="S1239" i="11"/>
  <c r="D29" i="2" s="1"/>
  <c r="T64" i="11"/>
  <c r="S1417" i="11"/>
  <c r="S1485" i="11" a="1"/>
  <c r="S1485" i="11" s="1"/>
  <c r="BE22" i="4" s="1"/>
  <c r="S1431" i="11" a="1"/>
  <c r="S1431" i="11" s="1"/>
  <c r="S1407" i="11" a="1"/>
  <c r="S1407" i="11" s="1"/>
  <c r="S1479" i="11" a="1"/>
  <c r="S1479" i="11" s="1"/>
  <c r="AY22" i="4" s="1"/>
  <c r="S1483" i="11" a="1"/>
  <c r="S1483" i="11" s="1"/>
  <c r="BC22" i="4" s="1"/>
  <c r="S1391" i="11" a="1"/>
  <c r="S1391" i="11" s="1"/>
  <c r="S1389" i="11" a="1"/>
  <c r="S1389" i="11" s="1"/>
  <c r="S1482" i="11" a="1"/>
  <c r="S1482" i="11" s="1"/>
  <c r="BB22" i="4" s="1"/>
  <c r="S1390" i="11" a="1"/>
  <c r="S1390" i="11" s="1"/>
  <c r="S1480" i="11" a="1"/>
  <c r="S1480" i="11" s="1"/>
  <c r="AZ22" i="4" s="1"/>
  <c r="S1484" i="11" a="1"/>
  <c r="S1484" i="11" s="1"/>
  <c r="BD22" i="4" s="1"/>
  <c r="S1481" i="11" a="1"/>
  <c r="S1481" i="11" s="1"/>
  <c r="BA22" i="4" s="1"/>
  <c r="S1710" i="11"/>
  <c r="T185" i="3" s="1"/>
  <c r="AC6" i="14"/>
  <c r="U64" i="11" l="1"/>
  <c r="V64" i="11"/>
  <c r="AJ23" i="18"/>
  <c r="C39" i="8"/>
  <c r="AJ24" i="18" l="1"/>
  <c r="AJ25" i="18" s="1"/>
  <c r="AJ26" i="18" s="1"/>
  <c r="AJ27" i="18" s="1"/>
  <c r="AJ29" i="18" s="1"/>
  <c r="AJ30" i="18" s="1"/>
  <c r="AJ31" i="18" s="1"/>
  <c r="AJ33" i="18" s="1"/>
  <c r="AJ34" i="18" s="1"/>
  <c r="AJ35" i="18" s="1"/>
  <c r="AJ36" i="18" s="1"/>
  <c r="AJ37" i="18" s="1"/>
  <c r="AJ38"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60" i="11"/>
  <c r="H1839" i="11"/>
  <c r="H1888" i="11"/>
  <c r="H1913" i="11"/>
  <c r="H1826" i="11"/>
  <c r="H1756" i="11"/>
  <c r="H1769" i="11"/>
  <c r="H1812" i="11"/>
  <c r="H1822" i="11"/>
  <c r="H1827" i="11"/>
  <c r="H1847" i="11"/>
  <c r="H1862" i="11"/>
  <c r="H1900" i="11"/>
  <c r="H1752" i="11"/>
  <c r="H1785" i="11"/>
  <c r="H1872" i="11"/>
  <c r="H1741" i="11"/>
  <c r="H1852" i="11"/>
  <c r="H1891" i="11"/>
  <c r="H1917" i="11"/>
  <c r="H1787" i="11"/>
  <c r="H1757" i="11"/>
  <c r="H1878" i="11"/>
  <c r="H1915" i="11"/>
  <c r="H1877" i="11"/>
  <c r="AL6" i="18" l="1"/>
  <c r="D2027" i="11"/>
  <c r="D2028" i="11"/>
  <c r="E2028" i="11" s="1"/>
  <c r="E2027"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7"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0" i="11" s="1"/>
  <c r="H49" i="5"/>
  <c r="B49" i="5" s="1"/>
  <c r="P48" i="5"/>
  <c r="R48" i="5" s="1"/>
  <c r="H48" i="5"/>
  <c r="U47" i="5"/>
  <c r="P47" i="5"/>
  <c r="R47" i="5" s="1"/>
  <c r="H47" i="5"/>
  <c r="B47" i="5" s="1"/>
  <c r="P46" i="5"/>
  <c r="H46" i="5"/>
  <c r="B46" i="5" s="1"/>
  <c r="U45" i="5"/>
  <c r="P45" i="5"/>
  <c r="R45" i="5" s="1"/>
  <c r="H45" i="5"/>
  <c r="P44" i="5"/>
  <c r="R44" i="5" s="1"/>
  <c r="U43" i="5"/>
  <c r="P43" i="5"/>
  <c r="H43" i="5"/>
  <c r="C1996" i="11" s="1"/>
  <c r="P42" i="5"/>
  <c r="U41" i="5"/>
  <c r="P41" i="5"/>
  <c r="P40" i="5"/>
  <c r="R40" i="5" s="1"/>
  <c r="U39" i="5"/>
  <c r="P39" i="5"/>
  <c r="P38" i="5"/>
  <c r="R38" i="5" s="1"/>
  <c r="U37" i="5"/>
  <c r="P37" i="5"/>
  <c r="C1968"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5" i="11" s="1"/>
  <c r="P13" i="5"/>
  <c r="P12" i="5"/>
  <c r="R12" i="5" s="1"/>
  <c r="P10" i="5"/>
  <c r="R10" i="5" s="1"/>
  <c r="Z877" i="11" s="1"/>
  <c r="C2014" i="11"/>
  <c r="C2013"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3" i="11" l="1"/>
  <c r="G15" i="14"/>
  <c r="L177" i="13" s="1"/>
  <c r="G16" i="14"/>
  <c r="G11" i="14"/>
  <c r="G13" i="14"/>
  <c r="C2010"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2" i="11"/>
  <c r="G9" i="14"/>
  <c r="J14" i="14" s="1"/>
  <c r="C1984" i="11"/>
  <c r="C1987" i="11"/>
  <c r="C1992" i="11"/>
  <c r="C1998" i="11"/>
  <c r="C1960" i="11"/>
  <c r="H112" i="13"/>
  <c r="B112" i="13" s="1"/>
  <c r="H93" i="13"/>
  <c r="B93" i="13" s="1"/>
  <c r="C1943" i="11"/>
  <c r="C1947" i="11"/>
  <c r="C1954" i="11"/>
  <c r="C1957" i="11"/>
  <c r="C1988" i="11"/>
  <c r="C1951" i="11"/>
  <c r="C1965" i="11"/>
  <c r="C1975" i="11"/>
  <c r="C1983" i="11"/>
  <c r="C2011" i="11"/>
  <c r="C1962" i="11"/>
  <c r="C1953" i="11"/>
  <c r="C1961" i="11"/>
  <c r="C1956" i="11"/>
  <c r="R25" i="5"/>
  <c r="C1949" i="11"/>
  <c r="C1959" i="11"/>
  <c r="R28" i="5"/>
  <c r="C1950" i="11"/>
  <c r="C1964" i="11"/>
  <c r="C1978" i="11"/>
  <c r="C1986" i="11"/>
  <c r="C1991" i="11"/>
  <c r="C2001" i="11"/>
  <c r="C2006" i="11"/>
  <c r="C2012" i="11"/>
  <c r="C2005" i="11"/>
  <c r="B53" i="5"/>
  <c r="C1976" i="11"/>
  <c r="C1989" i="11"/>
  <c r="C1999" i="11"/>
  <c r="C2004" i="11"/>
  <c r="C1946" i="11"/>
  <c r="C1979" i="11"/>
  <c r="C2002" i="11"/>
  <c r="C2008" i="11"/>
  <c r="R13" i="5"/>
  <c r="C1948" i="11"/>
  <c r="R17" i="5"/>
  <c r="C1952" i="11"/>
  <c r="R21" i="5"/>
  <c r="C1955" i="11"/>
  <c r="R24" i="5"/>
  <c r="C1958" i="11"/>
  <c r="R27" i="5"/>
  <c r="C1963" i="11"/>
  <c r="R32" i="5"/>
  <c r="C1997" i="11"/>
  <c r="B45" i="5"/>
  <c r="C2000" i="11"/>
  <c r="B48" i="5"/>
  <c r="I965" i="11"/>
  <c r="C1970" i="11"/>
  <c r="R39" i="5"/>
  <c r="C1993" i="11"/>
  <c r="R62" i="5"/>
  <c r="R37" i="5"/>
  <c r="C1973" i="11"/>
  <c r="R42" i="5"/>
  <c r="C1971" i="11"/>
  <c r="C1977" i="11"/>
  <c r="R46" i="5"/>
  <c r="C1982" i="11"/>
  <c r="R51" i="5"/>
  <c r="C1985" i="11"/>
  <c r="R54" i="5"/>
  <c r="C1990" i="11"/>
  <c r="R59" i="5"/>
  <c r="C1972" i="11"/>
  <c r="R41" i="5"/>
  <c r="C1974" i="11"/>
  <c r="R43" i="5"/>
  <c r="C1966" i="11"/>
  <c r="R35" i="5"/>
  <c r="BE27" i="4" s="1"/>
  <c r="BF27" i="4" s="1"/>
  <c r="R36" i="5"/>
  <c r="C2009" i="11"/>
  <c r="H108" i="13"/>
  <c r="B108" i="13" s="1"/>
  <c r="C1969" i="11"/>
  <c r="B92" i="13"/>
  <c r="H118" i="13"/>
  <c r="B118" i="13" s="1"/>
  <c r="H105" i="13"/>
  <c r="B105" i="13" s="1"/>
  <c r="H116" i="13"/>
  <c r="B116" i="13" s="1"/>
  <c r="K17" i="14"/>
  <c r="H100" i="13"/>
  <c r="B100" i="13" s="1"/>
  <c r="R37" i="14"/>
  <c r="L156" i="13" l="1"/>
  <c r="L155" i="13"/>
  <c r="Z885" i="11"/>
  <c r="Z915" i="11"/>
  <c r="BG26" i="4"/>
  <c r="H113" i="13"/>
  <c r="H94" i="13"/>
  <c r="B94" i="13" s="1"/>
  <c r="C1967"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5" i="11"/>
  <c r="G926" i="11"/>
  <c r="G927" i="11"/>
  <c r="G928" i="11"/>
  <c r="G929" i="11"/>
  <c r="G930" i="11"/>
  <c r="G931" i="11"/>
  <c r="G932" i="11"/>
  <c r="G933" i="11"/>
  <c r="G934" i="11"/>
  <c r="G935" i="11"/>
  <c r="G936" i="11"/>
  <c r="G937" i="11"/>
  <c r="G938" i="11"/>
  <c r="G939" i="11"/>
  <c r="G940" i="11"/>
  <c r="G941" i="11"/>
  <c r="G942" i="11"/>
  <c r="G944" i="11"/>
  <c r="G945" i="11"/>
  <c r="G946" i="11"/>
  <c r="G947" i="11"/>
  <c r="G948" i="11"/>
  <c r="G949" i="11"/>
  <c r="G950" i="11"/>
  <c r="G951" i="11"/>
  <c r="G952" i="11"/>
  <c r="G953" i="11"/>
  <c r="G954" i="11"/>
  <c r="H963" i="11"/>
  <c r="H964" i="11"/>
  <c r="H965" i="11"/>
  <c r="H966" i="11"/>
  <c r="H967" i="11"/>
  <c r="H968" i="11"/>
  <c r="H970" i="11"/>
  <c r="H971" i="11"/>
  <c r="H972" i="11"/>
  <c r="H973" i="11"/>
  <c r="H974" i="11"/>
  <c r="H975" i="11"/>
  <c r="H976" i="11"/>
  <c r="H977" i="11"/>
  <c r="H978" i="11"/>
  <c r="H979" i="11"/>
  <c r="H980" i="11"/>
  <c r="H981" i="11"/>
  <c r="H982" i="11"/>
  <c r="H983" i="11"/>
  <c r="H984" i="11"/>
  <c r="H985" i="11"/>
  <c r="H986" i="11"/>
  <c r="H987" i="11"/>
  <c r="H988" i="11"/>
  <c r="G28" i="5" s="1"/>
  <c r="H989" i="11"/>
  <c r="H991" i="11"/>
  <c r="L797" i="11" s="1"/>
  <c r="H992" i="11"/>
  <c r="H993" i="11"/>
  <c r="H994" i="11"/>
  <c r="H995" i="11"/>
  <c r="H996" i="11"/>
  <c r="H997" i="11"/>
  <c r="H1001" i="11"/>
  <c r="H1002" i="11"/>
  <c r="H1003" i="11"/>
  <c r="H1004" i="11"/>
  <c r="H1005" i="11"/>
  <c r="L814" i="11" s="1"/>
  <c r="H1006" i="11"/>
  <c r="L815" i="11" s="1"/>
  <c r="H1007" i="11"/>
  <c r="L816" i="11" s="1"/>
  <c r="L817" i="11"/>
  <c r="H1014" i="11"/>
  <c r="H1015" i="11"/>
  <c r="H1016" i="11"/>
  <c r="H1017" i="11"/>
  <c r="H1018" i="11"/>
  <c r="H1019" i="11"/>
  <c r="H1020" i="11"/>
  <c r="H1021" i="11"/>
  <c r="H1022"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8" i="11"/>
  <c r="G1418" i="11"/>
  <c r="F1419" i="11"/>
  <c r="G1419" i="11"/>
  <c r="F1420" i="11"/>
  <c r="G1420" i="11"/>
  <c r="F1421" i="11"/>
  <c r="G1421" i="11"/>
  <c r="F1422" i="11"/>
  <c r="G1422" i="11"/>
  <c r="P1471" i="11"/>
  <c r="Q1471" i="11"/>
  <c r="P1472" i="11"/>
  <c r="Q1472" i="11"/>
  <c r="P1473" i="11"/>
  <c r="Q1473" i="11"/>
  <c r="P1474" i="11"/>
  <c r="Q1474" i="11"/>
  <c r="P1475" i="11"/>
  <c r="Q1475" i="11"/>
  <c r="P1476" i="11"/>
  <c r="Q1476" i="11"/>
  <c r="P1477" i="11"/>
  <c r="Q1477" i="11"/>
  <c r="P1717" i="11"/>
  <c r="Q1717" i="11"/>
  <c r="P1718" i="11"/>
  <c r="Q1718" i="11"/>
  <c r="P1719" i="11"/>
  <c r="Q1719" i="11"/>
  <c r="P1720" i="11"/>
  <c r="Q1720" i="11"/>
  <c r="P1721" i="11"/>
  <c r="Q1721" i="11"/>
  <c r="P1722" i="11"/>
  <c r="Q1722" i="11"/>
  <c r="P1723" i="11"/>
  <c r="Q1723" i="11"/>
  <c r="P1724" i="11"/>
  <c r="Q1724" i="11"/>
  <c r="P1725" i="11"/>
  <c r="Q1725" i="11"/>
  <c r="P1726" i="11"/>
  <c r="Q1726" i="11"/>
  <c r="J1127" i="11"/>
  <c r="J1128" i="11"/>
  <c r="J1129" i="11"/>
  <c r="J1130" i="11"/>
  <c r="J1131" i="11"/>
  <c r="J1132" i="11"/>
  <c r="J1133" i="11"/>
  <c r="D1134" i="11"/>
  <c r="E1134" i="11"/>
  <c r="F1134" i="11"/>
  <c r="G1134" i="11"/>
  <c r="J1134" i="11"/>
  <c r="R1134" i="11"/>
  <c r="D1135" i="11"/>
  <c r="E1135" i="11"/>
  <c r="F1135" i="11"/>
  <c r="G1135" i="11"/>
  <c r="J1135" i="11"/>
  <c r="R1135" i="11"/>
  <c r="AB1204" i="11"/>
  <c r="Z1204" i="11" s="1"/>
  <c r="AC1204" i="11"/>
  <c r="AD1204"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7" i="11"/>
  <c r="D2058" i="11"/>
  <c r="D2059" i="11"/>
  <c r="D2060"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V807" i="11" l="1"/>
  <c r="V808" i="11"/>
  <c r="O809" i="11"/>
  <c r="O806" i="11"/>
  <c r="V806" i="11"/>
  <c r="O807" i="11"/>
  <c r="V809" i="11"/>
  <c r="O808" i="11"/>
  <c r="G31" i="4" s="1"/>
  <c r="O810" i="11"/>
  <c r="L806"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7" i="11"/>
  <c r="S1157" i="11"/>
  <c r="S1170" i="11"/>
  <c r="Q1170" i="11"/>
  <c r="Q1178" i="11"/>
  <c r="S1178" i="11"/>
  <c r="S1143" i="11"/>
  <c r="Q1143" i="11"/>
  <c r="AE56" i="9"/>
  <c r="S1169" i="11"/>
  <c r="Q1169" i="11"/>
  <c r="Q1167" i="11"/>
  <c r="S1167" i="11"/>
  <c r="S1147" i="11"/>
  <c r="Q1147" i="11"/>
  <c r="S1152" i="11"/>
  <c r="Q1152" i="11"/>
  <c r="S1140" i="11"/>
  <c r="Q1140" i="11"/>
  <c r="S1168" i="11"/>
  <c r="Q1168" i="11"/>
  <c r="S1173" i="11"/>
  <c r="Q1173" i="11"/>
  <c r="S1146" i="11"/>
  <c r="Q1146" i="11"/>
  <c r="Q1172" i="11"/>
  <c r="S1172" i="11"/>
  <c r="Q1176" i="11"/>
  <c r="S1176" i="11"/>
  <c r="Q1145" i="11"/>
  <c r="S1145" i="11"/>
  <c r="S1150" i="11"/>
  <c r="Q1150" i="11"/>
  <c r="Q1148" i="11"/>
  <c r="S1148" i="11"/>
  <c r="Q1144" i="11"/>
  <c r="S1144" i="11"/>
  <c r="Q1177" i="11"/>
  <c r="S1177" i="11"/>
  <c r="S1175" i="11"/>
  <c r="Q1175" i="11"/>
  <c r="S1142" i="11"/>
  <c r="Q1142" i="11"/>
  <c r="Q1171" i="11"/>
  <c r="S1171" i="11"/>
  <c r="Q1179" i="11"/>
  <c r="S1179" i="11"/>
  <c r="AE61" i="9"/>
  <c r="Q1174" i="11"/>
  <c r="S1174" i="11"/>
  <c r="S1153" i="11"/>
  <c r="Q1153" i="11"/>
  <c r="S1154" i="11"/>
  <c r="Q1154" i="11"/>
  <c r="Q1180" i="11"/>
  <c r="S1180" i="11"/>
  <c r="S1181" i="11"/>
  <c r="Q1181" i="11"/>
  <c r="S1166" i="11"/>
  <c r="Q1166" i="11"/>
  <c r="S1165" i="11"/>
  <c r="Q1165" i="11"/>
  <c r="Q1160" i="11"/>
  <c r="S1160" i="11"/>
  <c r="S1163" i="11"/>
  <c r="Q1163" i="11"/>
  <c r="Q1155" i="11"/>
  <c r="S1155" i="11"/>
  <c r="S1164" i="11"/>
  <c r="Q1164" i="11"/>
  <c r="S1161" i="11"/>
  <c r="Q1161" i="11"/>
  <c r="S1159" i="11"/>
  <c r="Q1159" i="11"/>
  <c r="S1156" i="11"/>
  <c r="Q1156" i="11"/>
  <c r="Q1162" i="11"/>
  <c r="S1162" i="11"/>
  <c r="Q1158" i="11"/>
  <c r="S1158" i="11"/>
  <c r="S1149" i="11"/>
  <c r="Q1149" i="11"/>
  <c r="S1151" i="11"/>
  <c r="Q1151"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8" i="11" s="1"/>
  <c r="O37" i="2"/>
  <c r="AF1959" i="11" s="1"/>
  <c r="B133" i="13"/>
  <c r="H134" i="13"/>
  <c r="U610" i="11"/>
  <c r="U614" i="11"/>
  <c r="V604" i="11"/>
  <c r="U611" i="11"/>
  <c r="U609" i="11"/>
  <c r="V605" i="11"/>
  <c r="V603" i="11"/>
  <c r="V601" i="11"/>
  <c r="E813" i="11" s="1"/>
  <c r="E799"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60" i="11"/>
  <c r="E2059" i="11"/>
  <c r="E2058" i="11"/>
  <c r="Q1139" i="11"/>
  <c r="P1139" i="11" s="1"/>
  <c r="L810" i="11"/>
  <c r="O817" i="11"/>
  <c r="AE59" i="9"/>
  <c r="L813" i="11"/>
  <c r="AE60" i="9"/>
  <c r="L799" i="11"/>
  <c r="R191" i="3"/>
  <c r="J191" i="3"/>
  <c r="L83" i="3"/>
  <c r="T15" i="3"/>
  <c r="R83" i="3"/>
  <c r="N83" i="3"/>
  <c r="L117" i="3"/>
  <c r="L101" i="3"/>
  <c r="L795" i="11"/>
  <c r="Y624" i="11"/>
  <c r="X624" i="11"/>
  <c r="W1304" i="11"/>
  <c r="W1300" i="11"/>
  <c r="W1305" i="11"/>
  <c r="W1301" i="11"/>
  <c r="W1306" i="11"/>
  <c r="W1302" i="11"/>
  <c r="W1298" i="11"/>
  <c r="W1307" i="11"/>
  <c r="W1303" i="11"/>
  <c r="W1299" i="11"/>
  <c r="AA591" i="11"/>
  <c r="M952" i="11"/>
  <c r="L952" i="11"/>
  <c r="M939" i="11"/>
  <c r="L939" i="11"/>
  <c r="M927" i="11"/>
  <c r="L927" i="11"/>
  <c r="L951" i="11"/>
  <c r="M951" i="11"/>
  <c r="L947" i="11"/>
  <c r="M947" i="11"/>
  <c r="L942" i="11"/>
  <c r="M942" i="11"/>
  <c r="L938" i="11"/>
  <c r="M938" i="11"/>
  <c r="L934" i="11"/>
  <c r="M934" i="11"/>
  <c r="L930" i="11"/>
  <c r="M930" i="11"/>
  <c r="L926" i="11"/>
  <c r="M926" i="11"/>
  <c r="M948" i="11"/>
  <c r="L948" i="11"/>
  <c r="M931" i="11"/>
  <c r="L931" i="11"/>
  <c r="L954" i="11"/>
  <c r="M954" i="11"/>
  <c r="L950" i="11"/>
  <c r="M950" i="11"/>
  <c r="L946" i="11"/>
  <c r="M946" i="11"/>
  <c r="L941" i="11"/>
  <c r="M941" i="11"/>
  <c r="L937" i="11"/>
  <c r="M937" i="11"/>
  <c r="L933" i="11"/>
  <c r="M933" i="11"/>
  <c r="L929" i="11"/>
  <c r="M929" i="11"/>
  <c r="M925" i="11"/>
  <c r="L925" i="11"/>
  <c r="M944" i="11"/>
  <c r="L944" i="11"/>
  <c r="M935" i="11"/>
  <c r="L935" i="11"/>
  <c r="L953" i="11"/>
  <c r="M953" i="11"/>
  <c r="M949" i="11"/>
  <c r="L949" i="11"/>
  <c r="L945" i="11"/>
  <c r="M945" i="11"/>
  <c r="L940" i="11"/>
  <c r="M940" i="11"/>
  <c r="L936" i="11"/>
  <c r="M936" i="11"/>
  <c r="L932" i="11"/>
  <c r="M932" i="11"/>
  <c r="L928" i="11"/>
  <c r="M928"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7" i="11"/>
  <c r="D2064" i="11"/>
  <c r="G2018" i="11"/>
  <c r="D2065" i="11"/>
  <c r="AQ43" i="4"/>
  <c r="AQ35" i="4"/>
  <c r="AQ32" i="4"/>
  <c r="AQ48" i="4"/>
  <c r="AQ41" i="4"/>
  <c r="AQ38" i="4"/>
  <c r="G2016" i="11"/>
  <c r="D2063" i="11"/>
  <c r="D2062" i="11"/>
  <c r="G2014" i="11"/>
  <c r="D2061" i="11"/>
  <c r="AE57" i="9"/>
  <c r="X15" i="11"/>
  <c r="U9" i="11" s="1"/>
  <c r="V49" i="6"/>
  <c r="V45" i="6"/>
  <c r="V39" i="6"/>
  <c r="V50" i="6"/>
  <c r="V44" i="6"/>
  <c r="V40" i="6"/>
  <c r="V47" i="6"/>
  <c r="V43" i="6"/>
  <c r="V41" i="6"/>
  <c r="V37" i="6"/>
  <c r="V48" i="6"/>
  <c r="V46" i="6"/>
  <c r="V42" i="6"/>
  <c r="V38" i="6"/>
  <c r="V13" i="6"/>
  <c r="V12" i="6"/>
  <c r="M68" i="6"/>
  <c r="Q1141" i="11"/>
  <c r="AD53" i="7"/>
  <c r="S1139"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5"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1" i="11"/>
  <c r="V90" i="3"/>
  <c r="V93" i="3"/>
  <c r="V98" i="3"/>
  <c r="V32" i="3"/>
  <c r="V25" i="3"/>
  <c r="AE55" i="9"/>
  <c r="V38" i="3"/>
  <c r="AA26" i="3"/>
  <c r="AQ44" i="4"/>
  <c r="P1140" i="11" l="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H16" i="4"/>
  <c r="H17" i="4"/>
  <c r="Z332" i="11"/>
  <c r="V177" i="3" s="1"/>
  <c r="M191" i="3"/>
  <c r="H1227" i="11"/>
  <c r="H1234" i="11"/>
  <c r="H1221"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AQ107" i="9"/>
  <c r="B134" i="13"/>
  <c r="H135" i="13"/>
  <c r="V813" i="11"/>
  <c r="E2064" i="11"/>
  <c r="E2065" i="11"/>
  <c r="E2063" i="11"/>
  <c r="E2062" i="11"/>
  <c r="E2061" i="11"/>
  <c r="Z191" i="3"/>
  <c r="S83" i="3"/>
  <c r="Q101" i="3"/>
  <c r="S101" i="3" s="1"/>
  <c r="U101" i="3" s="1"/>
  <c r="S117" i="3"/>
  <c r="AK18" i="2"/>
  <c r="AK19" i="2"/>
  <c r="AK17" i="2"/>
  <c r="AK16" i="2"/>
  <c r="U624" i="11"/>
  <c r="U627" i="11" s="1"/>
  <c r="AK14" i="2"/>
  <c r="AK13" i="2"/>
  <c r="AK15" i="2"/>
  <c r="AK12" i="2"/>
  <c r="AY19" i="4"/>
  <c r="BE19" i="4"/>
  <c r="H15" i="10"/>
  <c r="V799" i="11"/>
  <c r="T10" i="11"/>
  <c r="U11" i="11"/>
  <c r="T11" i="11"/>
  <c r="T9" i="11"/>
  <c r="U10" i="11"/>
  <c r="H26" i="6"/>
  <c r="G2000" i="11" s="1"/>
  <c r="AA108" i="3"/>
  <c r="Q191" i="3" l="1"/>
  <c r="O191" i="3"/>
  <c r="W59" i="6"/>
  <c r="W54" i="6"/>
  <c r="W69" i="6"/>
  <c r="W71" i="6"/>
  <c r="W55" i="6"/>
  <c r="W66" i="6"/>
  <c r="W68" i="6"/>
  <c r="W65" i="6"/>
  <c r="W60" i="6"/>
  <c r="W67" i="6"/>
  <c r="W62" i="6"/>
  <c r="W56" i="6"/>
  <c r="W61" i="6"/>
  <c r="W70" i="6"/>
  <c r="W72" i="6"/>
  <c r="W73" i="6" s="1"/>
  <c r="W63" i="6"/>
  <c r="W64" i="6"/>
  <c r="W58" i="6"/>
  <c r="W53" i="6"/>
  <c r="W57" i="6"/>
  <c r="V101" i="3"/>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S191" i="3" s="1"/>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8" i="11"/>
  <c r="H1229" i="11"/>
  <c r="H1241" i="11"/>
  <c r="H1236" i="11"/>
  <c r="H1239" i="11"/>
  <c r="H1223" i="11"/>
  <c r="H1230" i="11"/>
  <c r="H1233" i="11"/>
  <c r="H1232" i="11"/>
  <c r="H1235" i="11"/>
  <c r="H1222" i="11"/>
  <c r="H1225" i="11"/>
  <c r="H1228" i="11"/>
  <c r="H1231" i="11"/>
  <c r="J1227" i="11" s="1"/>
  <c r="H1237" i="11"/>
  <c r="H1226" i="11"/>
  <c r="H1240" i="11"/>
  <c r="H1224" i="11"/>
  <c r="H1416" i="11"/>
  <c r="H1411" i="11"/>
  <c r="H1407" i="11"/>
  <c r="H1403" i="11"/>
  <c r="H1397" i="11"/>
  <c r="H1393" i="11"/>
  <c r="H1388" i="11"/>
  <c r="H1384" i="11"/>
  <c r="H1380" i="11"/>
  <c r="H1375" i="11"/>
  <c r="H1371" i="11"/>
  <c r="H1367" i="11"/>
  <c r="H1363" i="11"/>
  <c r="H1358" i="11"/>
  <c r="H1354" i="11"/>
  <c r="H1350" i="11"/>
  <c r="H1346" i="11"/>
  <c r="H1342" i="11"/>
  <c r="H1338" i="11"/>
  <c r="H1334" i="11"/>
  <c r="H1330" i="11"/>
  <c r="H1322" i="11"/>
  <c r="H1310" i="11"/>
  <c r="H1297" i="11"/>
  <c r="H1289" i="11"/>
  <c r="H1277" i="11"/>
  <c r="H1265" i="11"/>
  <c r="H1253" i="11"/>
  <c r="H1415" i="11"/>
  <c r="H1410" i="11"/>
  <c r="H1406" i="11"/>
  <c r="H1401" i="11"/>
  <c r="H1396" i="11"/>
  <c r="H1392"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4" i="11"/>
  <c r="AI52" i="11" s="1"/>
  <c r="H1280" i="11"/>
  <c r="H1276" i="11"/>
  <c r="H1272" i="11"/>
  <c r="H1268" i="11"/>
  <c r="H1264" i="11"/>
  <c r="H1260" i="11"/>
  <c r="H1256" i="11"/>
  <c r="H1252" i="11"/>
  <c r="H1248" i="11"/>
  <c r="H1244" i="11"/>
  <c r="H1283" i="11"/>
  <c r="H1275" i="11"/>
  <c r="H1267" i="11"/>
  <c r="H1263" i="11"/>
  <c r="H1255" i="11"/>
  <c r="H1247" i="11"/>
  <c r="H1394" i="11"/>
  <c r="H1381" i="11"/>
  <c r="H1368" i="11"/>
  <c r="H1351" i="11"/>
  <c r="H1339" i="11"/>
  <c r="H1327" i="11"/>
  <c r="H1315" i="11"/>
  <c r="H1303" i="11"/>
  <c r="H1286" i="11"/>
  <c r="H1274" i="11"/>
  <c r="H1262" i="11"/>
  <c r="H1413" i="11"/>
  <c r="H1409" i="11"/>
  <c r="H1405" i="11"/>
  <c r="H1400" i="11"/>
  <c r="H1395" i="11"/>
  <c r="H1390" i="11"/>
  <c r="H1386" i="11"/>
  <c r="H1382" i="11"/>
  <c r="H1377" i="11"/>
  <c r="H1373" i="11"/>
  <c r="H1369" i="11"/>
  <c r="H1365" i="11"/>
  <c r="H1361" i="11"/>
  <c r="H1356" i="11"/>
  <c r="H1352" i="11"/>
  <c r="H1348" i="11"/>
  <c r="H1344" i="11"/>
  <c r="H1340" i="11"/>
  <c r="H1336" i="11"/>
  <c r="H1332" i="11"/>
  <c r="H1328" i="11"/>
  <c r="H1324" i="11"/>
  <c r="H1320" i="11"/>
  <c r="H1316" i="11"/>
  <c r="H1312" i="11"/>
  <c r="H1308" i="11"/>
  <c r="H1304" i="11"/>
  <c r="H1300" i="11"/>
  <c r="H1295" i="11"/>
  <c r="H1291" i="11"/>
  <c r="H1287" i="11"/>
  <c r="H1279" i="11"/>
  <c r="H1271" i="11"/>
  <c r="H1259" i="11"/>
  <c r="H1251" i="11"/>
  <c r="H1243" i="11"/>
  <c r="H1408" i="11"/>
  <c r="H1404" i="11"/>
  <c r="H1389" i="11"/>
  <c r="H1376" i="11"/>
  <c r="H1364" i="11"/>
  <c r="H1355" i="11"/>
  <c r="H1343" i="11"/>
  <c r="H1331" i="11"/>
  <c r="H1319" i="11"/>
  <c r="H1307" i="11"/>
  <c r="H1290" i="11"/>
  <c r="H1278" i="11"/>
  <c r="H1266" i="11"/>
  <c r="H1254" i="11"/>
  <c r="H1246" i="11"/>
  <c r="H1318" i="11"/>
  <c r="H1306" i="11"/>
  <c r="H1293" i="11"/>
  <c r="H1285" i="11"/>
  <c r="AJ52" i="11" s="1"/>
  <c r="AJ54" i="11" s="1"/>
  <c r="H1273" i="11"/>
  <c r="H1261" i="11"/>
  <c r="H1249" i="11"/>
  <c r="H1412" i="11"/>
  <c r="H1399" i="11"/>
  <c r="H1385" i="11"/>
  <c r="H1372" i="11"/>
  <c r="H1360" i="11"/>
  <c r="H1347" i="11"/>
  <c r="H1335" i="11"/>
  <c r="H1323" i="11"/>
  <c r="H1311" i="11"/>
  <c r="H1298" i="11"/>
  <c r="H1294" i="11"/>
  <c r="H1282" i="11"/>
  <c r="H1270" i="11"/>
  <c r="H1258" i="11"/>
  <c r="H1250" i="11"/>
  <c r="H1242" i="11"/>
  <c r="H1326" i="11"/>
  <c r="H1314" i="11"/>
  <c r="H1302" i="11"/>
  <c r="H1281" i="11"/>
  <c r="H1269" i="11"/>
  <c r="H1257" i="11"/>
  <c r="H1245" i="11"/>
  <c r="B64" i="5"/>
  <c r="B63" i="5"/>
  <c r="H1418" i="11"/>
  <c r="H1420" i="11"/>
  <c r="H1419" i="11"/>
  <c r="H1421" i="11"/>
  <c r="H1422" i="11"/>
  <c r="C12" i="8"/>
  <c r="F20" i="8" s="1"/>
  <c r="P15" i="14"/>
  <c r="AA58" i="11" l="1"/>
  <c r="N25" i="14"/>
  <c r="K156" i="13"/>
  <c r="K136" i="13"/>
  <c r="L107" i="13"/>
  <c r="L178" i="13"/>
  <c r="K144" i="13"/>
  <c r="L123" i="13"/>
  <c r="L136" i="13"/>
  <c r="L125" i="13"/>
  <c r="L168" i="13"/>
  <c r="L140" i="13"/>
  <c r="L163" i="13"/>
  <c r="L145" i="13"/>
  <c r="L119" i="13"/>
  <c r="L191" i="13"/>
  <c r="L172" i="13"/>
  <c r="L134" i="13"/>
  <c r="L170" i="13"/>
  <c r="Z637" i="11"/>
  <c r="J1301" i="11" a="1"/>
  <c r="J1301" i="11" s="1"/>
  <c r="J1311" i="11" a="1"/>
  <c r="J1311" i="11" s="1"/>
  <c r="B136" i="13"/>
  <c r="H137" i="13"/>
  <c r="N27" i="14"/>
  <c r="J168" i="13" s="1"/>
  <c r="J1302" i="11" a="1"/>
  <c r="J1302" i="11" s="1"/>
  <c r="J1305" i="11" a="1"/>
  <c r="J1305" i="11" s="1"/>
  <c r="J1308" i="11" a="1"/>
  <c r="J1308" i="11" s="1"/>
  <c r="J1303" i="11" a="1"/>
  <c r="J1303" i="11" s="1"/>
  <c r="J1306" i="11" a="1"/>
  <c r="J1306" i="11" s="1"/>
  <c r="J1309" i="11" a="1"/>
  <c r="J1309" i="11" s="1"/>
  <c r="J1304" i="11" a="1"/>
  <c r="J1304" i="11" s="1"/>
  <c r="J1307" i="11" a="1"/>
  <c r="J1307" i="11" s="1"/>
  <c r="J1310" i="11" a="1"/>
  <c r="J1310" i="11" s="1"/>
  <c r="J1238" i="11" a="1"/>
  <c r="J1238" i="11" s="1"/>
  <c r="J1274" i="11" a="1"/>
  <c r="J1274" i="11" s="1"/>
  <c r="J1236" i="11" a="1"/>
  <c r="J1236" i="11" s="1"/>
  <c r="J1240" i="11" a="1"/>
  <c r="J1240" i="11" s="1"/>
  <c r="J1237" i="11" a="1"/>
  <c r="J1237" i="11" s="1"/>
  <c r="J1235" i="11" a="1"/>
  <c r="J1235" i="11" s="1"/>
  <c r="J1234" i="11" a="1"/>
  <c r="J1234" i="11" s="1"/>
  <c r="J1239" i="11" a="1"/>
  <c r="J1239" i="11" s="1"/>
  <c r="J1233" i="11" a="1"/>
  <c r="J1233" i="11" s="1"/>
  <c r="AN37" i="2"/>
  <c r="AN36" i="2"/>
  <c r="J1228" i="11"/>
  <c r="T2" i="2"/>
  <c r="C22" i="8"/>
  <c r="U5" i="14"/>
  <c r="H61" i="6" s="1"/>
  <c r="T3" i="2" l="1"/>
  <c r="D544" i="11"/>
  <c r="H18" i="6"/>
  <c r="I18" i="6" s="1"/>
  <c r="J167" i="13"/>
  <c r="F50" i="14"/>
  <c r="R29" i="14"/>
  <c r="J178" i="13"/>
  <c r="AN33" i="2"/>
  <c r="V53" i="4"/>
  <c r="B137" i="13"/>
  <c r="H139" i="13"/>
  <c r="H140" i="13" s="1"/>
  <c r="H21" i="6"/>
  <c r="I21" i="6" s="1"/>
  <c r="H16" i="6"/>
  <c r="H17" i="6"/>
  <c r="G1997" i="11"/>
  <c r="G1996" i="11"/>
  <c r="G1998"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5" i="11"/>
  <c r="G1999" i="11"/>
  <c r="G1992" i="11"/>
  <c r="G1991"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0" i="11"/>
  <c r="D548" i="11" l="1"/>
  <c r="B146" i="13"/>
  <c r="H147" i="13"/>
  <c r="B145" i="13"/>
  <c r="K939" i="11"/>
  <c r="K938" i="11"/>
  <c r="K954" i="11"/>
  <c r="K937" i="11"/>
  <c r="K935" i="11"/>
  <c r="K945" i="11"/>
  <c r="K952" i="11"/>
  <c r="K942" i="11"/>
  <c r="K926" i="11"/>
  <c r="K941" i="11"/>
  <c r="K925" i="11"/>
  <c r="K944" i="11"/>
  <c r="K949" i="11"/>
  <c r="K932" i="11"/>
  <c r="K951" i="11"/>
  <c r="K947" i="11"/>
  <c r="K930" i="11"/>
  <c r="K931" i="11"/>
  <c r="K946" i="11"/>
  <c r="K929" i="11"/>
  <c r="K953" i="11"/>
  <c r="K936" i="11"/>
  <c r="K927" i="11"/>
  <c r="K934" i="11"/>
  <c r="K948" i="11"/>
  <c r="K950" i="11"/>
  <c r="K933" i="11"/>
  <c r="K940" i="11"/>
  <c r="K928"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6" i="11"/>
  <c r="S1980" i="11"/>
  <c r="S1964" i="11"/>
  <c r="S1966" i="11"/>
  <c r="S1970" i="11"/>
  <c r="S1960" i="11"/>
  <c r="S1994" i="11"/>
  <c r="S1989" i="11"/>
  <c r="S1986" i="11"/>
  <c r="S1979" i="11"/>
  <c r="S1977" i="11"/>
  <c r="S1972" i="11"/>
  <c r="S1961" i="11"/>
  <c r="S1969" i="11"/>
  <c r="S1958" i="11"/>
  <c r="S1946" i="11"/>
  <c r="S1968" i="11"/>
  <c r="S1976" i="11"/>
  <c r="S1963" i="11"/>
  <c r="S1993" i="11"/>
  <c r="S1983" i="11"/>
  <c r="S1978" i="11"/>
  <c r="S1985" i="11"/>
  <c r="S1975" i="11"/>
  <c r="S1953" i="11"/>
  <c r="S1988" i="11"/>
  <c r="S1971" i="11"/>
  <c r="S1973" i="11"/>
  <c r="S1962" i="11"/>
  <c r="S1990" i="11"/>
  <c r="S1981" i="11"/>
  <c r="S1987" i="11"/>
  <c r="S1982" i="11"/>
  <c r="S1944"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0" i="11" s="1"/>
  <c r="AJ142" i="3"/>
  <c r="AJ138" i="3"/>
  <c r="AI138" i="3"/>
  <c r="AI135" i="3"/>
  <c r="T1953" i="11" s="1"/>
  <c r="AJ135" i="3"/>
  <c r="AJ128" i="3"/>
  <c r="AI128" i="3"/>
  <c r="AI159" i="3"/>
  <c r="T1977" i="11" s="1"/>
  <c r="AJ159" i="3"/>
  <c r="AI176" i="3"/>
  <c r="T1994" i="11" s="1"/>
  <c r="AJ176" i="3"/>
  <c r="AJ155" i="3"/>
  <c r="AI155" i="3"/>
  <c r="AJ152" i="3"/>
  <c r="AI152" i="3"/>
  <c r="AI144" i="3"/>
  <c r="T1962" i="11" s="1"/>
  <c r="AJ144" i="3"/>
  <c r="AI175" i="3"/>
  <c r="T1993" i="11" s="1"/>
  <c r="AJ175" i="3"/>
  <c r="AJ172" i="3"/>
  <c r="AI172" i="3"/>
  <c r="AI146" i="3"/>
  <c r="T1964" i="11" s="1"/>
  <c r="AJ146" i="3"/>
  <c r="AI143" i="3"/>
  <c r="T1961" i="11" s="1"/>
  <c r="AJ143" i="3"/>
  <c r="AI153" i="3"/>
  <c r="T1971" i="11" s="1"/>
  <c r="AJ153" i="3"/>
  <c r="AI151" i="3"/>
  <c r="T1969" i="11" s="1"/>
  <c r="AJ151" i="3"/>
  <c r="AI148" i="3"/>
  <c r="T1966" i="11" s="1"/>
  <c r="AJ148" i="3"/>
  <c r="AI140" i="3"/>
  <c r="T1958" i="11" s="1"/>
  <c r="AJ140" i="3"/>
  <c r="AI168" i="3"/>
  <c r="T1986" i="11" s="1"/>
  <c r="AJ168" i="3"/>
  <c r="AJ161" i="3"/>
  <c r="AI161" i="3"/>
  <c r="AJ162" i="3"/>
  <c r="AI162" i="3"/>
  <c r="AI170" i="3"/>
  <c r="T1988" i="11" s="1"/>
  <c r="AJ170" i="3"/>
  <c r="AI154" i="3"/>
  <c r="T1972" i="11" s="1"/>
  <c r="AJ154" i="3"/>
  <c r="AJ163" i="3"/>
  <c r="AI163" i="3"/>
  <c r="AJ160" i="3"/>
  <c r="AI160" i="3"/>
  <c r="AJ169" i="3"/>
  <c r="AI169" i="3"/>
  <c r="AJ167" i="3"/>
  <c r="AI167" i="3"/>
  <c r="AJ164" i="3"/>
  <c r="AI164" i="3"/>
  <c r="AJ157" i="3"/>
  <c r="AI157" i="3"/>
  <c r="D553" i="11" l="1"/>
  <c r="D554" i="11" s="1"/>
  <c r="D555" i="11" s="1"/>
  <c r="D556" i="11" s="1"/>
  <c r="D557" i="11" s="1"/>
  <c r="S1955" i="11"/>
  <c r="S1950" i="11"/>
  <c r="S1952" i="11"/>
  <c r="S1967" i="11"/>
  <c r="S1984" i="11"/>
  <c r="S1957" i="11"/>
  <c r="S1954" i="11"/>
  <c r="S1974" i="11"/>
  <c r="S1951" i="11"/>
  <c r="S1947" i="11"/>
  <c r="S1992" i="11"/>
  <c r="S1945" i="11"/>
  <c r="S1959" i="11"/>
  <c r="S1965" i="11"/>
  <c r="S1949" i="11"/>
  <c r="S1948" i="11"/>
  <c r="B150" i="13"/>
  <c r="H152" i="13"/>
  <c r="B149" i="13"/>
  <c r="T1987" i="11"/>
  <c r="T1963" i="11"/>
  <c r="T1968" i="11"/>
  <c r="T1982" i="11"/>
  <c r="T1981" i="11"/>
  <c r="T1979" i="11"/>
  <c r="T1975" i="11"/>
  <c r="T1970" i="11"/>
  <c r="T1956" i="11"/>
  <c r="T1976" i="11"/>
  <c r="T1990" i="11"/>
  <c r="T1973" i="11"/>
  <c r="T1985" i="11"/>
  <c r="T1978" i="11"/>
  <c r="T1980" i="11"/>
  <c r="AJ147" i="3"/>
  <c r="AI147" i="3"/>
  <c r="AI137" i="3"/>
  <c r="T1955" i="11" s="1"/>
  <c r="AI132" i="3"/>
  <c r="T1950" i="11" s="1"/>
  <c r="AI166" i="3"/>
  <c r="T1984" i="11" s="1"/>
  <c r="AI139" i="3"/>
  <c r="AJ156" i="3"/>
  <c r="AI133" i="3"/>
  <c r="T1951" i="11" s="1"/>
  <c r="AJ129" i="3"/>
  <c r="AI141" i="3"/>
  <c r="T1959" i="11" s="1"/>
  <c r="AI131" i="3"/>
  <c r="AI149" i="3"/>
  <c r="T1967" i="11" s="1"/>
  <c r="AJ132" i="3"/>
  <c r="AI134" i="3"/>
  <c r="AJ149" i="3"/>
  <c r="AJ134" i="3"/>
  <c r="AJ137" i="3"/>
  <c r="AJ136" i="3"/>
  <c r="AI130" i="3"/>
  <c r="AI156" i="3"/>
  <c r="T1974" i="11" s="1"/>
  <c r="AJ131" i="3"/>
  <c r="AI136" i="3"/>
  <c r="AJ139" i="3"/>
  <c r="AJ141" i="3"/>
  <c r="AJ130" i="3"/>
  <c r="T1944" i="11"/>
  <c r="T1946" i="11"/>
  <c r="AJ166" i="3"/>
  <c r="AI127" i="3"/>
  <c r="AI174" i="3"/>
  <c r="T1992" i="11" s="1"/>
  <c r="AJ127" i="3"/>
  <c r="AJ174" i="3"/>
  <c r="AJ133" i="3"/>
  <c r="AI129" i="3"/>
  <c r="D564" i="11" l="1"/>
  <c r="D560" i="11"/>
  <c r="D563" i="11"/>
  <c r="D562" i="11"/>
  <c r="D565" i="11"/>
  <c r="D559" i="11"/>
  <c r="D561" i="11"/>
  <c r="D558" i="11"/>
  <c r="T1965" i="11"/>
  <c r="B152" i="13"/>
  <c r="H153" i="13"/>
  <c r="H155" i="13" s="1"/>
  <c r="H156" i="13" s="1"/>
  <c r="T1954" i="11"/>
  <c r="T1957" i="11"/>
  <c r="T1952" i="11"/>
  <c r="T1949" i="11"/>
  <c r="T1948" i="11"/>
  <c r="T1945" i="11"/>
  <c r="T1947"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5" i="11"/>
  <c r="X905" i="11"/>
  <c r="H950" i="11"/>
  <c r="H942" i="11"/>
  <c r="H941" i="11"/>
  <c r="H936" i="11"/>
  <c r="H952" i="11"/>
  <c r="X909" i="11"/>
  <c r="X890" i="11"/>
  <c r="V76" i="3"/>
  <c r="AH51" i="4" s="1"/>
  <c r="X901" i="11"/>
  <c r="H948" i="11"/>
  <c r="H935" i="11"/>
  <c r="H930" i="11"/>
  <c r="H947" i="11"/>
  <c r="X897" i="11"/>
  <c r="X911" i="11"/>
  <c r="H953" i="11"/>
  <c r="H929" i="11"/>
  <c r="H927" i="11"/>
  <c r="X884" i="11"/>
  <c r="X887" i="11"/>
  <c r="H944" i="11"/>
  <c r="H954" i="11"/>
  <c r="X913" i="11"/>
  <c r="H928" i="11"/>
  <c r="X914" i="11"/>
  <c r="X904" i="11"/>
  <c r="X912" i="11"/>
  <c r="H949" i="11"/>
  <c r="X903" i="11"/>
  <c r="X885" i="11"/>
  <c r="X900" i="11"/>
  <c r="J24" i="4"/>
  <c r="X896" i="11"/>
  <c r="X889" i="11"/>
  <c r="H945" i="11"/>
  <c r="X882" i="11"/>
  <c r="H940" i="11"/>
  <c r="H934" i="11"/>
  <c r="X883" i="11"/>
  <c r="H937" i="11"/>
  <c r="H931" i="11"/>
  <c r="X916" i="11"/>
  <c r="F24" i="4"/>
  <c r="H938" i="11"/>
  <c r="X893" i="11"/>
  <c r="X899" i="11"/>
  <c r="D24" i="4"/>
  <c r="X902" i="11"/>
  <c r="X894" i="11"/>
  <c r="H939" i="11"/>
  <c r="H951" i="11"/>
  <c r="X907" i="11"/>
  <c r="H932" i="11"/>
  <c r="H933" i="11"/>
  <c r="H24" i="4"/>
  <c r="S887" i="11"/>
  <c r="H946" i="11"/>
  <c r="X895" i="11"/>
  <c r="X898" i="11"/>
  <c r="X910" i="11"/>
  <c r="X908" i="11"/>
  <c r="X906" i="11"/>
  <c r="X915" i="11"/>
  <c r="X886" i="11"/>
  <c r="X888" i="11"/>
  <c r="V75" i="3" l="1"/>
  <c r="AH50" i="4" s="1"/>
  <c r="B173" i="13"/>
  <c r="H175" i="13"/>
  <c r="B172" i="13"/>
  <c r="L1069" i="11"/>
  <c r="L1072" i="11"/>
  <c r="L1073" i="11"/>
  <c r="F35" i="5" l="1"/>
  <c r="C1944" i="11" s="1"/>
  <c r="L1068" i="11"/>
  <c r="L1075" i="11"/>
  <c r="B175" i="13"/>
  <c r="H177" i="13"/>
  <c r="H178" i="13" s="1"/>
  <c r="L1067" i="11"/>
  <c r="W13" i="18" l="1"/>
  <c r="AH13" i="18" s="1"/>
  <c r="W55" i="18"/>
  <c r="W57" i="18"/>
  <c r="AH57" i="18" s="1"/>
  <c r="W11" i="18"/>
  <c r="AH11" i="18" s="1"/>
  <c r="L1071"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1" i="11" l="1"/>
  <c r="AJ64" i="11"/>
  <c r="AJ63" i="11"/>
  <c r="B183" i="13"/>
  <c r="H185" i="13"/>
  <c r="H188" i="13" s="1"/>
  <c r="AS111" i="9"/>
  <c r="AT111" i="9" s="1"/>
  <c r="AI173" i="3"/>
  <c r="T1991" i="11" s="1"/>
  <c r="AJ173" i="3"/>
  <c r="B188" i="13" l="1"/>
  <c r="H189" i="13"/>
  <c r="B185" i="13"/>
  <c r="AG102" i="9"/>
  <c r="AJ171" i="3"/>
  <c r="B189" i="13" l="1"/>
  <c r="H190" i="13"/>
  <c r="H191" i="13" s="1"/>
  <c r="AI171" i="3"/>
  <c r="T1989" i="11" s="1"/>
  <c r="AI165" i="3"/>
  <c r="T1983"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7" i="11"/>
  <c r="K1096" i="11"/>
  <c r="K1103" i="11"/>
  <c r="K1104" i="11"/>
  <c r="C59" i="14" l="1"/>
  <c r="C60" i="14" s="1"/>
  <c r="C61" i="14" s="1"/>
  <c r="H56" i="14"/>
  <c r="G56" i="14"/>
  <c r="E56" i="14"/>
  <c r="F56" i="14"/>
  <c r="K1102" i="11"/>
  <c r="K1100" i="11"/>
  <c r="H58" i="14" l="1"/>
  <c r="F58" i="14"/>
  <c r="G58" i="14"/>
  <c r="E58" i="14"/>
  <c r="F57" i="14"/>
  <c r="G57" i="14"/>
  <c r="E57" i="14"/>
  <c r="H57" i="14"/>
  <c r="E59" i="14" l="1"/>
  <c r="H59" i="14"/>
  <c r="F59" i="14"/>
  <c r="G59" i="14"/>
  <c r="E60" i="14"/>
  <c r="G60" i="14"/>
  <c r="H60" i="14"/>
  <c r="F60" i="14"/>
  <c r="E61" i="14" l="1"/>
  <c r="H61" i="14"/>
  <c r="G61" i="14"/>
  <c r="F61" i="14"/>
  <c r="D2026" i="11" l="1"/>
  <c r="D2025" i="11" l="1"/>
  <c r="E2026" i="11"/>
  <c r="E2025" i="11" l="1"/>
  <c r="X129" i="9" l="1"/>
  <c r="Z129" i="9" s="1"/>
  <c r="X112" i="9"/>
  <c r="Z112" i="9" s="1"/>
  <c r="X96" i="9"/>
  <c r="Z96" i="9" s="1"/>
  <c r="X113" i="9"/>
  <c r="Z113" i="9" s="1"/>
  <c r="X128" i="9"/>
  <c r="Z128" i="9" s="1"/>
  <c r="X97" i="9"/>
  <c r="Z97" i="9" s="1"/>
  <c r="AL827" i="11" l="1"/>
  <c r="AM827" i="11" s="1"/>
  <c r="AS95" i="9" l="1"/>
  <c r="AS127" i="9"/>
  <c r="AT127" i="9" s="1"/>
  <c r="AH93" i="9"/>
  <c r="AO827" i="11"/>
  <c r="AP827" i="11" s="1"/>
  <c r="AJ93" i="9" l="1"/>
  <c r="AT95" i="9"/>
  <c r="AQ827" i="11"/>
  <c r="AR827" i="11" s="1"/>
  <c r="R56" i="3" s="1"/>
  <c r="AG56" i="3" l="1"/>
  <c r="L56" i="3" s="1"/>
  <c r="AS827" i="11"/>
  <c r="AT827" i="11" s="1"/>
  <c r="AU827" i="11" l="1"/>
  <c r="AV827" i="11" s="1"/>
  <c r="AW827" i="11" s="1"/>
  <c r="AE43" i="3"/>
  <c r="AH56" i="3" l="1"/>
  <c r="AX827" i="11"/>
  <c r="AY827" i="11" s="1"/>
  <c r="AZ827" i="11" s="1"/>
  <c r="L640" i="11"/>
  <c r="BA827" i="11" l="1"/>
  <c r="BB827"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AI56" i="3" l="1"/>
  <c r="P56" i="3" s="1"/>
  <c r="N51" i="4"/>
  <c r="N60" i="4"/>
  <c r="BF32" i="4" s="1"/>
  <c r="C43" i="4"/>
  <c r="BA32" i="4" s="1"/>
  <c r="N36" i="4"/>
  <c r="AZ32" i="4" s="1"/>
  <c r="N29" i="4"/>
  <c r="AX32" i="4" s="1"/>
  <c r="C36" i="4"/>
  <c r="AY32" i="4" s="1"/>
  <c r="N43" i="4"/>
  <c r="BB32" i="4" s="1"/>
  <c r="BC827" i="11"/>
  <c r="BF763" i="11"/>
  <c r="AR763" i="11"/>
  <c r="AY763" i="11"/>
  <c r="L764" i="1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11" i="11"/>
  <c r="L812"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9"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AX638" i="11"/>
  <c r="AL638" i="11"/>
  <c r="AJ638" i="11"/>
  <c r="BE638" i="11"/>
  <c r="BE640" i="11" s="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7" i="11" l="1"/>
  <c r="BE827" i="11" s="1"/>
  <c r="L800" i="11"/>
  <c r="L801" i="11" s="1"/>
  <c r="AK765" i="11"/>
  <c r="BT765" i="11"/>
  <c r="BM765" i="11"/>
  <c r="BF765" i="11"/>
  <c r="AR765" i="11"/>
  <c r="AY765" i="11"/>
  <c r="AK764" i="11"/>
  <c r="BT764" i="11"/>
  <c r="BF764" i="11"/>
  <c r="BM764" i="11"/>
  <c r="AY764" i="11"/>
  <c r="BD32" i="4"/>
  <c r="AX640" i="11"/>
  <c r="BM640" i="11"/>
  <c r="AA125" i="9" l="1"/>
  <c r="AN123" i="9" s="1"/>
  <c r="AR123" i="9" s="1"/>
  <c r="BF827" i="11"/>
  <c r="BG827" i="11" s="1"/>
  <c r="AK654" i="11"/>
  <c r="AJ56" i="3" l="1"/>
  <c r="AP123" i="9"/>
  <c r="AO123" i="9"/>
  <c r="AB125" i="9"/>
  <c r="AQ123" i="9" s="1"/>
  <c r="BH827" i="11"/>
  <c r="BI827" i="11" s="1"/>
  <c r="BJ827" i="11" s="1"/>
  <c r="BS650" i="11"/>
  <c r="BL650" i="11"/>
  <c r="BL651" i="11" l="1"/>
  <c r="BS651" i="11"/>
  <c r="BL653" i="11"/>
  <c r="AR651" i="11"/>
  <c r="AQ650" i="11"/>
  <c r="BK827" i="11"/>
  <c r="BE650" i="11"/>
  <c r="AX650" i="11"/>
  <c r="BS661" i="11"/>
  <c r="BL827" i="11" l="1"/>
  <c r="AL56" i="3" s="1"/>
  <c r="AK56" i="3"/>
  <c r="T56" i="3" s="1"/>
  <c r="BE651" i="11"/>
  <c r="AX651" i="11"/>
  <c r="BS653" i="11"/>
  <c r="AQ651" i="11"/>
  <c r="BL654" i="11"/>
  <c r="BL656" i="11" s="1"/>
  <c r="AR655" i="11"/>
  <c r="AR656" i="11" s="1"/>
  <c r="BF651" i="11"/>
  <c r="BS654" i="11"/>
  <c r="BS656" i="11" s="1"/>
  <c r="AX661" i="11"/>
  <c r="AJ649" i="11"/>
  <c r="AJ650" i="11" s="1"/>
  <c r="AJ651" i="11" s="1"/>
  <c r="BE661" i="11"/>
  <c r="AX664" i="11"/>
  <c r="AQ664" i="11"/>
  <c r="BL664" i="11"/>
  <c r="AQ661" i="11" l="1"/>
  <c r="AQ653" i="11"/>
  <c r="BL657" i="11"/>
  <c r="BL658" i="11" s="1"/>
  <c r="BL659" i="11" s="1"/>
  <c r="BE653" i="11"/>
  <c r="AX654" i="11"/>
  <c r="BS657" i="11"/>
  <c r="BS658" i="11" s="1"/>
  <c r="BF655" i="11"/>
  <c r="BF656" i="11" s="1"/>
  <c r="BF665" i="11" s="1"/>
  <c r="AR665" i="11"/>
  <c r="BT651" i="11"/>
  <c r="AY651" i="11"/>
  <c r="BE664" i="11"/>
  <c r="BE654" i="11"/>
  <c r="BE656" i="11" s="1"/>
  <c r="AK649" i="11"/>
  <c r="AR668" i="11" l="1"/>
  <c r="AR670" i="11" s="1"/>
  <c r="AR671" i="11" s="1"/>
  <c r="AX656" i="11"/>
  <c r="AX657" i="11" s="1"/>
  <c r="AQ654" i="11"/>
  <c r="BS659" i="11"/>
  <c r="BS660" i="11" s="1"/>
  <c r="AJ654" i="11"/>
  <c r="BT655" i="11"/>
  <c r="BL660" i="11"/>
  <c r="BL661" i="11"/>
  <c r="BE657" i="11"/>
  <c r="BE658" i="11" s="1"/>
  <c r="BE659" i="11" s="1"/>
  <c r="BF668" i="11"/>
  <c r="BF670" i="11" s="1"/>
  <c r="BF671" i="11" s="1"/>
  <c r="AY655" i="11"/>
  <c r="AY656" i="11" s="1"/>
  <c r="AY665" i="11" s="1"/>
  <c r="AK651" i="11"/>
  <c r="AJ656" i="11"/>
  <c r="AR764" i="11"/>
  <c r="AJ657" i="11" l="1"/>
  <c r="AR672" i="11"/>
  <c r="AR674" i="11" s="1"/>
  <c r="AX658" i="11"/>
  <c r="AX659" i="11" s="1"/>
  <c r="BT656" i="11"/>
  <c r="BT665" i="11" s="1"/>
  <c r="BT668" i="11" s="1"/>
  <c r="BT670" i="11" s="1"/>
  <c r="AQ656" i="11"/>
  <c r="AQ657" i="11" s="1"/>
  <c r="BS662" i="11"/>
  <c r="BS663" i="11" s="1"/>
  <c r="BS664" i="11" s="1"/>
  <c r="BL662" i="11"/>
  <c r="BL663" i="11" s="1"/>
  <c r="BE660" i="11"/>
  <c r="BE662" i="11" s="1"/>
  <c r="BE663" i="11" s="1"/>
  <c r="AR678" i="11"/>
  <c r="BF672" i="11"/>
  <c r="BF674" i="11" s="1"/>
  <c r="BM668" i="11"/>
  <c r="BM670" i="11" s="1"/>
  <c r="BM671" i="11" s="1"/>
  <c r="AY668" i="11"/>
  <c r="AY670" i="11" s="1"/>
  <c r="AY671" i="11" s="1"/>
  <c r="AK655" i="11"/>
  <c r="AJ658" i="11"/>
  <c r="AK658" i="11"/>
  <c r="AX660" i="11" l="1"/>
  <c r="AX662" i="11" s="1"/>
  <c r="AQ658" i="11"/>
  <c r="AQ659" i="11" s="1"/>
  <c r="AK656" i="11"/>
  <c r="AK664" i="11" s="1"/>
  <c r="BS665" i="11"/>
  <c r="BS667" i="11" s="1"/>
  <c r="BS668" i="11" s="1"/>
  <c r="AQ660" i="11"/>
  <c r="AQ662" i="11" s="1"/>
  <c r="AQ663" i="11" s="1"/>
  <c r="AQ665" i="11" s="1"/>
  <c r="BL665" i="11"/>
  <c r="BL667" i="11" s="1"/>
  <c r="BT671" i="11"/>
  <c r="BT672" i="11" s="1"/>
  <c r="BT674" i="11" s="1"/>
  <c r="BE665" i="11"/>
  <c r="BE667" i="11" s="1"/>
  <c r="AX663" i="11"/>
  <c r="AJ659" i="11"/>
  <c r="AJ660" i="11" s="1"/>
  <c r="BM672" i="11"/>
  <c r="BM674" i="11" s="1"/>
  <c r="BM678" i="11" s="1"/>
  <c r="BF678" i="11"/>
  <c r="AJ661" i="11"/>
  <c r="AY672" i="11"/>
  <c r="AK665" i="11"/>
  <c r="AK668" i="11" s="1"/>
  <c r="AK670" i="11" s="1"/>
  <c r="BT678" i="11"/>
  <c r="AR697" i="11"/>
  <c r="BE668" i="11" l="1"/>
  <c r="BE669" i="11" s="1"/>
  <c r="BL668" i="11"/>
  <c r="BL669" i="11" s="1"/>
  <c r="BL670" i="11" s="1"/>
  <c r="AQ667" i="11"/>
  <c r="BS669" i="11"/>
  <c r="AX665" i="11"/>
  <c r="AJ662" i="11"/>
  <c r="AJ663" i="11" s="1"/>
  <c r="AJ664" i="11" s="1"/>
  <c r="BF707" i="11"/>
  <c r="BF708" i="11" s="1"/>
  <c r="BF709" i="11" s="1"/>
  <c r="AR698" i="11"/>
  <c r="AR699" i="11" s="1"/>
  <c r="AR700" i="11" s="1"/>
  <c r="AY674" i="11"/>
  <c r="BE711" i="11"/>
  <c r="BE670" i="11" l="1"/>
  <c r="BE673" i="11" s="1"/>
  <c r="BL673" i="11"/>
  <c r="BL677" i="11"/>
  <c r="AK672" i="11"/>
  <c r="AK674" i="11" s="1"/>
  <c r="BL683" i="11"/>
  <c r="BL682" i="11"/>
  <c r="AY678" i="11"/>
  <c r="AX667" i="11"/>
  <c r="BS670" i="11"/>
  <c r="BS673" i="11" s="1"/>
  <c r="AQ668" i="11"/>
  <c r="AJ665" i="11"/>
  <c r="AJ667" i="11" s="1"/>
  <c r="AJ668" i="11" s="1"/>
  <c r="BF698" i="11"/>
  <c r="BF699" i="11" s="1"/>
  <c r="BF700" i="11" s="1"/>
  <c r="AR707" i="11"/>
  <c r="AK678" i="11"/>
  <c r="BM707" i="11"/>
  <c r="BE677" i="11"/>
  <c r="AX711" i="11"/>
  <c r="AJ669" i="11" l="1"/>
  <c r="AQ669" i="11"/>
  <c r="AQ670" i="11" s="1"/>
  <c r="AQ673" i="11" s="1"/>
  <c r="AJ670" i="11"/>
  <c r="BM698" i="11"/>
  <c r="BM699" i="11" s="1"/>
  <c r="BM700" i="11" s="1"/>
  <c r="AX668" i="11"/>
  <c r="BM708" i="11"/>
  <c r="AR708" i="11"/>
  <c r="AK688" i="11"/>
  <c r="AK697" i="11" s="1"/>
  <c r="AK698" i="11" s="1"/>
  <c r="AK699" i="11" s="1"/>
  <c r="AK700" i="11" s="1"/>
  <c r="AQ711" i="11"/>
  <c r="AJ673" i="11" l="1"/>
  <c r="BL686" i="11"/>
  <c r="BL687" i="11" s="1"/>
  <c r="BS683" i="11"/>
  <c r="BS682" i="11"/>
  <c r="AX669" i="11"/>
  <c r="AQ683" i="11"/>
  <c r="AQ682" i="11"/>
  <c r="BF728" i="11"/>
  <c r="BF737" i="11" s="1"/>
  <c r="BF741" i="11" s="1"/>
  <c r="BF745" i="11" s="1"/>
  <c r="BE683" i="11"/>
  <c r="BM709" i="11"/>
  <c r="AR709" i="11"/>
  <c r="BS684" i="11" l="1"/>
  <c r="AQ684" i="11"/>
  <c r="AX670" i="11"/>
  <c r="AX673" i="11" s="1"/>
  <c r="BS688" i="11"/>
  <c r="BL688" i="11"/>
  <c r="BE684" i="11"/>
  <c r="BL696" i="11"/>
  <c r="AJ683" i="11"/>
  <c r="BL711" i="11"/>
  <c r="BS696" i="11"/>
  <c r="AJ711" i="11"/>
  <c r="BS686" i="11" l="1"/>
  <c r="BS687" i="11" s="1"/>
  <c r="BS689" i="11" s="1"/>
  <c r="AX683" i="11"/>
  <c r="AX682" i="11"/>
  <c r="BL689" i="11"/>
  <c r="AQ688" i="11"/>
  <c r="AQ689" i="11" s="1"/>
  <c r="BE686" i="11"/>
  <c r="BE687" i="11" s="1"/>
  <c r="AJ684" i="11"/>
  <c r="BM725" i="11"/>
  <c r="BM726" i="11" s="1"/>
  <c r="AX684" i="11" l="1"/>
  <c r="BL692" i="11"/>
  <c r="BL693" i="11" s="1"/>
  <c r="BL694" i="11" s="1"/>
  <c r="BE688" i="11"/>
  <c r="BE689" i="11" s="1"/>
  <c r="BS692" i="11"/>
  <c r="BS693" i="11" s="1"/>
  <c r="BS694" i="11" s="1"/>
  <c r="AJ686" i="11"/>
  <c r="BM728" i="11"/>
  <c r="BM737" i="11" s="1"/>
  <c r="BM741" i="11" s="1"/>
  <c r="BS711" i="11"/>
  <c r="AR725" i="11"/>
  <c r="AX686" i="11" l="1"/>
  <c r="AX687" i="11" s="1"/>
  <c r="AR726" i="11"/>
  <c r="AR728" i="11" s="1"/>
  <c r="AX688" i="11"/>
  <c r="AQ696" i="11"/>
  <c r="BS695" i="11"/>
  <c r="BL695" i="11"/>
  <c r="BL702" i="11" s="1"/>
  <c r="AJ687" i="11"/>
  <c r="AJ688" i="11" s="1"/>
  <c r="BM745" i="11"/>
  <c r="BM749" i="11" s="1"/>
  <c r="BM753" i="11" s="1"/>
  <c r="BE695" i="11"/>
  <c r="AR737" i="11"/>
  <c r="AK725" i="11"/>
  <c r="AK726" i="11" s="1"/>
  <c r="BS702" i="11" l="1"/>
  <c r="BS703" i="11" s="1"/>
  <c r="AQ702" i="11"/>
  <c r="BL703" i="11"/>
  <c r="AX689" i="11"/>
  <c r="BE696" i="11"/>
  <c r="BE702" i="11" s="1"/>
  <c r="BM755" i="11"/>
  <c r="AJ689" i="11"/>
  <c r="AK728" i="11"/>
  <c r="AK737" i="11" s="1"/>
  <c r="BT707" i="11"/>
  <c r="BT708" i="11" s="1"/>
  <c r="BT709" i="11" s="1"/>
  <c r="AR741" i="11"/>
  <c r="BL708" i="11" l="1"/>
  <c r="BL709" i="11" s="1"/>
  <c r="BL712" i="11"/>
  <c r="BS708" i="11"/>
  <c r="AQ703" i="11"/>
  <c r="BE703" i="11"/>
  <c r="AK741" i="11"/>
  <c r="AK745" i="11" s="1"/>
  <c r="AK749" i="11" s="1"/>
  <c r="AK753" i="11" s="1"/>
  <c r="AK755" i="11" s="1"/>
  <c r="AR745" i="11"/>
  <c r="AR749" i="11" s="1"/>
  <c r="AR753" i="11" s="1"/>
  <c r="AR755" i="11" s="1"/>
  <c r="AY728" i="11"/>
  <c r="AY737" i="11" s="1"/>
  <c r="AY741" i="11" s="1"/>
  <c r="BS709" i="11" l="1"/>
  <c r="BE708" i="11"/>
  <c r="AY745" i="11"/>
  <c r="BL717" i="11" l="1"/>
  <c r="BL718" i="11" s="1"/>
  <c r="AQ712" i="11"/>
  <c r="AX692" i="11"/>
  <c r="BE709" i="11"/>
  <c r="AJ695" i="11"/>
  <c r="AY749" i="11"/>
  <c r="BT728" i="11" l="1"/>
  <c r="AQ717" i="11"/>
  <c r="BS717" i="11"/>
  <c r="AX693" i="11"/>
  <c r="BS725" i="11"/>
  <c r="BS726" i="11" s="1"/>
  <c r="AJ696" i="11"/>
  <c r="BT737" i="11"/>
  <c r="AY753" i="11"/>
  <c r="BL720" i="11" l="1"/>
  <c r="AQ718" i="11"/>
  <c r="BS718" i="11"/>
  <c r="BS727" i="11"/>
  <c r="BS730" i="11" s="1"/>
  <c r="AX694" i="11"/>
  <c r="AQ725" i="11"/>
  <c r="BE712" i="11"/>
  <c r="AJ702" i="11"/>
  <c r="BT741" i="11"/>
  <c r="AY755" i="11"/>
  <c r="BL722" i="11" l="1"/>
  <c r="BS720" i="11"/>
  <c r="AQ720" i="11"/>
  <c r="AQ726" i="11"/>
  <c r="AQ730" i="11"/>
  <c r="AQ727" i="11"/>
  <c r="AX695" i="11"/>
  <c r="AJ703" i="11"/>
  <c r="BL727" i="11"/>
  <c r="BT745" i="11"/>
  <c r="BL723" i="11" l="1"/>
  <c r="BL724" i="11" s="1"/>
  <c r="BL725" i="11" s="1"/>
  <c r="BL726" i="11" s="1"/>
  <c r="BS729" i="11"/>
  <c r="AQ729" i="11"/>
  <c r="AX696" i="11"/>
  <c r="AX702" i="11" s="1"/>
  <c r="BS737" i="11"/>
  <c r="BL729" i="11"/>
  <c r="BL730" i="11" s="1"/>
  <c r="BT749" i="11"/>
  <c r="BS731" i="11" l="1"/>
  <c r="BS732" i="11" s="1"/>
  <c r="BS733" i="11" s="1"/>
  <c r="AQ724" i="11"/>
  <c r="AQ731" i="11"/>
  <c r="BE717" i="11"/>
  <c r="AX703" i="11"/>
  <c r="AJ708" i="11"/>
  <c r="AJ709" i="11" s="1"/>
  <c r="BL731" i="11"/>
  <c r="BT753" i="11"/>
  <c r="AQ732" i="11" l="1"/>
  <c r="AQ733" i="11" s="1"/>
  <c r="AQ734" i="11" s="1"/>
  <c r="BS734" i="11"/>
  <c r="BS735" i="11" s="1"/>
  <c r="BS736" i="11" s="1"/>
  <c r="BE718" i="11"/>
  <c r="BL732" i="11"/>
  <c r="BL733" i="11" s="1"/>
  <c r="BT755" i="11"/>
  <c r="BE727" i="11"/>
  <c r="BS738" i="11" l="1"/>
  <c r="BS739" i="11" s="1"/>
  <c r="AJ712" i="11"/>
  <c r="BS740" i="11"/>
  <c r="AQ735" i="11"/>
  <c r="BL734" i="11"/>
  <c r="BL735" i="11" s="1"/>
  <c r="BE720" i="11" l="1"/>
  <c r="AX708" i="11"/>
  <c r="BS742" i="11"/>
  <c r="AQ736" i="11"/>
  <c r="BL736" i="11"/>
  <c r="BL737" i="11" s="1"/>
  <c r="BE731" i="11"/>
  <c r="BS759" i="11"/>
  <c r="BE722" i="11" l="1"/>
  <c r="BE723" i="11" s="1"/>
  <c r="BE724" i="11" s="1"/>
  <c r="BE725" i="11" s="1"/>
  <c r="BE726" i="11" s="1"/>
  <c r="AJ717" i="11"/>
  <c r="AJ718" i="11" s="1"/>
  <c r="AQ737" i="11"/>
  <c r="AX709" i="11"/>
  <c r="BL738" i="11"/>
  <c r="AX750" i="11"/>
  <c r="BE732" i="11" l="1"/>
  <c r="BE733" i="11" s="1"/>
  <c r="BS744" i="11"/>
  <c r="BS750" i="11"/>
  <c r="BS749" i="11"/>
  <c r="AQ738" i="11"/>
  <c r="BL739" i="11"/>
  <c r="BL740" i="11" s="1"/>
  <c r="BE734" i="11"/>
  <c r="AX712" i="11" l="1"/>
  <c r="AQ739" i="11"/>
  <c r="BL742" i="11"/>
  <c r="BE735" i="11"/>
  <c r="BS747" i="11" l="1"/>
  <c r="AJ724" i="11"/>
  <c r="AQ740" i="11"/>
  <c r="BE736" i="11"/>
  <c r="BE737" i="11" s="1"/>
  <c r="AJ725" i="11" l="1"/>
  <c r="AQ742" i="11"/>
  <c r="BS767" i="11"/>
  <c r="BE738" i="11"/>
  <c r="AJ726" i="11" l="1"/>
  <c r="BE739" i="11"/>
  <c r="BE740" i="11" s="1"/>
  <c r="AQ767" i="11"/>
  <c r="AJ727" i="11" l="1"/>
  <c r="AJ729" i="11" s="1"/>
  <c r="AX720" i="11"/>
  <c r="AQ750" i="11"/>
  <c r="AQ749" i="11"/>
  <c r="AJ759" i="11"/>
  <c r="BL750" i="11"/>
  <c r="BE742" i="11"/>
  <c r="AQ747" i="11" l="1"/>
  <c r="BS757" i="11"/>
  <c r="AJ730" i="11"/>
  <c r="AJ731" i="11" s="1"/>
  <c r="BE744" i="11"/>
  <c r="AJ732" i="11" l="1"/>
  <c r="AJ733" i="11" s="1"/>
  <c r="AJ734" i="11" s="1"/>
  <c r="BS758" i="11"/>
  <c r="BE750" i="11"/>
  <c r="BE749" i="11"/>
  <c r="AX722" i="11"/>
  <c r="AQ755" i="11"/>
  <c r="AJ735" i="11" l="1"/>
  <c r="AJ736" i="11" s="1"/>
  <c r="AJ737" i="11" s="1"/>
  <c r="BS760" i="11"/>
  <c r="AX723" i="11"/>
  <c r="AX724" i="11" s="1"/>
  <c r="AJ738" i="11" l="1"/>
  <c r="AJ739" i="11" s="1"/>
  <c r="BS761" i="11"/>
  <c r="AX725" i="11"/>
  <c r="BL763" i="11"/>
  <c r="BL764" i="11" s="1"/>
  <c r="BL765" i="11" s="1"/>
  <c r="BS762" i="11" l="1"/>
  <c r="AX726" i="11"/>
  <c r="AJ742" i="11"/>
  <c r="AJ740" i="11"/>
  <c r="AX727" i="11"/>
  <c r="BL766" i="11"/>
  <c r="BL767" i="11" s="1"/>
  <c r="BL768" i="11" s="1"/>
  <c r="BL769" i="11" s="1"/>
  <c r="BL770" i="11" s="1"/>
  <c r="AX730" i="11" l="1"/>
  <c r="AX729" i="11"/>
  <c r="BE755" i="11"/>
  <c r="BS763" i="11"/>
  <c r="AQ757" i="11"/>
  <c r="AJ744" i="11"/>
  <c r="AX732" i="11" l="1"/>
  <c r="AX733" i="11" s="1"/>
  <c r="AX734" i="11" s="1"/>
  <c r="AX735" i="11" s="1"/>
  <c r="AX736" i="11" s="1"/>
  <c r="AX737" i="11" s="1"/>
  <c r="AX738" i="11" s="1"/>
  <c r="AX739" i="11" s="1"/>
  <c r="AX740" i="11" s="1"/>
  <c r="AX742" i="11" s="1"/>
  <c r="AX731" i="11"/>
  <c r="BS764" i="11"/>
  <c r="AQ758" i="11"/>
  <c r="AJ750" i="11"/>
  <c r="AJ749" i="11"/>
  <c r="BL772" i="11"/>
  <c r="BL773" i="11" s="1"/>
  <c r="BL774" i="11" s="1"/>
  <c r="AJ747" i="11" l="1"/>
  <c r="BS765" i="11"/>
  <c r="BE757" i="11"/>
  <c r="AQ759" i="11"/>
  <c r="AX757" i="11"/>
  <c r="BE767" i="11"/>
  <c r="BS766" i="11" l="1"/>
  <c r="BS768" i="11" s="1"/>
  <c r="BS769" i="11" s="1"/>
  <c r="BS770" i="11" s="1"/>
  <c r="AX758" i="11"/>
  <c r="BE758" i="11"/>
  <c r="BE759" i="11" s="1"/>
  <c r="BE760" i="11" s="1"/>
  <c r="BE761" i="11" s="1"/>
  <c r="BE762" i="11" s="1"/>
  <c r="BE763" i="11" s="1"/>
  <c r="AQ760" i="11"/>
  <c r="AX759" i="11" l="1"/>
  <c r="AQ761" i="11"/>
  <c r="BE764" i="11"/>
  <c r="BS773" i="11" l="1"/>
  <c r="AQ762" i="11"/>
  <c r="AX760" i="11"/>
  <c r="AJ772" i="11"/>
  <c r="BE765" i="11"/>
  <c r="BS774" i="11" l="1"/>
  <c r="AJ773" i="11"/>
  <c r="BE766" i="11"/>
  <c r="AX761" i="11"/>
  <c r="AQ763" i="11"/>
  <c r="AX762" i="11" l="1"/>
  <c r="AQ764" i="11"/>
  <c r="AQ765" i="11" s="1"/>
  <c r="AQ766" i="11" s="1"/>
  <c r="AQ768" i="11" s="1"/>
  <c r="AQ769" i="11" s="1"/>
  <c r="AQ770" i="11" s="1"/>
  <c r="BE768" i="11"/>
  <c r="AJ774" i="11"/>
  <c r="BE769" i="11" l="1"/>
  <c r="AX763" i="11"/>
  <c r="BE770" i="11" l="1"/>
  <c r="AX764" i="11"/>
  <c r="BE773" i="11" l="1"/>
  <c r="BE774" i="11" s="1"/>
  <c r="AX765" i="11"/>
  <c r="AX766" i="11" l="1"/>
  <c r="AX767" i="11" l="1"/>
  <c r="AX768" i="11" s="1"/>
  <c r="AX769" i="11" s="1"/>
  <c r="AX770" i="11" s="1"/>
  <c r="AX772" i="11" l="1"/>
  <c r="AX773" i="11" s="1"/>
  <c r="AX774" i="11" s="1"/>
  <c r="C2060" i="11" l="1"/>
  <c r="C2038" i="11"/>
  <c r="C2036" i="11"/>
  <c r="C2035" i="11"/>
  <c r="C2037" i="11"/>
  <c r="C2034" i="11"/>
  <c r="C2059" i="11"/>
  <c r="C2064" i="11"/>
  <c r="C2065" i="11"/>
  <c r="C2027" i="11"/>
  <c r="C2063" i="11"/>
  <c r="C2033" i="11"/>
  <c r="C2028" i="11"/>
  <c r="C2026" i="11"/>
  <c r="C2032" i="11"/>
  <c r="C2025" i="11"/>
  <c r="C2030" i="11"/>
  <c r="C2031" i="11"/>
  <c r="C2062" i="11"/>
  <c r="C2046" i="11" l="1"/>
  <c r="C2058" i="11"/>
  <c r="C2047"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6" i="11"/>
  <c r="AK21" i="8"/>
  <c r="AK19" i="8"/>
  <c r="U181" i="3" l="1"/>
  <c r="B181" i="3" s="1"/>
  <c r="U179" i="3" l="1"/>
  <c r="B179" i="3" s="1"/>
  <c r="U180" i="3"/>
  <c r="B180" i="3" s="1"/>
  <c r="L1065" i="11" l="1"/>
  <c r="M1067" i="11" s="1"/>
  <c r="M1069" i="11" l="1"/>
  <c r="M1066" i="11"/>
  <c r="M1068" i="11"/>
  <c r="AF93" i="9"/>
  <c r="AG93" i="9" l="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Q31" i="4"/>
  <c r="W52" i="18" l="1"/>
  <c r="AH52" i="18"/>
  <c r="AD131" i="3" s="1"/>
  <c r="W60" i="18" l="1"/>
  <c r="AH60" i="18" s="1"/>
  <c r="W61" i="18"/>
  <c r="AH61" i="18" s="1"/>
  <c r="AR19" i="2" s="1"/>
  <c r="W23" i="18" l="1"/>
  <c r="AH23" i="18" s="1"/>
  <c r="BA25" i="4" l="1"/>
  <c r="AZ25" i="4"/>
  <c r="BD25" i="4"/>
  <c r="BC25" i="4"/>
  <c r="BB25" i="4"/>
  <c r="AY25" i="4"/>
  <c r="F62" i="4"/>
  <c r="C64" i="4"/>
  <c r="F45" i="4"/>
  <c r="Q45" i="4"/>
  <c r="BF25" i="4" l="1"/>
  <c r="L59" i="4"/>
  <c r="BG25" i="4" l="1"/>
  <c r="BG24" i="4"/>
  <c r="C64" i="14" l="1"/>
  <c r="E64" i="14" s="1"/>
  <c r="C65" i="14" l="1"/>
  <c r="E65" i="14" s="1"/>
  <c r="C66" i="14" l="1"/>
  <c r="E66" i="14" s="1"/>
  <c r="C67" i="14" l="1"/>
  <c r="E67" i="14" s="1"/>
  <c r="M1065" i="11"/>
  <c r="L1070" i="11"/>
  <c r="M1070" i="11" s="1"/>
  <c r="H15" i="6"/>
  <c r="I15" i="6" s="1"/>
  <c r="H19" i="6"/>
  <c r="G1993" i="11" s="1"/>
  <c r="H20" i="6"/>
  <c r="I20" i="6" s="1"/>
  <c r="N18" i="25"/>
  <c r="U12" i="25" s="1"/>
  <c r="AM33" i="25" s="1"/>
  <c r="AB35" i="5"/>
  <c r="AB43" i="5"/>
  <c r="AB51" i="5"/>
  <c r="AJ35" i="5"/>
  <c r="AJ43" i="5"/>
  <c r="AD44" i="5"/>
  <c r="AD40" i="3"/>
  <c r="AL11" i="4" s="1"/>
  <c r="D2023" i="11" s="1"/>
  <c r="AD41" i="3"/>
  <c r="AL12" i="4" s="1"/>
  <c r="D2024" i="11" s="1"/>
  <c r="AX717" i="11"/>
  <c r="AX718" i="11"/>
  <c r="AJ757" i="11"/>
  <c r="AJ758" i="11"/>
  <c r="AJ760" i="11"/>
  <c r="AJ761" i="11"/>
  <c r="AJ762" i="11"/>
  <c r="AJ763" i="11"/>
  <c r="AJ764" i="11"/>
  <c r="AJ765" i="11"/>
  <c r="AJ766" i="11"/>
  <c r="AJ767" i="11"/>
  <c r="AJ768" i="11"/>
  <c r="AJ769" i="11"/>
  <c r="AJ770" i="11"/>
  <c r="AJ720" i="11"/>
  <c r="BL757" i="11"/>
  <c r="BL758" i="11"/>
  <c r="BL759" i="11"/>
  <c r="BL760" i="11"/>
  <c r="BL761" i="11"/>
  <c r="BL762" i="11"/>
  <c r="BF725" i="11"/>
  <c r="BF726" i="11"/>
  <c r="BT725" i="11"/>
  <c r="BT726" i="11"/>
  <c r="AQ772" i="11"/>
  <c r="AQ773" i="11"/>
  <c r="AQ774" i="11"/>
  <c r="BS772" i="11"/>
  <c r="BE772" i="11"/>
  <c r="AK770" i="11"/>
  <c r="I1942" i="11"/>
  <c r="X84" i="26"/>
  <c r="N46" i="4"/>
  <c r="C2045" i="11" l="1"/>
  <c r="C2043" i="11"/>
  <c r="C2044" i="11"/>
  <c r="C2041" i="11"/>
  <c r="C2042" i="11"/>
  <c r="C2040" i="11"/>
  <c r="C2061" i="11"/>
  <c r="G1985" i="11"/>
  <c r="K73" i="10" s="1"/>
  <c r="G1989" i="11"/>
  <c r="C2039" i="11"/>
  <c r="C2029" i="11"/>
  <c r="G1994" i="11"/>
  <c r="I19" i="6"/>
  <c r="AM43" i="25"/>
  <c r="D43" i="25" s="1"/>
  <c r="I656" i="26"/>
  <c r="M1074" i="11"/>
  <c r="M1073" i="11"/>
  <c r="E29" i="5"/>
  <c r="M1072" i="11"/>
  <c r="F656" i="26"/>
  <c r="G656" i="26" s="1"/>
  <c r="M1075" i="11"/>
  <c r="M1071" i="11"/>
  <c r="C2023" i="11"/>
  <c r="E2023" i="11"/>
  <c r="E2024" i="11"/>
  <c r="C2024" i="11"/>
  <c r="G2009" i="11" l="1"/>
  <c r="I54" i="10" s="1"/>
  <c r="O1066" i="11"/>
  <c r="O1071" i="11"/>
  <c r="N1066" i="11"/>
  <c r="O1067" i="11"/>
  <c r="N1067" i="11"/>
  <c r="N1075" i="11"/>
  <c r="N1068" i="11"/>
  <c r="O1070" i="11"/>
  <c r="O1073" i="11"/>
  <c r="N1074" i="11"/>
  <c r="O1068" i="11"/>
  <c r="N1072" i="11"/>
  <c r="O1069" i="11"/>
  <c r="N1065" i="11"/>
  <c r="N1070" i="11"/>
  <c r="O1074" i="11"/>
  <c r="O1072" i="11"/>
  <c r="N1071" i="11"/>
  <c r="N1073" i="11"/>
  <c r="O1065" i="11"/>
  <c r="O1075" i="11"/>
  <c r="N1069" i="11"/>
  <c r="F2025" i="11"/>
  <c r="F2029" i="11"/>
  <c r="F2033" i="11"/>
  <c r="F2037" i="11"/>
  <c r="F2041" i="11"/>
  <c r="F2045" i="11"/>
  <c r="F2049" i="11"/>
  <c r="F2054" i="11"/>
  <c r="F2057" i="11"/>
  <c r="F2061" i="11"/>
  <c r="F2065" i="11"/>
  <c r="F2026" i="11"/>
  <c r="F2030" i="11"/>
  <c r="F2034" i="11"/>
  <c r="F2038" i="11"/>
  <c r="F2042" i="11"/>
  <c r="F2046" i="11"/>
  <c r="F2050" i="11"/>
  <c r="F2053" i="11"/>
  <c r="F2058" i="11"/>
  <c r="F2062" i="11"/>
  <c r="F2023" i="11"/>
  <c r="F2027" i="11"/>
  <c r="F2031" i="11"/>
  <c r="F2035" i="11"/>
  <c r="F2039" i="11"/>
  <c r="F2043" i="11"/>
  <c r="F2047" i="11"/>
  <c r="F2051" i="11"/>
  <c r="F2055" i="11"/>
  <c r="F2059" i="11"/>
  <c r="F2063" i="11"/>
  <c r="F2024" i="11"/>
  <c r="F2028" i="11"/>
  <c r="F2032" i="11"/>
  <c r="F2036" i="11"/>
  <c r="F2040" i="11"/>
  <c r="F2044" i="11"/>
  <c r="F2048" i="11"/>
  <c r="F2052" i="11"/>
  <c r="F2056" i="11"/>
  <c r="F2060" i="11"/>
  <c r="F2064" i="11"/>
  <c r="G2023" i="11" l="1"/>
  <c r="K76" i="10" s="1"/>
  <c r="AA182" i="3"/>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79" i="11"/>
  <c r="I1979" i="11"/>
  <c r="M13" i="9"/>
  <c r="H302" i="11"/>
  <c r="I1980" i="11"/>
  <c r="H1980" i="11"/>
  <c r="M14" i="9"/>
  <c r="H295" i="11"/>
  <c r="H323" i="11"/>
  <c r="H267" i="11"/>
  <c r="H320" i="11"/>
  <c r="H299" i="11"/>
  <c r="H321" i="11"/>
  <c r="H335" i="11"/>
  <c r="H309" i="11"/>
  <c r="H286" i="11"/>
  <c r="I1978" i="11"/>
  <c r="H1978" i="11"/>
  <c r="M12" i="9"/>
  <c r="H303" i="11"/>
  <c r="H339" i="11"/>
  <c r="AD141" i="3"/>
  <c r="H279" i="11"/>
  <c r="AD140" i="3"/>
  <c r="H342" i="11"/>
  <c r="H338" i="11"/>
  <c r="H305" i="11"/>
  <c r="Z318" i="11"/>
  <c r="V163" i="3" s="1"/>
  <c r="H346" i="11"/>
  <c r="H281" i="11"/>
  <c r="H273" i="11"/>
  <c r="H328" i="11"/>
  <c r="H271" i="11"/>
  <c r="H348" i="11"/>
  <c r="Z313" i="11"/>
  <c r="V158" i="3" s="1"/>
  <c r="H1976" i="11"/>
  <c r="I1976" i="11"/>
  <c r="H284" i="11"/>
  <c r="M11" i="9"/>
  <c r="I1977" i="11"/>
  <c r="H285" i="11"/>
  <c r="H1977" i="11"/>
  <c r="Z296" i="11"/>
  <c r="V141" i="3" s="1"/>
  <c r="H318" i="11"/>
  <c r="H1981" i="11"/>
  <c r="H296" i="11"/>
  <c r="M15" i="9"/>
  <c r="I1981"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8" i="11" s="1"/>
  <c r="N1998" i="11" s="1"/>
  <c r="BB21" i="4"/>
  <c r="BB10" i="4" s="1" a="1"/>
  <c r="BB10" i="4" s="1"/>
  <c r="L15" i="4" s="1"/>
  <c r="AZ21" i="4"/>
  <c r="AZ12" i="4" s="1" a="1"/>
  <c r="AZ12" i="4" s="1"/>
  <c r="Z316" i="11"/>
  <c r="V161" i="3" s="1"/>
  <c r="BC21" i="4"/>
  <c r="BC12" i="4" s="1" a="1"/>
  <c r="BC12" i="4" s="1"/>
  <c r="AA178" i="3"/>
  <c r="AA179" i="3"/>
  <c r="AA181" i="3"/>
  <c r="O1999" i="11" s="1"/>
  <c r="N1999" i="11" s="1"/>
  <c r="BD21" i="4"/>
  <c r="BD12" i="4" s="1" a="1"/>
  <c r="BD12" i="4" s="1"/>
  <c r="H262" i="11"/>
  <c r="AY21" i="4"/>
  <c r="AY12" i="4" s="1" a="1"/>
  <c r="AY12" i="4" s="1"/>
  <c r="H265" i="11"/>
  <c r="H263" i="11"/>
  <c r="H259" i="11"/>
  <c r="H264" i="11"/>
  <c r="H260" i="11"/>
  <c r="H258" i="11"/>
  <c r="H261" i="11"/>
  <c r="Q1997" i="11" l="1"/>
  <c r="W1997" i="11" s="1"/>
  <c r="O1997" i="11"/>
  <c r="N1997" i="11" s="1"/>
  <c r="Q1996" i="11"/>
  <c r="W1996" i="11" s="1"/>
  <c r="O1996" i="11"/>
  <c r="N1996"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1999" i="11"/>
  <c r="W1999" i="11" s="1"/>
  <c r="Q1998" i="11"/>
  <c r="W1998"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0" i="11"/>
  <c r="K1990" i="11" s="1"/>
  <c r="AD1988" i="11"/>
  <c r="K1988" i="11" s="1"/>
  <c r="BE9" i="4"/>
  <c r="O16" i="4" s="1"/>
  <c r="AF32" i="10" s="1"/>
  <c r="AD1989" i="11"/>
  <c r="K1989" i="11" s="1"/>
  <c r="BB9" i="4"/>
  <c r="L16" i="4" s="1"/>
  <c r="T32" i="10" s="1"/>
  <c r="AD1991" i="11"/>
  <c r="K1991" i="11" s="1"/>
  <c r="H357" i="11"/>
  <c r="AD172" i="3"/>
  <c r="H376" i="11"/>
  <c r="H375" i="11"/>
  <c r="AD155" i="3"/>
  <c r="U1954" i="11"/>
  <c r="H378" i="11"/>
  <c r="V1954"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V9" i="5"/>
  <c r="C12" i="9"/>
  <c r="H488" i="11"/>
  <c r="AF123" i="3"/>
  <c r="J12" i="8"/>
  <c r="H459" i="11"/>
  <c r="V61" i="4"/>
  <c r="K52" i="4"/>
  <c r="V52" i="4"/>
  <c r="K61" i="4"/>
  <c r="H508" i="11"/>
  <c r="K1071" i="11"/>
  <c r="K1069" i="11"/>
  <c r="H441" i="11"/>
  <c r="K1070" i="11"/>
  <c r="K1066" i="11"/>
  <c r="K1073" i="11"/>
  <c r="K1072" i="11"/>
  <c r="K1068" i="11"/>
  <c r="K1067" i="11"/>
  <c r="K1074" i="11"/>
  <c r="K1075" i="11"/>
  <c r="K1065" i="11"/>
  <c r="H439" i="11"/>
  <c r="I1091" i="11"/>
  <c r="AQ11" i="2"/>
  <c r="AU11" i="2"/>
  <c r="H533" i="11"/>
  <c r="I30" i="2"/>
  <c r="I1069" i="11"/>
  <c r="I1066" i="11"/>
  <c r="I1065" i="11"/>
  <c r="I1068" i="11"/>
  <c r="I1071" i="11"/>
  <c r="H411" i="11"/>
  <c r="I1072" i="11"/>
  <c r="I1074" i="11"/>
  <c r="I1067" i="11"/>
  <c r="I1073" i="11"/>
  <c r="I1075" i="11"/>
  <c r="I1070"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7" i="11"/>
  <c r="F1080" i="11"/>
  <c r="F1082" i="11"/>
  <c r="F1089" i="11"/>
  <c r="H422" i="11"/>
  <c r="F1086" i="11"/>
  <c r="F1081" i="11"/>
  <c r="F1084" i="11"/>
  <c r="F1088" i="11"/>
  <c r="F1083" i="11"/>
  <c r="F1085" i="11"/>
  <c r="U177" i="3" l="1"/>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7" i="11" s="1"/>
  <c r="AF134" i="3"/>
  <c r="T134" i="3" s="1"/>
  <c r="AF165" i="3"/>
  <c r="T165" i="3" s="1"/>
  <c r="AF130" i="3"/>
  <c r="T130" i="3" s="1"/>
  <c r="AU151" i="3"/>
  <c r="AU152" i="3"/>
  <c r="AU156" i="3"/>
  <c r="AF127" i="3"/>
  <c r="T127" i="3" s="1"/>
  <c r="AF137" i="3"/>
  <c r="T137" i="3" s="1"/>
  <c r="AF151" i="3"/>
  <c r="T151" i="3" s="1"/>
  <c r="AU132" i="3"/>
  <c r="AF167" i="3"/>
  <c r="T167" i="3" s="1"/>
  <c r="AA167" i="3" s="1"/>
  <c r="O1985"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2"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2"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0" i="11"/>
  <c r="AU126" i="3"/>
  <c r="W32" i="3"/>
  <c r="AA32" i="3" s="1"/>
  <c r="N14" i="10"/>
  <c r="H18" i="2"/>
  <c r="AL60" i="1"/>
  <c r="AK57" i="1"/>
  <c r="U46" i="4"/>
  <c r="U39" i="4"/>
  <c r="J46" i="4"/>
  <c r="U32" i="4"/>
  <c r="K53" i="4"/>
  <c r="V62" i="4"/>
  <c r="J32" i="4"/>
  <c r="J39" i="4"/>
  <c r="K62" i="4"/>
  <c r="N639" i="11"/>
  <c r="N793" i="11" s="1"/>
  <c r="L6" i="2"/>
  <c r="D24" i="2" s="1"/>
  <c r="M639" i="11"/>
  <c r="E31" i="4" s="1"/>
  <c r="R1071" i="11"/>
  <c r="R1073" i="11" s="1"/>
  <c r="R1075" i="11" s="1"/>
  <c r="E27" i="6" s="1"/>
  <c r="F914" i="11"/>
  <c r="U171" i="3"/>
  <c r="E878" i="11"/>
  <c r="X878" i="11" s="1"/>
  <c r="F878" i="11"/>
  <c r="U154" i="3"/>
  <c r="E877" i="11"/>
  <c r="X877" i="11" s="1"/>
  <c r="E876" i="11"/>
  <c r="X876"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7" i="11"/>
  <c r="I1089" i="11"/>
  <c r="I1081" i="11"/>
  <c r="I1088" i="11"/>
  <c r="I1083" i="11"/>
  <c r="I1080" i="11"/>
  <c r="I1086" i="11"/>
  <c r="I1082" i="11"/>
  <c r="I1085" i="11"/>
  <c r="I1090" i="11"/>
  <c r="I1084" i="11"/>
  <c r="AY5" i="4"/>
  <c r="AD15" i="4" s="1"/>
  <c r="AA177" i="3" s="1"/>
  <c r="AA147" i="3" l="1"/>
  <c r="O1965" i="11" s="1"/>
  <c r="AA153" i="3"/>
  <c r="O1971" i="11" s="1"/>
  <c r="AA171" i="3"/>
  <c r="O1989" i="11" s="1"/>
  <c r="AA144" i="3"/>
  <c r="O1962" i="11" s="1"/>
  <c r="O1995" i="11"/>
  <c r="Q1995" i="11"/>
  <c r="W1995" i="11" s="1"/>
  <c r="AB177" i="3"/>
  <c r="Q73" i="2"/>
  <c r="AA176" i="3"/>
  <c r="O1994" i="11" s="1"/>
  <c r="M793" i="11"/>
  <c r="F917" i="11"/>
  <c r="L24" i="4" s="1"/>
  <c r="E892" i="11" s="1"/>
  <c r="X892" i="11" s="1"/>
  <c r="Q1971" i="11"/>
  <c r="W1971" i="11" s="1"/>
  <c r="Q60" i="2"/>
  <c r="Z50" i="14" s="1"/>
  <c r="Q1982" i="11"/>
  <c r="W1982" i="11" s="1"/>
  <c r="AB164" i="3"/>
  <c r="AB149" i="3"/>
  <c r="Q45" i="2"/>
  <c r="Z35" i="14" s="1"/>
  <c r="Q1967" i="11"/>
  <c r="W1967" i="11" s="1"/>
  <c r="AB167" i="3"/>
  <c r="Q63" i="2"/>
  <c r="Z53" i="14" s="1"/>
  <c r="Q1985" i="11"/>
  <c r="W1985" i="11" s="1"/>
  <c r="Q1972" i="11"/>
  <c r="W1972" i="11" s="1"/>
  <c r="AB154" i="3"/>
  <c r="Q50" i="2"/>
  <c r="Z40" i="14" s="1"/>
  <c r="C29" i="6"/>
  <c r="E234" i="11"/>
  <c r="J54" i="2" s="1"/>
  <c r="G54" i="2" s="1"/>
  <c r="J1083" i="11"/>
  <c r="J1086" i="11"/>
  <c r="J1090" i="11"/>
  <c r="J1084" i="11"/>
  <c r="I19" i="2"/>
  <c r="H11" i="8"/>
  <c r="AA91" i="3"/>
  <c r="AA150" i="3"/>
  <c r="O1968" i="11" s="1"/>
  <c r="AA165" i="3"/>
  <c r="O1983" i="11" s="1"/>
  <c r="AA139" i="3"/>
  <c r="O1957" i="11" s="1"/>
  <c r="J1081" i="11"/>
  <c r="J1085" i="11"/>
  <c r="J1087" i="11"/>
  <c r="J1088" i="11"/>
  <c r="AA138" i="3"/>
  <c r="O1956" i="11" s="1"/>
  <c r="AA143" i="3"/>
  <c r="O1961" i="11" s="1"/>
  <c r="AA148" i="3"/>
  <c r="O1966" i="11" s="1"/>
  <c r="AA135" i="3"/>
  <c r="O1953" i="11" s="1"/>
  <c r="P19" i="14"/>
  <c r="J16" i="10"/>
  <c r="AA170" i="3"/>
  <c r="O1988" i="11" s="1"/>
  <c r="AE182" i="3"/>
  <c r="D183" i="3" s="1"/>
  <c r="J1080" i="11"/>
  <c r="J1082" i="11"/>
  <c r="J1089" i="11"/>
  <c r="AA146" i="3"/>
  <c r="O1964" i="11" s="1"/>
  <c r="AA145" i="3"/>
  <c r="O1963" i="11" s="1"/>
  <c r="AA152" i="3"/>
  <c r="O1970" i="11" s="1"/>
  <c r="AA98" i="3"/>
  <c r="M28" i="6" s="1"/>
  <c r="AF50" i="10" s="1"/>
  <c r="AA97" i="3"/>
  <c r="M27" i="6" s="1"/>
  <c r="AF48" i="10" s="1"/>
  <c r="G93" i="10"/>
  <c r="X1997" i="11"/>
  <c r="X1998" i="11"/>
  <c r="X1984" i="11"/>
  <c r="X1987" i="11"/>
  <c r="X1964" i="11"/>
  <c r="X1967" i="11"/>
  <c r="X1952" i="11"/>
  <c r="X1960" i="11"/>
  <c r="X1970" i="11"/>
  <c r="X1992" i="11"/>
  <c r="X1965" i="11"/>
  <c r="X1999" i="11"/>
  <c r="X1980" i="11"/>
  <c r="X1973" i="11"/>
  <c r="X1955" i="11"/>
  <c r="X1956" i="11"/>
  <c r="X1944" i="11"/>
  <c r="X1979" i="11"/>
  <c r="X1963" i="11"/>
  <c r="X1995" i="11"/>
  <c r="X1991" i="11"/>
  <c r="X1951" i="11"/>
  <c r="X1983" i="11"/>
  <c r="X1990" i="11"/>
  <c r="X1961" i="11"/>
  <c r="X1948" i="11"/>
  <c r="X1957" i="11"/>
  <c r="X1975" i="11"/>
  <c r="X1954" i="11"/>
  <c r="X1953" i="11"/>
  <c r="X1969" i="11"/>
  <c r="X1974" i="11"/>
  <c r="X1958" i="11"/>
  <c r="X1994" i="11"/>
  <c r="X1968" i="11"/>
  <c r="X1978" i="11"/>
  <c r="X1977" i="11"/>
  <c r="X1946" i="11"/>
  <c r="X1972" i="11"/>
  <c r="X1982" i="11"/>
  <c r="X1962" i="11"/>
  <c r="X1996" i="11"/>
  <c r="X1945" i="11"/>
  <c r="X1993" i="11"/>
  <c r="X1986" i="11"/>
  <c r="X1985" i="11"/>
  <c r="X1988" i="11"/>
  <c r="X1989" i="11"/>
  <c r="X1971" i="11"/>
  <c r="X1947" i="11"/>
  <c r="X1976" i="11"/>
  <c r="X1959" i="11"/>
  <c r="X1949" i="11"/>
  <c r="X1981" i="11"/>
  <c r="X1950" i="11"/>
  <c r="X1966" i="11"/>
  <c r="AA151" i="3"/>
  <c r="O1969" i="11" s="1"/>
  <c r="AA95" i="3"/>
  <c r="M25" i="6" s="1"/>
  <c r="Y48" i="10" s="1"/>
  <c r="AA137" i="3"/>
  <c r="O1955" i="11" s="1"/>
  <c r="AA169" i="3"/>
  <c r="O1987" i="11" s="1"/>
  <c r="AA136" i="3"/>
  <c r="O1954" i="11" s="1"/>
  <c r="AA133" i="3"/>
  <c r="O1951" i="11" s="1"/>
  <c r="U155" i="3"/>
  <c r="AA155" i="3" s="1"/>
  <c r="O1973" i="11" s="1"/>
  <c r="G62" i="2"/>
  <c r="J62" i="2" s="1"/>
  <c r="W96" i="3"/>
  <c r="AA96" i="3" s="1"/>
  <c r="U134" i="3"/>
  <c r="AA134" i="3" s="1"/>
  <c r="O1952" i="11" s="1"/>
  <c r="U157" i="3"/>
  <c r="AA157" i="3" s="1"/>
  <c r="O1975" i="11" s="1"/>
  <c r="AB147" i="3" l="1"/>
  <c r="Q49" i="2"/>
  <c r="Z39" i="14" s="1"/>
  <c r="Q43" i="2"/>
  <c r="Z33" i="14" s="1"/>
  <c r="Q1965" i="11"/>
  <c r="W1965" i="11" s="1"/>
  <c r="Y1965" i="11" s="1"/>
  <c r="Q67" i="2"/>
  <c r="Z57" i="14" s="1"/>
  <c r="AB171" i="3"/>
  <c r="Q1989" i="11"/>
  <c r="W1989" i="11" s="1"/>
  <c r="AB153" i="3"/>
  <c r="AB144" i="3"/>
  <c r="Q1962" i="11"/>
  <c r="W1962" i="11" s="1"/>
  <c r="Q40" i="2"/>
  <c r="Z30" i="14" s="1"/>
  <c r="E891" i="11"/>
  <c r="X891" i="11" s="1"/>
  <c r="AB151" i="3"/>
  <c r="Q47" i="2"/>
  <c r="Q1969" i="11"/>
  <c r="W1969" i="11" s="1"/>
  <c r="AB134" i="3"/>
  <c r="Q30" i="2"/>
  <c r="Q1952" i="11"/>
  <c r="W1952" i="11" s="1"/>
  <c r="Q65" i="2"/>
  <c r="AB169" i="3"/>
  <c r="Q1987" i="11"/>
  <c r="W1987" i="11" s="1"/>
  <c r="AA1966" i="11"/>
  <c r="Z1966" i="11"/>
  <c r="Y1966" i="11"/>
  <c r="AA1959" i="11"/>
  <c r="Z1959" i="11"/>
  <c r="Y1959" i="11"/>
  <c r="AA1989" i="11"/>
  <c r="Z1989" i="11"/>
  <c r="Y1989" i="11"/>
  <c r="Y1993" i="11"/>
  <c r="Z1993" i="11"/>
  <c r="AA1993" i="11"/>
  <c r="AA1978" i="11"/>
  <c r="Y1978" i="11"/>
  <c r="Z1978" i="11"/>
  <c r="Y1974" i="11"/>
  <c r="AA1974" i="11"/>
  <c r="Z1974" i="11"/>
  <c r="AA1975" i="11"/>
  <c r="Y1975" i="11"/>
  <c r="Z1975" i="11"/>
  <c r="Y1990" i="11"/>
  <c r="Z1990" i="11"/>
  <c r="AA1990" i="11"/>
  <c r="Y1995" i="11"/>
  <c r="AA1995" i="11"/>
  <c r="Z1995" i="11"/>
  <c r="Y1956" i="11"/>
  <c r="AA1956" i="11"/>
  <c r="Y1999" i="11"/>
  <c r="AA1999" i="11"/>
  <c r="Z1999" i="11"/>
  <c r="Y1960" i="11"/>
  <c r="AA1960" i="11"/>
  <c r="Z1960" i="11"/>
  <c r="Z1987" i="11"/>
  <c r="AA1987" i="11"/>
  <c r="Y1987" i="11"/>
  <c r="AB152" i="3"/>
  <c r="Q48" i="2"/>
  <c r="Q1970" i="11"/>
  <c r="W1970" i="11" s="1"/>
  <c r="R10" i="14"/>
  <c r="M26" i="6"/>
  <c r="Y50" i="10" s="1"/>
  <c r="Q29" i="2"/>
  <c r="Z852" i="11"/>
  <c r="AB133" i="3"/>
  <c r="Q1951" i="11"/>
  <c r="W1951" i="11" s="1"/>
  <c r="Q33" i="2"/>
  <c r="AB137" i="3"/>
  <c r="Q1955" i="11"/>
  <c r="W1955" i="11" s="1"/>
  <c r="Y1950" i="11"/>
  <c r="AA1950" i="11"/>
  <c r="Z1950" i="11"/>
  <c r="Z1976" i="11"/>
  <c r="Y1976" i="11"/>
  <c r="AA1976" i="11"/>
  <c r="Z1988" i="11"/>
  <c r="AA1988" i="11"/>
  <c r="Y1988" i="11"/>
  <c r="AA1945" i="11"/>
  <c r="Y1945" i="11"/>
  <c r="Z1945" i="11"/>
  <c r="Y1972" i="11"/>
  <c r="AA1972" i="11"/>
  <c r="Z1972" i="11"/>
  <c r="Y1968" i="11"/>
  <c r="Z1968" i="11"/>
  <c r="AA1968" i="11"/>
  <c r="AA1969" i="11"/>
  <c r="Y1969" i="11"/>
  <c r="Z1969" i="11"/>
  <c r="AA1957" i="11"/>
  <c r="Y1957" i="11"/>
  <c r="Z1957" i="11"/>
  <c r="Y1983" i="11"/>
  <c r="Z1983" i="11"/>
  <c r="AA1983" i="11"/>
  <c r="Z1963" i="11"/>
  <c r="AA1963" i="11"/>
  <c r="Y1963" i="11"/>
  <c r="AA1955" i="11"/>
  <c r="Y1955" i="11"/>
  <c r="Z1955" i="11"/>
  <c r="Z1965" i="11"/>
  <c r="AA1965" i="11"/>
  <c r="Y1952" i="11"/>
  <c r="AA1952" i="11"/>
  <c r="Z1952" i="11"/>
  <c r="AA1984" i="11"/>
  <c r="Z1984" i="11"/>
  <c r="Y1984" i="11"/>
  <c r="Q41" i="2"/>
  <c r="AB145" i="3"/>
  <c r="Q1963" i="11"/>
  <c r="W1963" i="11" s="1"/>
  <c r="P20" i="14"/>
  <c r="N16" i="10"/>
  <c r="Q72" i="2"/>
  <c r="AB176" i="3"/>
  <c r="Q1994" i="11"/>
  <c r="W1994" i="11" s="1"/>
  <c r="Y1981" i="11"/>
  <c r="Z1981" i="11"/>
  <c r="AA1981" i="11"/>
  <c r="Z1947" i="11"/>
  <c r="Y1947" i="11"/>
  <c r="AA1947" i="11"/>
  <c r="Z1985" i="11"/>
  <c r="AA1985" i="11"/>
  <c r="Y1985" i="11"/>
  <c r="Y1996" i="11"/>
  <c r="AA1996" i="11"/>
  <c r="Z1996" i="11"/>
  <c r="Z1946" i="11"/>
  <c r="AA1946" i="11"/>
  <c r="Y1946" i="11"/>
  <c r="Y1994" i="11"/>
  <c r="Z1994" i="11"/>
  <c r="AA1994" i="11"/>
  <c r="Z1953" i="11"/>
  <c r="AA1953" i="11"/>
  <c r="Y1953" i="11"/>
  <c r="AA1948" i="11"/>
  <c r="Y1948" i="11"/>
  <c r="Z1948" i="11"/>
  <c r="Y1951" i="11"/>
  <c r="AA1951" i="11"/>
  <c r="Z1951" i="11"/>
  <c r="Z1979" i="11"/>
  <c r="Y1979" i="11"/>
  <c r="AA1979" i="11"/>
  <c r="AA1973" i="11"/>
  <c r="Z1973" i="11"/>
  <c r="Y1973" i="11"/>
  <c r="Y1992" i="11"/>
  <c r="Z1992" i="11"/>
  <c r="AA1992" i="11"/>
  <c r="AA1967" i="11"/>
  <c r="Y1967" i="11"/>
  <c r="Z1967" i="11"/>
  <c r="AA1998" i="11"/>
  <c r="Z1998" i="11"/>
  <c r="Y1998" i="11"/>
  <c r="Q42" i="2"/>
  <c r="AB146" i="3"/>
  <c r="Q1964" i="11"/>
  <c r="W1964" i="11" s="1"/>
  <c r="Q53" i="2"/>
  <c r="AB157" i="3"/>
  <c r="Q1975" i="11"/>
  <c r="W1975" i="11" s="1"/>
  <c r="AB155" i="3"/>
  <c r="Q1973" i="11"/>
  <c r="W1973" i="11" s="1"/>
  <c r="Q51" i="2"/>
  <c r="Q32" i="2"/>
  <c r="AB136" i="3"/>
  <c r="Q1954" i="11"/>
  <c r="W1954" i="11" s="1"/>
  <c r="Z1954" i="11" s="1"/>
  <c r="Y1949" i="11"/>
  <c r="Z1949" i="11"/>
  <c r="AA1949" i="11"/>
  <c r="Y1971" i="11"/>
  <c r="Z1971" i="11"/>
  <c r="AA1971" i="11"/>
  <c r="Z1986" i="11"/>
  <c r="Y1986" i="11"/>
  <c r="AA1986" i="11"/>
  <c r="Y1962" i="11"/>
  <c r="Z1962" i="11"/>
  <c r="AA1962" i="11"/>
  <c r="Z1977" i="11"/>
  <c r="Y1977" i="11"/>
  <c r="AA1977" i="11"/>
  <c r="AA1958" i="11"/>
  <c r="Y1958" i="11"/>
  <c r="Z1958" i="11"/>
  <c r="Y1954" i="11"/>
  <c r="AA1954" i="11"/>
  <c r="Y1961" i="11"/>
  <c r="AA1961" i="11"/>
  <c r="Z1961" i="11"/>
  <c r="Y1991" i="11"/>
  <c r="Z1991" i="11"/>
  <c r="AA1991" i="11"/>
  <c r="Z1944" i="11"/>
  <c r="Y1944" i="11"/>
  <c r="AA1944" i="11"/>
  <c r="Y1980" i="11"/>
  <c r="AA1980" i="11"/>
  <c r="Z1980" i="11"/>
  <c r="Y1970" i="11"/>
  <c r="AA1970" i="11"/>
  <c r="Z1970" i="11"/>
  <c r="AA1964" i="11"/>
  <c r="Y1964" i="11"/>
  <c r="Z1964" i="11"/>
  <c r="AA1997" i="11"/>
  <c r="Z1997" i="11"/>
  <c r="Y1997" i="11"/>
  <c r="Y1982" i="11"/>
  <c r="AA1982" i="11"/>
  <c r="Z1982" i="11"/>
  <c r="Q34" i="2"/>
  <c r="AB138" i="3"/>
  <c r="Q1956" i="11"/>
  <c r="W1956" i="11" s="1"/>
  <c r="Q35" i="2"/>
  <c r="AB139" i="3"/>
  <c r="Q1957" i="11"/>
  <c r="W1957" i="11" s="1"/>
  <c r="AB150" i="3"/>
  <c r="Q1968" i="11"/>
  <c r="W1968" i="11" s="1"/>
  <c r="Q46" i="2"/>
  <c r="AL55" i="8"/>
  <c r="AL57" i="8"/>
  <c r="J62" i="10"/>
  <c r="AL51" i="8"/>
  <c r="AL49" i="8"/>
  <c r="AL21" i="8"/>
  <c r="AL25" i="8"/>
  <c r="AL23" i="8"/>
  <c r="AL29" i="8"/>
  <c r="AL35" i="8"/>
  <c r="AL33" i="8"/>
  <c r="AL53" i="8"/>
  <c r="AL31" i="8"/>
  <c r="AL37" i="8"/>
  <c r="AL45" i="8"/>
  <c r="AL27" i="8"/>
  <c r="AL59" i="8"/>
  <c r="AL41" i="8"/>
  <c r="AL43" i="8"/>
  <c r="AL17" i="8"/>
  <c r="AK17" i="8" s="1"/>
  <c r="AL39" i="8"/>
  <c r="AL19" i="8"/>
  <c r="AL61" i="8"/>
  <c r="AL47" i="8"/>
  <c r="AB135" i="3"/>
  <c r="Q31" i="2"/>
  <c r="Q1953" i="11"/>
  <c r="W1953" i="11" s="1"/>
  <c r="AB170" i="3"/>
  <c r="Q1988" i="11"/>
  <c r="W1988" i="11" s="1"/>
  <c r="Q66" i="2"/>
  <c r="AB148" i="3"/>
  <c r="Q44" i="2"/>
  <c r="Q1966" i="11"/>
  <c r="W1966" i="11" s="1"/>
  <c r="W92" i="3"/>
  <c r="AA92" i="3" s="1"/>
  <c r="J12" i="6" s="1"/>
  <c r="L12" i="6"/>
  <c r="AB143" i="3"/>
  <c r="Q39" i="2"/>
  <c r="Q1961" i="11"/>
  <c r="W1961" i="11" s="1"/>
  <c r="Q61" i="2"/>
  <c r="AB165" i="3"/>
  <c r="Q1983" i="11"/>
  <c r="W1983" i="11" s="1"/>
  <c r="W62" i="18" l="1"/>
  <c r="AH62" i="18" s="1"/>
  <c r="AR12" i="2" s="1"/>
  <c r="AS12" i="2" s="1"/>
  <c r="G12" i="2" s="1"/>
  <c r="W27" i="18"/>
  <c r="AH27" i="18" s="1"/>
  <c r="T61" i="11" s="1"/>
  <c r="V61" i="11" s="1"/>
  <c r="N50" i="10"/>
  <c r="AB1966" i="11"/>
  <c r="N1966" i="11" s="1"/>
  <c r="AB1988" i="11"/>
  <c r="N1988" i="11" s="1"/>
  <c r="AB1975" i="11"/>
  <c r="N1975" i="11" s="1"/>
  <c r="AB1997" i="11"/>
  <c r="AB1996" i="11"/>
  <c r="AB1998" i="11"/>
  <c r="AB1999" i="11"/>
  <c r="AB1995" i="11"/>
  <c r="AB1957" i="11"/>
  <c r="AB1967" i="11"/>
  <c r="N1967" i="11" s="1"/>
  <c r="AB1972" i="11"/>
  <c r="AB1983" i="11"/>
  <c r="N1983" i="11" s="1"/>
  <c r="AB1953" i="11"/>
  <c r="AB1962" i="11"/>
  <c r="AB1968" i="11"/>
  <c r="N1968" i="11" s="1"/>
  <c r="AB1982" i="11"/>
  <c r="AB1973" i="11"/>
  <c r="N1973" i="11" s="1"/>
  <c r="AB1965" i="11"/>
  <c r="N1965" i="11" s="1"/>
  <c r="AB1951" i="11"/>
  <c r="N1951" i="11" s="1"/>
  <c r="AB1961" i="11"/>
  <c r="N1961" i="11" s="1"/>
  <c r="AB1989" i="11"/>
  <c r="N1989" i="11" s="1"/>
  <c r="AB1985" i="11"/>
  <c r="N1985" i="11" s="1"/>
  <c r="P1067" i="11"/>
  <c r="Q1074" i="11"/>
  <c r="Q1065" i="11"/>
  <c r="Q1072" i="11"/>
  <c r="Q1068" i="11"/>
  <c r="P1075" i="11"/>
  <c r="Q1070" i="11"/>
  <c r="Q1067" i="11"/>
  <c r="P1069" i="11"/>
  <c r="P1072" i="11"/>
  <c r="Q1066" i="11"/>
  <c r="P1073" i="11"/>
  <c r="Q1075" i="11"/>
  <c r="P1071" i="11"/>
  <c r="L14" i="6"/>
  <c r="Q1073" i="11"/>
  <c r="P1074" i="11"/>
  <c r="P1068" i="11"/>
  <c r="Q1069" i="11"/>
  <c r="P1066" i="11"/>
  <c r="Q1071" i="11"/>
  <c r="P1070" i="11"/>
  <c r="N31" i="14"/>
  <c r="P1065" i="11"/>
  <c r="AD1948" i="11"/>
  <c r="K1948" i="11" s="1"/>
  <c r="Z1956" i="11"/>
  <c r="AB1956" i="11" s="1"/>
  <c r="N1956" i="11" s="1"/>
  <c r="AB1971" i="11"/>
  <c r="AD1949" i="11"/>
  <c r="K1949" i="11" s="1"/>
  <c r="AD1947" i="11"/>
  <c r="K1947" i="11" s="1"/>
  <c r="AB1970" i="11"/>
  <c r="N1970" i="11" s="1"/>
  <c r="AB1969" i="11"/>
  <c r="N1969" i="11" s="1"/>
  <c r="AB1954" i="11"/>
  <c r="AB1964" i="11"/>
  <c r="AB1994" i="11"/>
  <c r="N1994" i="11" s="1"/>
  <c r="AB1955" i="11"/>
  <c r="N1955" i="11" s="1"/>
  <c r="AB1987" i="11"/>
  <c r="N1987" i="11" s="1"/>
  <c r="AB1952" i="11"/>
  <c r="N1952" i="11" s="1"/>
  <c r="AB1963" i="11"/>
  <c r="N1963" i="11" s="1"/>
  <c r="AD1971" i="11" l="1"/>
  <c r="K1971" i="11" s="1"/>
  <c r="AD1964" i="11"/>
  <c r="K1964" i="11" s="1"/>
  <c r="AD1954" i="11"/>
  <c r="K1954" i="11" s="1"/>
  <c r="AD1962" i="11"/>
  <c r="K1962" i="11" s="1"/>
  <c r="AD1958" i="11"/>
  <c r="K1958" i="11" s="1"/>
  <c r="AD1968" i="11"/>
  <c r="K1968" i="11" s="1"/>
  <c r="N1953" i="11"/>
  <c r="AD1970" i="11"/>
  <c r="K1970" i="11" s="1"/>
  <c r="AD1965" i="11"/>
  <c r="K1965" i="11" s="1"/>
  <c r="AD1966" i="11"/>
  <c r="K1966" i="11" s="1"/>
  <c r="N1964" i="11"/>
  <c r="AD1994" i="11"/>
  <c r="K1994" i="11" s="1"/>
  <c r="AD1969" i="11"/>
  <c r="K1969" i="11" s="1"/>
  <c r="N1982" i="11"/>
  <c r="AD1999" i="11"/>
  <c r="K1999" i="11" s="1"/>
  <c r="AD1963" i="11"/>
  <c r="K1963" i="11" s="1"/>
  <c r="N1957" i="11"/>
  <c r="N1971" i="11"/>
  <c r="AD1995" i="11"/>
  <c r="K1995" i="11" s="1"/>
  <c r="N1972" i="11"/>
  <c r="AD1998" i="11"/>
  <c r="K1998" i="11" s="1"/>
  <c r="AD1946" i="11"/>
  <c r="K1946" i="11" s="1"/>
  <c r="N1954" i="11"/>
  <c r="N1962" i="11"/>
  <c r="AD1956" i="11"/>
  <c r="K1956" i="11" s="1"/>
  <c r="N1995" i="11"/>
  <c r="AD1957" i="11"/>
  <c r="K1957" i="11" s="1"/>
  <c r="AR13" i="2"/>
  <c r="AS13" i="2" s="1"/>
  <c r="G13" i="2" s="1"/>
  <c r="W29" i="3" s="1"/>
  <c r="AA29" i="3"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7" i="11"/>
  <c r="K1967" i="11" s="1"/>
  <c r="P1076" i="11"/>
  <c r="Q1076" i="11"/>
  <c r="U639" i="11" l="1"/>
  <c r="F31" i="4"/>
  <c r="F53" i="4"/>
  <c r="C55" i="4"/>
  <c r="U762" i="11"/>
  <c r="J13" i="10"/>
  <c r="E23" i="4"/>
  <c r="H13" i="2"/>
  <c r="F13" i="10"/>
  <c r="AI31" i="1"/>
  <c r="F23" i="4"/>
  <c r="J32" i="2"/>
  <c r="AG95" i="10" s="1"/>
  <c r="W30" i="3"/>
  <c r="AA30" i="3" s="1"/>
  <c r="H14" i="2"/>
  <c r="E832" i="11" s="1"/>
  <c r="X832" i="11" s="1"/>
  <c r="AT11" i="2"/>
  <c r="AO20" i="2" s="1"/>
  <c r="H16" i="2"/>
  <c r="U140" i="3" s="1"/>
  <c r="AA140" i="3" s="1"/>
  <c r="O1958" i="11" s="1"/>
  <c r="W60" i="11"/>
  <c r="W64" i="11"/>
  <c r="X64" i="11" s="1"/>
  <c r="W63" i="11"/>
  <c r="X63" i="11" s="1"/>
  <c r="W62" i="11"/>
  <c r="X62" i="11" s="1"/>
  <c r="W61" i="11"/>
  <c r="X61" i="11" s="1"/>
  <c r="U185" i="3"/>
  <c r="Z185" i="3" s="1"/>
  <c r="N11" i="2" s="1"/>
  <c r="E12" i="10" s="1"/>
  <c r="G60" i="2"/>
  <c r="G58" i="2"/>
  <c r="G59" i="2"/>
  <c r="J59" i="2" s="1"/>
  <c r="N13" i="10"/>
  <c r="H11" i="2"/>
  <c r="W27" i="3"/>
  <c r="AA27" i="3" s="1"/>
  <c r="F24" i="5" s="1"/>
  <c r="I35" i="10" s="1"/>
  <c r="W43" i="4"/>
  <c r="W36" i="4"/>
  <c r="L43" i="4"/>
  <c r="W29" i="4"/>
  <c r="L36" i="4"/>
  <c r="H1076" i="11"/>
  <c r="F48" i="10" s="1"/>
  <c r="E854" i="11" l="1"/>
  <c r="X854" i="11" s="1"/>
  <c r="E852" i="11"/>
  <c r="X852" i="11" s="1"/>
  <c r="E847" i="11"/>
  <c r="X847" i="11" s="1"/>
  <c r="E836" i="11"/>
  <c r="X836" i="11" s="1"/>
  <c r="E864" i="11"/>
  <c r="X864" i="11" s="1"/>
  <c r="E834" i="11"/>
  <c r="X834" i="11" s="1"/>
  <c r="E849" i="11"/>
  <c r="X849" i="11" s="1"/>
  <c r="E844" i="11"/>
  <c r="X844" i="11" s="1"/>
  <c r="E831" i="11"/>
  <c r="X831" i="11" s="1"/>
  <c r="E874" i="11"/>
  <c r="X874" i="11" s="1"/>
  <c r="W25" i="3"/>
  <c r="AA25" i="3" s="1"/>
  <c r="E835" i="11"/>
  <c r="X835" i="11" s="1"/>
  <c r="E797" i="11"/>
  <c r="E846" i="11"/>
  <c r="X846" i="11" s="1"/>
  <c r="E728" i="11"/>
  <c r="E865" i="11"/>
  <c r="X865" i="11" s="1"/>
  <c r="E868" i="11"/>
  <c r="X868" i="11" s="1"/>
  <c r="E856" i="11"/>
  <c r="X856" i="11" s="1"/>
  <c r="E869" i="11"/>
  <c r="X869" i="11" s="1"/>
  <c r="E857" i="11"/>
  <c r="X857" i="11" s="1"/>
  <c r="E855" i="11"/>
  <c r="X855" i="11" s="1"/>
  <c r="E842" i="11"/>
  <c r="X842" i="11" s="1"/>
  <c r="E837" i="11"/>
  <c r="X837" i="11" s="1"/>
  <c r="E866" i="11"/>
  <c r="X866" i="11" s="1"/>
  <c r="E862" i="11"/>
  <c r="X862" i="11" s="1"/>
  <c r="E861" i="11"/>
  <c r="X861" i="11" s="1"/>
  <c r="E845" i="11"/>
  <c r="X845" i="11" s="1"/>
  <c r="E843" i="11"/>
  <c r="X843" i="11" s="1"/>
  <c r="E851" i="11"/>
  <c r="X851" i="11" s="1"/>
  <c r="E830" i="11"/>
  <c r="X830" i="11" s="1"/>
  <c r="E867" i="11"/>
  <c r="X867" i="11" s="1"/>
  <c r="U156" i="3"/>
  <c r="AA156" i="3" s="1"/>
  <c r="O1974" i="11" s="1"/>
  <c r="E853" i="11"/>
  <c r="X853" i="11" s="1"/>
  <c r="E839" i="11"/>
  <c r="X839" i="11" s="1"/>
  <c r="E838" i="11"/>
  <c r="X838" i="11" s="1"/>
  <c r="E859" i="11"/>
  <c r="X859" i="11" s="1"/>
  <c r="E881" i="11"/>
  <c r="X881" i="11" s="1"/>
  <c r="E863" i="11"/>
  <c r="X863" i="11" s="1"/>
  <c r="E860" i="11"/>
  <c r="X860" i="11" s="1"/>
  <c r="E872" i="11"/>
  <c r="X872" i="11" s="1"/>
  <c r="E858" i="11"/>
  <c r="X858" i="11" s="1"/>
  <c r="E841" i="11"/>
  <c r="X841" i="11" s="1"/>
  <c r="Y642" i="11"/>
  <c r="Y641" i="11"/>
  <c r="Y640" i="11"/>
  <c r="U131" i="3"/>
  <c r="E833" i="11"/>
  <c r="X833" i="11" s="1"/>
  <c r="E873" i="11"/>
  <c r="X873" i="11" s="1"/>
  <c r="E848" i="11"/>
  <c r="X848" i="11" s="1"/>
  <c r="E850" i="11"/>
  <c r="X850" i="11" s="1"/>
  <c r="E880" i="11"/>
  <c r="X880" i="11" s="1"/>
  <c r="E870" i="11"/>
  <c r="X870" i="11" s="1"/>
  <c r="E875" i="11"/>
  <c r="X875" i="11" s="1"/>
  <c r="E726" i="11"/>
  <c r="E879" i="11"/>
  <c r="X879" i="11" s="1"/>
  <c r="E828" i="11"/>
  <c r="X828" i="11" s="1"/>
  <c r="E871" i="11"/>
  <c r="X871" i="11" s="1"/>
  <c r="E840" i="11"/>
  <c r="X840" i="11" s="1"/>
  <c r="E829" i="11"/>
  <c r="X829" i="11" s="1"/>
  <c r="E760" i="11"/>
  <c r="U172" i="3"/>
  <c r="AA172" i="3" s="1"/>
  <c r="O1990" i="11" s="1"/>
  <c r="Y816" i="11"/>
  <c r="Y814" i="11"/>
  <c r="Y805" i="11"/>
  <c r="Y812"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1" i="11"/>
  <c r="Y724" i="11"/>
  <c r="Y736" i="11"/>
  <c r="Y752" i="11"/>
  <c r="Y649" i="11"/>
  <c r="Y661" i="11"/>
  <c r="Y669" i="11"/>
  <c r="Y681" i="11"/>
  <c r="Y693" i="11"/>
  <c r="Y705" i="11"/>
  <c r="Y713" i="11"/>
  <c r="Y800" i="11"/>
  <c r="Y810"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1" i="11" s="1"/>
  <c r="W93" i="3"/>
  <c r="AA93" i="3" s="1"/>
  <c r="P12" i="6" s="1"/>
  <c r="U168" i="3"/>
  <c r="AA168" i="3" s="1"/>
  <c r="O1986" i="11" s="1"/>
  <c r="D26" i="2"/>
  <c r="U160" i="3"/>
  <c r="AA160" i="3" s="1"/>
  <c r="O1978" i="11" s="1"/>
  <c r="U167" i="3"/>
  <c r="U132" i="3"/>
  <c r="U158" i="3"/>
  <c r="AA158" i="3" s="1"/>
  <c r="O1976" i="11" s="1"/>
  <c r="U161" i="3"/>
  <c r="AA161" i="3" s="1"/>
  <c r="O1979" i="11" s="1"/>
  <c r="W23" i="3"/>
  <c r="U173" i="3"/>
  <c r="AA173" i="3" s="1"/>
  <c r="O1991" i="11" s="1"/>
  <c r="AD1953" i="11" s="1"/>
  <c r="K1953" i="11" s="1"/>
  <c r="U159" i="3"/>
  <c r="AA159" i="3" s="1"/>
  <c r="O1977" i="11" s="1"/>
  <c r="W109" i="3"/>
  <c r="AA109" i="3" s="1"/>
  <c r="P12" i="8" s="1"/>
  <c r="AQ32" i="6"/>
  <c r="U175" i="3"/>
  <c r="AA175" i="3" s="1"/>
  <c r="O1993" i="11" s="1"/>
  <c r="U174" i="3"/>
  <c r="AA174" i="3" s="1"/>
  <c r="O1992" i="11" s="1"/>
  <c r="W22" i="3"/>
  <c r="U141" i="3"/>
  <c r="AA141" i="3" s="1"/>
  <c r="O1959" i="11" s="1"/>
  <c r="U142" i="3"/>
  <c r="AA142" i="3" s="1"/>
  <c r="O1960" i="11" s="1"/>
  <c r="E16" i="4"/>
  <c r="S16" i="4"/>
  <c r="AF15" i="4" s="1"/>
  <c r="I25" i="2" s="1"/>
  <c r="W65" i="11"/>
  <c r="F36" i="5"/>
  <c r="C1981" i="11" s="1"/>
  <c r="AQ39" i="10" s="1"/>
  <c r="J39" i="10" s="1"/>
  <c r="H28" i="2"/>
  <c r="S17" i="4"/>
  <c r="Z879" i="11"/>
  <c r="U129" i="3"/>
  <c r="U166" i="3"/>
  <c r="AA166" i="3" s="1"/>
  <c r="U128" i="3"/>
  <c r="U126" i="3"/>
  <c r="U127" i="3"/>
  <c r="W24" i="3"/>
  <c r="U130" i="3"/>
  <c r="D25" i="2"/>
  <c r="U162" i="3"/>
  <c r="AA162" i="3" s="1"/>
  <c r="O1980" i="11" s="1"/>
  <c r="Q36" i="2"/>
  <c r="I966" i="11"/>
  <c r="AB140" i="3"/>
  <c r="Z870" i="11"/>
  <c r="Q1958" i="11"/>
  <c r="W1958" i="11" s="1"/>
  <c r="AB1958" i="11" s="1"/>
  <c r="N1958" i="11" s="1"/>
  <c r="Q1976" i="11"/>
  <c r="W1976" i="11" s="1"/>
  <c r="AB1976" i="11" s="1"/>
  <c r="V16" i="10"/>
  <c r="P17" i="14"/>
  <c r="Z828" i="11" l="1"/>
  <c r="Z846" i="11"/>
  <c r="Q1990" i="11"/>
  <c r="W1990" i="11" s="1"/>
  <c r="AB1990" i="11" s="1"/>
  <c r="N1990" i="11" s="1"/>
  <c r="AB172" i="3"/>
  <c r="Q55" i="2"/>
  <c r="Q54" i="2"/>
  <c r="AB173" i="3"/>
  <c r="Z855" i="11"/>
  <c r="Q68" i="2"/>
  <c r="O1984" i="11"/>
  <c r="Z834" i="11"/>
  <c r="AB166" i="3"/>
  <c r="Q1984" i="11"/>
  <c r="N1976" i="11"/>
  <c r="Q1977" i="11"/>
  <c r="W1977" i="11" s="1"/>
  <c r="AB1977" i="11" s="1"/>
  <c r="N1977" i="11" s="1"/>
  <c r="Z831" i="11"/>
  <c r="AB159" i="3"/>
  <c r="AB158" i="3"/>
  <c r="Z858" i="11"/>
  <c r="Q1979" i="11"/>
  <c r="W1979" i="11" s="1"/>
  <c r="AB1979" i="11" s="1"/>
  <c r="N1979" i="11" s="1"/>
  <c r="Q1981" i="11"/>
  <c r="W1981" i="11" s="1"/>
  <c r="AB1981" i="11" s="1"/>
  <c r="N1981" i="11" s="1"/>
  <c r="Z837" i="11"/>
  <c r="Q59" i="2"/>
  <c r="Q918" i="11"/>
  <c r="L21" i="4" s="1"/>
  <c r="AV50" i="4" s="1"/>
  <c r="AB160" i="3"/>
  <c r="AB156" i="3"/>
  <c r="Q1974" i="11"/>
  <c r="AB163" i="3"/>
  <c r="AB141" i="3"/>
  <c r="Q69" i="2"/>
  <c r="AB168" i="3"/>
  <c r="Q12" i="6"/>
  <c r="J52" i="10" s="1"/>
  <c r="AB161" i="3"/>
  <c r="Q12" i="8"/>
  <c r="K64" i="10" s="1"/>
  <c r="AA130" i="3"/>
  <c r="O1948" i="11" s="1"/>
  <c r="AA128" i="3"/>
  <c r="O1946" i="11" s="1"/>
  <c r="Q57" i="2"/>
  <c r="Q1978" i="11"/>
  <c r="AA126" i="3"/>
  <c r="O1944" i="11" s="1"/>
  <c r="Q1959" i="11"/>
  <c r="W1959" i="11" s="1"/>
  <c r="AB1959" i="11" s="1"/>
  <c r="N1959" i="11" s="1"/>
  <c r="Q37" i="2"/>
  <c r="Q64" i="2"/>
  <c r="Q1991" i="11"/>
  <c r="W1991" i="11" s="1"/>
  <c r="AB1991" i="11" s="1"/>
  <c r="N1991" i="11" s="1"/>
  <c r="Q1986" i="11"/>
  <c r="W1986" i="11" s="1"/>
  <c r="AB1986" i="11" s="1"/>
  <c r="N1986" i="11" s="1"/>
  <c r="AB175" i="3"/>
  <c r="AB174" i="3"/>
  <c r="Q1992" i="11"/>
  <c r="W1992" i="11" s="1"/>
  <c r="AB1992" i="11" s="1"/>
  <c r="N1992" i="11" s="1"/>
  <c r="Q1993" i="11"/>
  <c r="W1993" i="11" s="1"/>
  <c r="AB1993" i="11" s="1"/>
  <c r="N1993" i="11" s="1"/>
  <c r="Q70" i="2"/>
  <c r="Q71" i="2"/>
  <c r="Q1960" i="11"/>
  <c r="W1960" i="11" s="1"/>
  <c r="AB1960" i="11" s="1"/>
  <c r="AD1983" i="11" s="1"/>
  <c r="K1983" i="11" s="1"/>
  <c r="AB142" i="3"/>
  <c r="Q38" i="2"/>
  <c r="AD1961" i="11"/>
  <c r="K1961" i="11" s="1"/>
  <c r="AA127" i="3"/>
  <c r="Z861" i="11" s="1"/>
  <c r="AA129" i="3"/>
  <c r="O1947" i="11" s="1"/>
  <c r="AA24" i="3"/>
  <c r="AB829" i="11" s="1"/>
  <c r="AA131" i="3"/>
  <c r="O1949" i="11" s="1"/>
  <c r="AA22" i="3"/>
  <c r="AA23" i="3"/>
  <c r="AA132" i="3"/>
  <c r="O1950" i="11" s="1"/>
  <c r="AB887" i="11" a="1"/>
  <c r="AB914" i="11" a="1"/>
  <c r="AB885" i="11" a="1"/>
  <c r="AB903" i="11" a="1"/>
  <c r="AB884" i="11" a="1"/>
  <c r="AB910" i="11" a="1"/>
  <c r="AB908" i="11" a="1"/>
  <c r="AB916" i="11" a="1"/>
  <c r="AB911" i="11" a="1"/>
  <c r="AB889" i="11" a="1"/>
  <c r="AB902" i="11" a="1"/>
  <c r="AB898" i="11" a="1"/>
  <c r="AB890" i="11" a="1"/>
  <c r="AB897" i="11" a="1"/>
  <c r="AB907" i="11" a="1"/>
  <c r="AB893" i="11" a="1"/>
  <c r="AB913" i="11" a="1"/>
  <c r="AB896" i="11" a="1"/>
  <c r="AB901" i="11" a="1"/>
  <c r="AB894" i="11" a="1"/>
  <c r="AB909" i="11" a="1"/>
  <c r="AB886" i="11" a="1"/>
  <c r="AB912" i="11" a="1"/>
  <c r="AB891" i="11" a="1"/>
  <c r="AB904" i="11" a="1"/>
  <c r="AB888" i="11" a="1"/>
  <c r="AB905" i="11" a="1"/>
  <c r="AB895" i="11" a="1"/>
  <c r="AB915" i="11" a="1"/>
  <c r="AB883" i="11" a="1"/>
  <c r="AB900" i="11" a="1"/>
  <c r="AB906" i="11" a="1"/>
  <c r="AB892" i="11" a="1"/>
  <c r="AB899" i="11" a="1"/>
  <c r="AD1984" i="11"/>
  <c r="K1984" i="11" s="1"/>
  <c r="AD1993" i="11"/>
  <c r="K1993" i="11" s="1"/>
  <c r="AD1985" i="11"/>
  <c r="K1985" i="11" s="1"/>
  <c r="AD1959" i="11"/>
  <c r="K1959" i="11" s="1"/>
  <c r="AD1955" i="11"/>
  <c r="K1955" i="11" s="1"/>
  <c r="AD1945" i="11"/>
  <c r="K1945" i="11" s="1"/>
  <c r="Q1980" i="11"/>
  <c r="AB162" i="3"/>
  <c r="AD1978" i="11"/>
  <c r="K1978" i="11" s="1"/>
  <c r="AD1996" i="11"/>
  <c r="K1996" i="11" s="1"/>
  <c r="O25" i="2"/>
  <c r="AF1947" i="11" s="1"/>
  <c r="O22" i="2"/>
  <c r="AF1944" i="11" s="1"/>
  <c r="D28" i="2"/>
  <c r="D31" i="2" s="1"/>
  <c r="O58" i="2"/>
  <c r="AF1980" i="11" s="1"/>
  <c r="O62" i="2"/>
  <c r="AF1984" i="11" s="1"/>
  <c r="O27" i="2"/>
  <c r="O26" i="2"/>
  <c r="AF1948" i="11" s="1"/>
  <c r="O56" i="2"/>
  <c r="O52" i="2"/>
  <c r="O23" i="2"/>
  <c r="AF1945" i="11" s="1"/>
  <c r="AD1960" i="11" l="1"/>
  <c r="K1960" i="11" s="1"/>
  <c r="AB866" i="11"/>
  <c r="W1984" i="11"/>
  <c r="AB1984" i="11" s="1"/>
  <c r="AD1951" i="11" s="1"/>
  <c r="K1951" i="11" s="1"/>
  <c r="Q62" i="2"/>
  <c r="Z52" i="14" s="1"/>
  <c r="N1960" i="11"/>
  <c r="AD1952" i="11"/>
  <c r="K1952" i="11" s="1"/>
  <c r="AB901" i="11"/>
  <c r="AB863" i="11"/>
  <c r="AB868" i="11"/>
  <c r="AB912" i="11"/>
  <c r="AB865" i="11"/>
  <c r="AY44" i="4"/>
  <c r="BC44" i="4"/>
  <c r="AZ44" i="4"/>
  <c r="BD44" i="4"/>
  <c r="AX44" i="4"/>
  <c r="BB44" i="4"/>
  <c r="BF44" i="4"/>
  <c r="BA44" i="4"/>
  <c r="BE44" i="4"/>
  <c r="BE43" i="4"/>
  <c r="BF43" i="4"/>
  <c r="AZ43" i="4"/>
  <c r="BA43" i="4"/>
  <c r="BB43" i="4"/>
  <c r="AX43" i="4"/>
  <c r="AY43" i="4"/>
  <c r="BD43" i="4"/>
  <c r="BE42" i="4"/>
  <c r="I59" i="4" s="1"/>
  <c r="AZ42" i="4"/>
  <c r="T36" i="4" s="1"/>
  <c r="BA42" i="4"/>
  <c r="I43" i="4" s="1"/>
  <c r="BF42" i="4"/>
  <c r="T59" i="4" s="1"/>
  <c r="AY42" i="4"/>
  <c r="I36" i="4" s="1"/>
  <c r="BB42" i="4"/>
  <c r="T43" i="4" s="1"/>
  <c r="AX42" i="4"/>
  <c r="T29" i="4" s="1"/>
  <c r="BD42" i="4"/>
  <c r="T50" i="4" s="1"/>
  <c r="I1016" i="11"/>
  <c r="AA915" i="11" a="1"/>
  <c r="AA902" i="11" a="1"/>
  <c r="AA902" i="11" s="1"/>
  <c r="AA888" i="11" a="1"/>
  <c r="AA889" i="11" a="1"/>
  <c r="AA899" i="11" a="1"/>
  <c r="AA891" i="11" a="1"/>
  <c r="AA891" i="11" s="1"/>
  <c r="Z891" i="11" s="1"/>
  <c r="AA887" i="11" a="1"/>
  <c r="AA887" i="11" s="1"/>
  <c r="Z887" i="11" s="1"/>
  <c r="AA900" i="11" a="1"/>
  <c r="AA897" i="11" a="1"/>
  <c r="AA906" i="11" a="1"/>
  <c r="AA906" i="11" s="1"/>
  <c r="AA890" i="11" a="1"/>
  <c r="AA890" i="11" s="1"/>
  <c r="AA892" i="11" a="1"/>
  <c r="AA907" i="11" a="1"/>
  <c r="AA909" i="11" a="1"/>
  <c r="AA909" i="11" s="1"/>
  <c r="Z909" i="11" s="1"/>
  <c r="AA883" i="11" a="1"/>
  <c r="AA903" i="11" a="1"/>
  <c r="AA884" i="11" a="1"/>
  <c r="AA911" i="11" a="1"/>
  <c r="AA911" i="11" s="1"/>
  <c r="AA893" i="11" a="1"/>
  <c r="AA893" i="11" s="1"/>
  <c r="Z893" i="11" s="1"/>
  <c r="AA914" i="11" a="1"/>
  <c r="AA912" i="11" a="1"/>
  <c r="AA910" i="11" a="1"/>
  <c r="AA913" i="11" a="1"/>
  <c r="AA913" i="11" s="1"/>
  <c r="Z913" i="11" s="1"/>
  <c r="AA905" i="11" a="1"/>
  <c r="AA908" i="11" a="1"/>
  <c r="AA894" i="11" a="1"/>
  <c r="AA894" i="11" s="1"/>
  <c r="AA896" i="11" a="1"/>
  <c r="AA895" i="11" a="1"/>
  <c r="AA898" i="11" a="1"/>
  <c r="AA885" i="11" a="1"/>
  <c r="AA901" i="11" a="1"/>
  <c r="AA901" i="11" s="1"/>
  <c r="AA886" i="11" a="1"/>
  <c r="AA916" i="11" a="1"/>
  <c r="AA904" i="11" a="1"/>
  <c r="AC902" i="11" a="1"/>
  <c r="AC901" i="11" a="1"/>
  <c r="AC911" i="11" a="1"/>
  <c r="AC914" i="11" a="1"/>
  <c r="AC914" i="11" s="1"/>
  <c r="AC907" i="11" a="1"/>
  <c r="AC896" i="11" a="1"/>
  <c r="AC889" i="11" a="1"/>
  <c r="AC899" i="11" a="1"/>
  <c r="AC899" i="11" s="1"/>
  <c r="AC888" i="11" a="1"/>
  <c r="AC888" i="11" s="1"/>
  <c r="AC912" i="11" a="1"/>
  <c r="AC885" i="11" a="1"/>
  <c r="AC886" i="11" a="1"/>
  <c r="AC886" i="11" s="1"/>
  <c r="AC904" i="11" a="1"/>
  <c r="AC887" i="11" a="1"/>
  <c r="AC894" i="11" a="1"/>
  <c r="AC908" i="11" a="1"/>
  <c r="AC908" i="11" s="1"/>
  <c r="AC892" i="11" a="1"/>
  <c r="AC892" i="11" s="1"/>
  <c r="AC900" i="11" a="1"/>
  <c r="AC915" i="11" a="1"/>
  <c r="AC891" i="11" a="1"/>
  <c r="AC891" i="11" s="1"/>
  <c r="AC910" i="11" a="1"/>
  <c r="AC903" i="11" a="1"/>
  <c r="AC897" i="11" a="1"/>
  <c r="AC895" i="11" a="1"/>
  <c r="AC895" i="11" s="1"/>
  <c r="AC893" i="11" a="1"/>
  <c r="AC893" i="11" s="1"/>
  <c r="AC913" i="11" a="1"/>
  <c r="AC883" i="11" a="1"/>
  <c r="AC884" i="11" a="1"/>
  <c r="AC884" i="11" s="1"/>
  <c r="AC898" i="11" a="1"/>
  <c r="AC905" i="11" a="1"/>
  <c r="AC909" i="11" a="1"/>
  <c r="AC890" i="11" a="1"/>
  <c r="AC890" i="11" s="1"/>
  <c r="AC916" i="11" a="1"/>
  <c r="AC916" i="11" s="1"/>
  <c r="AC906" i="11" a="1"/>
  <c r="AB127" i="3"/>
  <c r="Q1944" i="11"/>
  <c r="W1944" i="11" s="1"/>
  <c r="AB1944" i="11" s="1"/>
  <c r="N1944" i="11" s="1"/>
  <c r="Q1946" i="11"/>
  <c r="W1946" i="11" s="1"/>
  <c r="AB1946" i="11" s="1"/>
  <c r="N1946" i="11" s="1"/>
  <c r="Z849" i="11"/>
  <c r="AB126" i="3"/>
  <c r="AB130" i="3"/>
  <c r="Q1948" i="11"/>
  <c r="W1948" i="11" s="1"/>
  <c r="AB1948" i="11" s="1"/>
  <c r="N1948" i="11" s="1"/>
  <c r="Q24" i="2"/>
  <c r="AB128" i="3"/>
  <c r="Q1945" i="11"/>
  <c r="W1945" i="11" s="1"/>
  <c r="AB1945" i="11" s="1"/>
  <c r="AB831" i="11"/>
  <c r="AB840" i="11"/>
  <c r="AB907" i="11"/>
  <c r="AB828" i="11"/>
  <c r="AB855" i="11"/>
  <c r="AB836" i="11"/>
  <c r="Z836" i="11" s="1"/>
  <c r="AB900" i="11"/>
  <c r="AB886" i="11"/>
  <c r="AB869" i="11"/>
  <c r="AB835" i="11"/>
  <c r="Z835" i="11" s="1"/>
  <c r="AB915" i="11"/>
  <c r="AW44" i="4"/>
  <c r="AB839" i="11"/>
  <c r="AB877" i="11"/>
  <c r="AB129" i="3"/>
  <c r="Q1947" i="11"/>
  <c r="W1947" i="11" s="1"/>
  <c r="AB1947" i="11" s="1"/>
  <c r="N1947" i="11" s="1"/>
  <c r="Z840" i="11"/>
  <c r="O1945" i="11"/>
  <c r="AD1973" i="11"/>
  <c r="K1973" i="11" s="1"/>
  <c r="AB830" i="11"/>
  <c r="AB833" i="11"/>
  <c r="AB914" i="11"/>
  <c r="AB850" i="11"/>
  <c r="AB878" i="11"/>
  <c r="AB838" i="11"/>
  <c r="AB867" i="11"/>
  <c r="AB872" i="11"/>
  <c r="AB844" i="11"/>
  <c r="AB883" i="11"/>
  <c r="AB892" i="11"/>
  <c r="AB832" i="11"/>
  <c r="AB858" i="11"/>
  <c r="AB888" i="11"/>
  <c r="AB909" i="11"/>
  <c r="AB904" i="11"/>
  <c r="AB859" i="11"/>
  <c r="AT22" i="4"/>
  <c r="AB871" i="11"/>
  <c r="AB903" i="11"/>
  <c r="AB860" i="11"/>
  <c r="AB857" i="11"/>
  <c r="AB885" i="11"/>
  <c r="AB841" i="11"/>
  <c r="AB905" i="11"/>
  <c r="AB837" i="11"/>
  <c r="AB854" i="11"/>
  <c r="AB843" i="11"/>
  <c r="AB890" i="11"/>
  <c r="AB880" i="11"/>
  <c r="AB895" i="11"/>
  <c r="AB896" i="11"/>
  <c r="AB848" i="11"/>
  <c r="AB879" i="11"/>
  <c r="AB873" i="11"/>
  <c r="AB893" i="11"/>
  <c r="AB874" i="11"/>
  <c r="AB899" i="11"/>
  <c r="AB862" i="11"/>
  <c r="AB898" i="11"/>
  <c r="AB846" i="11"/>
  <c r="AB916" i="11"/>
  <c r="AB889" i="11"/>
  <c r="AB913" i="11"/>
  <c r="AB875" i="11"/>
  <c r="AB852" i="11"/>
  <c r="AB847" i="11"/>
  <c r="AB908" i="11"/>
  <c r="AB849" i="11"/>
  <c r="AB884" i="11"/>
  <c r="AB870" i="11"/>
  <c r="AB845" i="11"/>
  <c r="AB906" i="11"/>
  <c r="AB891" i="11"/>
  <c r="AB902" i="11"/>
  <c r="AB853" i="11"/>
  <c r="AB910" i="11"/>
  <c r="AB887" i="11"/>
  <c r="AB911" i="11"/>
  <c r="AB851" i="11"/>
  <c r="AB842" i="11"/>
  <c r="AB897" i="11"/>
  <c r="AB834" i="11"/>
  <c r="AB864" i="11"/>
  <c r="AB881" i="11"/>
  <c r="AB856" i="11"/>
  <c r="AB876" i="11"/>
  <c r="AB861" i="11"/>
  <c r="AB894" i="11"/>
  <c r="F26" i="2"/>
  <c r="AD23" i="3"/>
  <c r="I1015" i="11" s="1"/>
  <c r="Q1950" i="11"/>
  <c r="W1950" i="11" s="1"/>
  <c r="AB1950" i="11" s="1"/>
  <c r="AD1982" i="11" s="1"/>
  <c r="K1982" i="11" s="1"/>
  <c r="Q28" i="2"/>
  <c r="AB132" i="3"/>
  <c r="AC868" i="11"/>
  <c r="AC905" i="11"/>
  <c r="AC865" i="11"/>
  <c r="AC880" i="11"/>
  <c r="AC833" i="11"/>
  <c r="AC870" i="11"/>
  <c r="AC911" i="11"/>
  <c r="AC912" i="11"/>
  <c r="Z912" i="11" s="1"/>
  <c r="AC900" i="11"/>
  <c r="AC903" i="11"/>
  <c r="AC866" i="11"/>
  <c r="AC909" i="11"/>
  <c r="AC883" i="11"/>
  <c r="AC859" i="11"/>
  <c r="AC902" i="11"/>
  <c r="AC874" i="11"/>
  <c r="AC877" i="11"/>
  <c r="AT20" i="4"/>
  <c r="AC830" i="11"/>
  <c r="AC867" i="11"/>
  <c r="AC878" i="11"/>
  <c r="AC907" i="11"/>
  <c r="AC861" i="11"/>
  <c r="AC852" i="11"/>
  <c r="AC863" i="11"/>
  <c r="AC836" i="11"/>
  <c r="AC853" i="11"/>
  <c r="AC901" i="11"/>
  <c r="AC846" i="11"/>
  <c r="AC835" i="11"/>
  <c r="AC898" i="11"/>
  <c r="AC841" i="11"/>
  <c r="AC885" i="11"/>
  <c r="AC910" i="11"/>
  <c r="AC897" i="11"/>
  <c r="AC860" i="11"/>
  <c r="AC915" i="11"/>
  <c r="AC871" i="11"/>
  <c r="AC854" i="11"/>
  <c r="AC850" i="11"/>
  <c r="AC869" i="11"/>
  <c r="AC829" i="11"/>
  <c r="AC856" i="11"/>
  <c r="AC842" i="11"/>
  <c r="AC838" i="11"/>
  <c r="AC889" i="11"/>
  <c r="AC913" i="11"/>
  <c r="AC843" i="11"/>
  <c r="AC857" i="11"/>
  <c r="Z857" i="11" s="1"/>
  <c r="AC862" i="11"/>
  <c r="AC873" i="11"/>
  <c r="AC840" i="11"/>
  <c r="AC828" i="11"/>
  <c r="AC848" i="11"/>
  <c r="AC834" i="11"/>
  <c r="AC847" i="11"/>
  <c r="AC872" i="11"/>
  <c r="AC845" i="11"/>
  <c r="AC851" i="11"/>
  <c r="AC887" i="11"/>
  <c r="AC844" i="11"/>
  <c r="AC906" i="11"/>
  <c r="AC831" i="11"/>
  <c r="AC832" i="11"/>
  <c r="AC837" i="11"/>
  <c r="AC904" i="11"/>
  <c r="AC864" i="11"/>
  <c r="AC879" i="11"/>
  <c r="AC875" i="11"/>
  <c r="AC849" i="11"/>
  <c r="AC894" i="11"/>
  <c r="AC855" i="11"/>
  <c r="AC876" i="11"/>
  <c r="AC881" i="11"/>
  <c r="AC896" i="11"/>
  <c r="AC839" i="11"/>
  <c r="AC858" i="11"/>
  <c r="AA831" i="11"/>
  <c r="AA841" i="11"/>
  <c r="AA846" i="11"/>
  <c r="AA899" i="11"/>
  <c r="AA865" i="11"/>
  <c r="Z865" i="11" s="1"/>
  <c r="AA835" i="11"/>
  <c r="AA855" i="11"/>
  <c r="AA877" i="11"/>
  <c r="AA840" i="11"/>
  <c r="AA910" i="11"/>
  <c r="Z910" i="11" s="1"/>
  <c r="AA850" i="11"/>
  <c r="AA915" i="11"/>
  <c r="AA905" i="11"/>
  <c r="AA880" i="11"/>
  <c r="AA875" i="11"/>
  <c r="AA863" i="11"/>
  <c r="I1014" i="11"/>
  <c r="AA849" i="11"/>
  <c r="AA900" i="11"/>
  <c r="AA873" i="11"/>
  <c r="AA908" i="11"/>
  <c r="AA892" i="11"/>
  <c r="AA847" i="11"/>
  <c r="AA884" i="11"/>
  <c r="AA878" i="11"/>
  <c r="AA864" i="11"/>
  <c r="AA833" i="11"/>
  <c r="AA851" i="11"/>
  <c r="AA829" i="11"/>
  <c r="AA842" i="11"/>
  <c r="AA843" i="11"/>
  <c r="AA886" i="11"/>
  <c r="AA916" i="11"/>
  <c r="Z916" i="11" s="1"/>
  <c r="V60" i="3" s="1"/>
  <c r="AA858" i="11"/>
  <c r="AA839" i="11"/>
  <c r="Z839" i="11" s="1"/>
  <c r="AA888" i="11"/>
  <c r="AA883" i="11"/>
  <c r="AA871" i="11"/>
  <c r="AA912" i="11"/>
  <c r="AA879" i="11"/>
  <c r="AA903" i="11"/>
  <c r="Z903" i="11" s="1"/>
  <c r="AA897" i="11"/>
  <c r="AA872" i="11"/>
  <c r="AA845" i="11"/>
  <c r="Z845" i="11" s="1"/>
  <c r="AA859" i="11"/>
  <c r="Z859" i="11" s="1"/>
  <c r="AA914" i="11"/>
  <c r="AA866" i="11"/>
  <c r="AA837" i="11"/>
  <c r="AA898" i="11"/>
  <c r="AA852" i="11"/>
  <c r="AA832" i="11"/>
  <c r="AA844" i="11"/>
  <c r="Z844" i="11" s="1"/>
  <c r="AA838" i="11"/>
  <c r="Z838" i="11" s="1"/>
  <c r="AA870" i="11"/>
  <c r="AA828" i="11"/>
  <c r="AA881" i="11"/>
  <c r="AA869" i="11"/>
  <c r="AA856" i="11"/>
  <c r="AA830" i="11"/>
  <c r="AA862" i="11"/>
  <c r="AA854" i="11"/>
  <c r="AA868" i="11"/>
  <c r="AA904" i="11"/>
  <c r="AA861" i="11"/>
  <c r="AA867" i="11"/>
  <c r="AA848" i="11"/>
  <c r="AA860" i="11"/>
  <c r="Z860" i="11" s="1"/>
  <c r="AA896" i="11"/>
  <c r="AT18" i="4"/>
  <c r="I21" i="4" s="1"/>
  <c r="AV48" i="4" s="1"/>
  <c r="AA885" i="11"/>
  <c r="AA876" i="11"/>
  <c r="AA874" i="11"/>
  <c r="AA834" i="11"/>
  <c r="AA889" i="11"/>
  <c r="AA895" i="11"/>
  <c r="Z895" i="11" s="1"/>
  <c r="AA853" i="11"/>
  <c r="AA907" i="11"/>
  <c r="AA857" i="11"/>
  <c r="AA836" i="11"/>
  <c r="AB131" i="3"/>
  <c r="Q1949" i="11"/>
  <c r="Q23" i="2"/>
  <c r="AF1974" i="11"/>
  <c r="W1974" i="11" s="1"/>
  <c r="AB1974" i="11" s="1"/>
  <c r="AD1979" i="11" s="1"/>
  <c r="K1979" i="11" s="1"/>
  <c r="Q52" i="2"/>
  <c r="AF1978" i="11"/>
  <c r="W1978" i="11" s="1"/>
  <c r="AB1978" i="11" s="1"/>
  <c r="AD1976" i="11" s="1"/>
  <c r="K1976" i="11" s="1"/>
  <c r="Q56" i="2"/>
  <c r="W1980" i="11"/>
  <c r="AB1980" i="11" s="1"/>
  <c r="N1980"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49" i="11"/>
  <c r="Q27" i="2"/>
  <c r="Q25" i="2"/>
  <c r="Q26" i="2"/>
  <c r="AD1950" i="11" l="1"/>
  <c r="K1950" i="11" s="1"/>
  <c r="N1984" i="11"/>
  <c r="AD1972" i="11"/>
  <c r="K1972" i="11" s="1"/>
  <c r="AD1992" i="11"/>
  <c r="K1992" i="11" s="1"/>
  <c r="Z900" i="11"/>
  <c r="Z841" i="11"/>
  <c r="Z848" i="11"/>
  <c r="Z872" i="11"/>
  <c r="Z871" i="11"/>
  <c r="Z866" i="11"/>
  <c r="Z856" i="11"/>
  <c r="Z842" i="11"/>
  <c r="Z874" i="11"/>
  <c r="Z847" i="11"/>
  <c r="Z906" i="11"/>
  <c r="I1022" i="11"/>
  <c r="V59" i="4"/>
  <c r="U59" i="4" s="1"/>
  <c r="Z830" i="11"/>
  <c r="V56" i="3" s="1"/>
  <c r="Z911" i="11"/>
  <c r="V29" i="4"/>
  <c r="U29" i="4" s="1"/>
  <c r="V36" i="4"/>
  <c r="U36" i="4" s="1"/>
  <c r="V43" i="4"/>
  <c r="U43" i="4" s="1"/>
  <c r="I1021" i="11"/>
  <c r="Z853" i="11"/>
  <c r="K36" i="4"/>
  <c r="J36" i="4" s="1"/>
  <c r="Z862" i="11"/>
  <c r="Z869" i="11"/>
  <c r="Z883" i="11"/>
  <c r="Z907" i="11"/>
  <c r="Z833" i="11"/>
  <c r="Z899" i="11"/>
  <c r="Z897" i="11"/>
  <c r="K21" i="4"/>
  <c r="K43" i="4"/>
  <c r="J43" i="4" s="1"/>
  <c r="Z854" i="11"/>
  <c r="V50" i="4"/>
  <c r="U50" i="4" s="1"/>
  <c r="AD1974" i="11"/>
  <c r="K1974" i="11" s="1"/>
  <c r="Z850" i="11"/>
  <c r="N1974" i="11"/>
  <c r="AD1980" i="11"/>
  <c r="K1980" i="11" s="1"/>
  <c r="N1950" i="11"/>
  <c r="N1945" i="11"/>
  <c r="K59" i="4"/>
  <c r="J59" i="4" s="1"/>
  <c r="AD1975" i="11"/>
  <c r="K1975" i="11" s="1"/>
  <c r="AD1944" i="11"/>
  <c r="K1944" i="11" s="1"/>
  <c r="N1978" i="11"/>
  <c r="AD1977" i="11"/>
  <c r="K1977" i="11" s="1"/>
  <c r="AD1997" i="11"/>
  <c r="K1997" i="11" s="1"/>
  <c r="AT24" i="4"/>
  <c r="I982" i="11" s="1"/>
  <c r="Z868" i="11"/>
  <c r="V59" i="3" s="1"/>
  <c r="Z829" i="11"/>
  <c r="Z889" i="11"/>
  <c r="Z863" i="11"/>
  <c r="Z851" i="11"/>
  <c r="Z878" i="11"/>
  <c r="Z832" i="11"/>
  <c r="Z888" i="11"/>
  <c r="Z875" i="11"/>
  <c r="W1949" i="11"/>
  <c r="AB1949" i="11" s="1"/>
  <c r="I971" i="11"/>
  <c r="J21" i="4"/>
  <c r="Z26" i="3" s="1"/>
  <c r="I983" i="11"/>
  <c r="AD1986" i="11"/>
  <c r="K1986" i="11" s="1"/>
  <c r="I975" i="11"/>
  <c r="I970" i="11"/>
  <c r="AD1981" i="11"/>
  <c r="K1981" i="11" s="1"/>
  <c r="H24" i="2"/>
  <c r="AA93" i="9" s="1"/>
  <c r="AN91" i="9" s="1"/>
  <c r="I973" i="11"/>
  <c r="R31" i="14"/>
  <c r="BH47" i="4" s="1"/>
  <c r="AV47" i="4"/>
  <c r="Z880" i="11"/>
  <c r="Z881" i="11"/>
  <c r="V58" i="3" l="1"/>
  <c r="V57" i="3"/>
  <c r="I987" i="11"/>
  <c r="I980" i="11"/>
  <c r="I977" i="11"/>
  <c r="N1949" i="11"/>
  <c r="N2000" i="11" s="1"/>
  <c r="D98" i="10" s="1"/>
  <c r="AD1987" i="11"/>
  <c r="K1987" i="11" s="1"/>
  <c r="K2000" i="11" s="1"/>
  <c r="AO91" i="9"/>
  <c r="AS3" i="9" s="1"/>
  <c r="AT3" i="9" s="1"/>
  <c r="AR91" i="9"/>
  <c r="AS6" i="9" s="1"/>
  <c r="AT6" i="9" s="1"/>
  <c r="AP91" i="9"/>
  <c r="AS4" i="9" s="1"/>
  <c r="AT4" i="9" s="1"/>
  <c r="H26" i="2"/>
  <c r="AB93" i="9" s="1"/>
  <c r="AQ91" i="9" s="1"/>
  <c r="AS5" i="9" s="1"/>
  <c r="AT5" i="9" s="1"/>
  <c r="AV49" i="4"/>
  <c r="H563" i="11"/>
  <c r="F234" i="11" s="1"/>
  <c r="F54" i="2" s="1"/>
  <c r="C54" i="2" s="1"/>
  <c r="Q236" i="11"/>
  <c r="T236" i="11"/>
  <c r="T259" i="11"/>
  <c r="Q259" i="11"/>
  <c r="I1982" i="11"/>
  <c r="H1982" i="11"/>
  <c r="Q256" i="11"/>
  <c r="T256" i="11"/>
  <c r="V592" i="11"/>
  <c r="V595" i="11"/>
  <c r="V597" i="11"/>
  <c r="V596" i="11"/>
  <c r="V598" i="11"/>
  <c r="V594" i="11"/>
  <c r="V593" i="11"/>
  <c r="I974" i="11"/>
  <c r="T252" i="11"/>
  <c r="Q252" i="11"/>
  <c r="Q254" i="11"/>
  <c r="T254" i="11"/>
  <c r="T248" i="11"/>
  <c r="Q248" i="11"/>
  <c r="I986" i="11"/>
  <c r="T258" i="11"/>
  <c r="Q258" i="11"/>
  <c r="Q242" i="11"/>
  <c r="T242" i="11"/>
  <c r="Q249" i="11"/>
  <c r="T249" i="11"/>
  <c r="T260" i="11"/>
  <c r="I988"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AB24" i="2"/>
  <c r="AB27" i="2" s="1"/>
  <c r="AA16" i="3" s="1"/>
  <c r="W18" i="3" s="1"/>
  <c r="L639" i="11"/>
  <c r="AD37" i="3"/>
  <c r="W37" i="3" s="1"/>
  <c r="AA37" i="3" s="1"/>
  <c r="D20" i="5" s="1"/>
  <c r="Q237" i="11"/>
  <c r="T237" i="11"/>
  <c r="AI63" i="11" l="1"/>
  <c r="I999" i="11"/>
  <c r="I998" i="11"/>
  <c r="I1000" i="11"/>
  <c r="C29" i="4"/>
  <c r="AW32" i="4" s="1"/>
  <c r="C51" i="4"/>
  <c r="BC3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BL643" i="11"/>
  <c r="U37" i="10"/>
  <c r="E12" i="5"/>
  <c r="D24" i="5"/>
  <c r="I37" i="10" s="1"/>
  <c r="E22" i="5"/>
  <c r="AG37" i="10"/>
  <c r="AS639" i="11"/>
  <c r="AR639" i="11"/>
  <c r="AA26" i="2"/>
  <c r="BF639" i="11"/>
  <c r="K11" i="2"/>
  <c r="K12" i="2"/>
  <c r="E20" i="2"/>
  <c r="I985" i="11"/>
  <c r="AI64" i="11"/>
  <c r="I1001" i="11"/>
  <c r="I1004" i="11"/>
  <c r="V80" i="3" s="1"/>
  <c r="I997" i="11"/>
  <c r="I1006" i="11"/>
  <c r="Z914" i="11"/>
  <c r="I1002" i="11"/>
  <c r="I984" i="11"/>
  <c r="I991" i="11"/>
  <c r="I1003" i="11"/>
  <c r="Z908" i="11"/>
  <c r="I994" i="11"/>
  <c r="I978" i="11"/>
  <c r="Z884" i="11"/>
  <c r="V62" i="3" s="1"/>
  <c r="I976" i="11"/>
  <c r="Z892" i="11"/>
  <c r="I989" i="11"/>
  <c r="Z894" i="11"/>
  <c r="I995" i="11"/>
  <c r="V79" i="3" s="1"/>
  <c r="Z905" i="11"/>
  <c r="Z904" i="11"/>
  <c r="I992" i="11"/>
  <c r="I1007" i="11"/>
  <c r="Z896" i="11"/>
  <c r="Z886" i="11"/>
  <c r="V61" i="3" s="1"/>
  <c r="Z890" i="11"/>
  <c r="I1008" i="11"/>
  <c r="I993" i="11"/>
  <c r="I979" i="11"/>
  <c r="Z901" i="11"/>
  <c r="I972" i="11"/>
  <c r="I996" i="11"/>
  <c r="I981" i="11"/>
  <c r="Z898" i="11"/>
  <c r="Z902" i="11"/>
  <c r="I1005" i="11"/>
  <c r="BM639" i="11"/>
  <c r="M37" i="10"/>
  <c r="E18" i="5"/>
  <c r="AL639" i="11"/>
  <c r="BN639" i="11"/>
  <c r="AK639" i="11"/>
  <c r="AZ639" i="11"/>
  <c r="AY639" i="11"/>
  <c r="AJ639" i="11"/>
  <c r="BE639" i="11"/>
  <c r="BS639" i="11"/>
  <c r="V78" i="3" l="1"/>
  <c r="BC42" i="4"/>
  <c r="I50" i="4" s="1"/>
  <c r="BC43" i="4"/>
  <c r="K50" i="4" s="1"/>
  <c r="J50" i="4" s="1"/>
  <c r="AW42" i="4"/>
  <c r="I29" i="4" s="1"/>
  <c r="AW43" i="4"/>
  <c r="K29" i="4" s="1"/>
  <c r="J29" i="4" s="1"/>
  <c r="V83" i="3"/>
  <c r="C33" i="4"/>
  <c r="D33" i="4" s="1"/>
  <c r="C32" i="4" s="1"/>
  <c r="C56" i="4"/>
  <c r="D56" i="4" s="1"/>
  <c r="E54" i="4" s="1"/>
  <c r="AX47" i="4"/>
  <c r="AY47" i="4" s="1"/>
  <c r="L29" i="4"/>
  <c r="AW50" i="4"/>
  <c r="BT643" i="11"/>
  <c r="BQ638" i="11" s="1"/>
  <c r="BT644" i="11"/>
  <c r="AX643" i="11"/>
  <c r="AU638" i="11" s="1"/>
  <c r="AX646" i="11"/>
  <c r="AX645" i="11"/>
  <c r="AX652" i="11" s="1"/>
  <c r="AX648" i="11"/>
  <c r="BL645" i="11"/>
  <c r="BL646" i="11" s="1"/>
  <c r="BL648" i="11" s="1"/>
  <c r="AH32" i="1"/>
  <c r="AK32" i="1"/>
  <c r="BI638" i="11"/>
  <c r="Q95" i="10"/>
  <c r="BR638" i="11"/>
  <c r="BG641" i="11"/>
  <c r="BD639" i="11" s="1"/>
  <c r="AQ643" i="11"/>
  <c r="AN638" i="11" s="1"/>
  <c r="BU641" i="11"/>
  <c r="BU642" i="11" s="1"/>
  <c r="BU643" i="11" s="1"/>
  <c r="E24" i="5"/>
  <c r="AY643" i="11"/>
  <c r="AR643" i="11"/>
  <c r="AR644" i="11" s="1"/>
  <c r="BS643" i="11"/>
  <c r="BP638" i="11" s="1"/>
  <c r="BN640" i="11"/>
  <c r="BN641" i="11" s="1"/>
  <c r="AJ643" i="11"/>
  <c r="AZ640" i="11"/>
  <c r="AK643" i="11"/>
  <c r="AH638" i="11" s="1"/>
  <c r="AS640" i="11"/>
  <c r="AS641" i="11" s="1"/>
  <c r="BF643" i="11"/>
  <c r="BE643" i="11"/>
  <c r="AL640" i="11"/>
  <c r="AI638" i="11" s="1"/>
  <c r="BM643" i="11"/>
  <c r="AW49" i="4" l="1"/>
  <c r="AX49" i="4" s="1"/>
  <c r="AY49" i="4" s="1"/>
  <c r="AW48" i="4"/>
  <c r="AX48" i="4" s="1"/>
  <c r="AY48" i="4" s="1"/>
  <c r="AZ48" i="4" s="1"/>
  <c r="BA48" i="4" s="1"/>
  <c r="BB48" i="4" s="1"/>
  <c r="AZ47" i="4"/>
  <c r="BA47" i="4" s="1"/>
  <c r="AX50" i="4"/>
  <c r="AY50" i="4" s="1"/>
  <c r="AZ50" i="4" s="1"/>
  <c r="BT645" i="11"/>
  <c r="AR645" i="11"/>
  <c r="AR646" i="11" s="1"/>
  <c r="BG642" i="11"/>
  <c r="BG643" i="11" s="1"/>
  <c r="AX653" i="11"/>
  <c r="AX679" i="11" s="1"/>
  <c r="AX675" i="11"/>
  <c r="AX676" i="11" s="1"/>
  <c r="AX677" i="11" s="1"/>
  <c r="AX680" i="11" s="1"/>
  <c r="AQ645" i="11"/>
  <c r="AQ646" i="11" s="1"/>
  <c r="BT679" i="11"/>
  <c r="BF644" i="11"/>
  <c r="AY644" i="11"/>
  <c r="BE645" i="11"/>
  <c r="BM644" i="11"/>
  <c r="AR647" i="11"/>
  <c r="AR679" i="11" s="1"/>
  <c r="BL652" i="11"/>
  <c r="AJ645" i="11"/>
  <c r="AK644" i="11"/>
  <c r="AK679" i="11" s="1"/>
  <c r="AQ648"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BD641" i="11" l="1"/>
  <c r="BG644" i="11"/>
  <c r="BD642" i="11" s="1"/>
  <c r="BA50" i="4"/>
  <c r="BB50" i="4" s="1"/>
  <c r="BC50" i="4" s="1"/>
  <c r="BC48" i="4"/>
  <c r="BD48" i="4" s="1"/>
  <c r="BE48" i="4" s="1"/>
  <c r="BF48" i="4" s="1"/>
  <c r="BG48" i="4" s="1"/>
  <c r="H22" i="10" s="1"/>
  <c r="BB47" i="4"/>
  <c r="BC47" i="4" s="1"/>
  <c r="BD47" i="4" s="1"/>
  <c r="BE47" i="4" s="1"/>
  <c r="BF47" i="4" s="1"/>
  <c r="BG47" i="4" s="1"/>
  <c r="H19" i="10" s="1"/>
  <c r="AZ49" i="4"/>
  <c r="BA49" i="4" s="1"/>
  <c r="AK645" i="11"/>
  <c r="AK646" i="11" s="1"/>
  <c r="BF645" i="11"/>
  <c r="BF646" i="11" s="1"/>
  <c r="BM645" i="11"/>
  <c r="BM646" i="11" s="1"/>
  <c r="BM647" i="11" s="1"/>
  <c r="AR648" i="11"/>
  <c r="BF647" i="11"/>
  <c r="BF648" i="11" s="1"/>
  <c r="AY645" i="11"/>
  <c r="BT646" i="11"/>
  <c r="BT647" i="11" s="1"/>
  <c r="AY646" i="11"/>
  <c r="BL675" i="11"/>
  <c r="AR688" i="11"/>
  <c r="BL676" i="11"/>
  <c r="BS652" i="11"/>
  <c r="BS679" i="11" s="1"/>
  <c r="AQ652" i="11"/>
  <c r="AJ646" i="11"/>
  <c r="AJ648" i="11"/>
  <c r="BE646" i="11"/>
  <c r="AY647" i="11"/>
  <c r="AY679" i="11" s="1"/>
  <c r="BL680" i="11"/>
  <c r="BL684" i="11" s="1"/>
  <c r="BL685" i="11" s="1"/>
  <c r="BL690" i="11" s="1"/>
  <c r="BF679" i="11"/>
  <c r="BS675" i="11"/>
  <c r="BS676" i="11" s="1"/>
  <c r="BS677" i="11" s="1"/>
  <c r="BS680" i="11" s="1"/>
  <c r="AX685" i="11"/>
  <c r="BK641" i="11"/>
  <c r="AI639" i="11"/>
  <c r="BR642" i="11"/>
  <c r="AW639" i="11"/>
  <c r="AZ643" i="11"/>
  <c r="AZ644" i="11" s="1"/>
  <c r="AW640" i="11"/>
  <c r="AI640" i="11"/>
  <c r="AL643" i="11"/>
  <c r="AI641" i="11" s="1"/>
  <c r="BN644" i="11"/>
  <c r="AS643" i="11"/>
  <c r="AP641" i="11"/>
  <c r="BR643" i="11"/>
  <c r="BU646" i="11"/>
  <c r="BG645" i="11"/>
  <c r="BD643" i="11" s="1"/>
  <c r="BD50" i="4" l="1"/>
  <c r="BE50" i="4" s="1"/>
  <c r="BB49" i="4"/>
  <c r="BC49" i="4" s="1"/>
  <c r="BD49" i="4" s="1"/>
  <c r="BE49" i="4" s="1"/>
  <c r="BF49" i="4" s="1"/>
  <c r="BG49" i="4" s="1"/>
  <c r="H25" i="10" s="1"/>
  <c r="AK647" i="11"/>
  <c r="BT648" i="11"/>
  <c r="BF652" i="11"/>
  <c r="AR652" i="11"/>
  <c r="BL679" i="11"/>
  <c r="AY648" i="11"/>
  <c r="BF688" i="11"/>
  <c r="AY688" i="11"/>
  <c r="BM648" i="11"/>
  <c r="AQ675" i="11"/>
  <c r="AJ652" i="11"/>
  <c r="BE648" i="11"/>
  <c r="AX690" i="11"/>
  <c r="BL691" i="11"/>
  <c r="BL704" i="11" s="1"/>
  <c r="BL705" i="11" s="1"/>
  <c r="BS685" i="11"/>
  <c r="AZ645" i="11"/>
  <c r="AZ646" i="11" s="1"/>
  <c r="AZ647" i="11" s="1"/>
  <c r="AW641" i="11"/>
  <c r="AW642" i="11"/>
  <c r="BK642" i="11"/>
  <c r="BN645" i="11"/>
  <c r="BK643" i="11" s="1"/>
  <c r="AS644" i="11"/>
  <c r="AS645" i="11" s="1"/>
  <c r="AL644" i="11"/>
  <c r="AI642" i="11" s="1"/>
  <c r="BG646" i="11"/>
  <c r="BU647" i="11"/>
  <c r="BF50" i="4" l="1"/>
  <c r="BG50" i="4" s="1"/>
  <c r="BF666" i="11"/>
  <c r="AY652" i="11"/>
  <c r="BT652" i="11"/>
  <c r="AR666" i="11"/>
  <c r="AK648" i="11"/>
  <c r="BF697" i="11"/>
  <c r="BL710" i="11"/>
  <c r="AQ676" i="11"/>
  <c r="AX691" i="11"/>
  <c r="BE652" i="11"/>
  <c r="BM651" i="11"/>
  <c r="BM652" i="11" s="1"/>
  <c r="BM655" i="11" s="1"/>
  <c r="BM656" i="11" s="1"/>
  <c r="BM665" i="11" s="1"/>
  <c r="BM666" i="11" s="1"/>
  <c r="BM675" i="11" s="1"/>
  <c r="BM676" i="11" s="1"/>
  <c r="BM679" i="11"/>
  <c r="BS690" i="11"/>
  <c r="BS691" i="11" s="1"/>
  <c r="BS704" i="11" s="1"/>
  <c r="BS705" i="11" s="1"/>
  <c r="BS710" i="11" s="1"/>
  <c r="BS712" i="11" s="1"/>
  <c r="BS714" i="11" s="1"/>
  <c r="AJ653" i="11"/>
  <c r="AJ675" i="11"/>
  <c r="AJ676" i="11" s="1"/>
  <c r="AJ677" i="11" s="1"/>
  <c r="AP643" i="11"/>
  <c r="BN646" i="11"/>
  <c r="BN647" i="11" s="1"/>
  <c r="AW643" i="11"/>
  <c r="AP642" i="11"/>
  <c r="AS646" i="11"/>
  <c r="AS647" i="11" s="1"/>
  <c r="AL645" i="11"/>
  <c r="AI643" i="11" s="1"/>
  <c r="BU648" i="11"/>
  <c r="AZ648" i="11"/>
  <c r="BG647" i="11"/>
  <c r="H28" i="10" l="1"/>
  <c r="BM688" i="11"/>
  <c r="BM680" i="11"/>
  <c r="BM681" i="11" s="1"/>
  <c r="BM685" i="11" s="1"/>
  <c r="AJ680" i="11"/>
  <c r="AJ679" i="11"/>
  <c r="AR675" i="11"/>
  <c r="BF675" i="11"/>
  <c r="AY666" i="11"/>
  <c r="AK652" i="11"/>
  <c r="BT666" i="11"/>
  <c r="AJ682" i="11"/>
  <c r="BS715" i="11"/>
  <c r="BS719" i="11" s="1"/>
  <c r="BL714" i="11"/>
  <c r="BE675" i="11"/>
  <c r="AX704" i="11"/>
  <c r="AQ677" i="11"/>
  <c r="AQ679" i="11" s="1"/>
  <c r="BU649" i="11"/>
  <c r="BR644" i="11" s="1"/>
  <c r="AS648" i="11"/>
  <c r="AL646" i="11"/>
  <c r="BN648" i="11"/>
  <c r="BN649" i="11" s="1"/>
  <c r="BG648" i="11"/>
  <c r="AZ649" i="11"/>
  <c r="AK666" i="11" l="1"/>
  <c r="BT675" i="11"/>
  <c r="BF676" i="11"/>
  <c r="BF680" i="11" s="1"/>
  <c r="BF681" i="11" s="1"/>
  <c r="BF685" i="11" s="1"/>
  <c r="BF690" i="11" s="1"/>
  <c r="BF691" i="11" s="1"/>
  <c r="BF696" i="11" s="1"/>
  <c r="BF701" i="11" s="1"/>
  <c r="BM697" i="11"/>
  <c r="BM690" i="11"/>
  <c r="AY675" i="11"/>
  <c r="AR676" i="11"/>
  <c r="BP640" i="11"/>
  <c r="BG649" i="11"/>
  <c r="BD644" i="11" s="1"/>
  <c r="AW644" i="11"/>
  <c r="AX705" i="11"/>
  <c r="AJ685" i="11"/>
  <c r="BE676" i="11"/>
  <c r="BE679" i="11" s="1"/>
  <c r="BL715" i="11"/>
  <c r="BP639" i="11"/>
  <c r="BK644" i="11"/>
  <c r="AS649" i="11"/>
  <c r="AP644" i="11" s="1"/>
  <c r="AQ680" i="11"/>
  <c r="AQ685" i="11" s="1"/>
  <c r="AQ686" i="11" s="1"/>
  <c r="AQ687" i="11" s="1"/>
  <c r="AQ690" i="11"/>
  <c r="AQ691" i="11" s="1"/>
  <c r="AQ692" i="11" s="1"/>
  <c r="AQ693" i="11" s="1"/>
  <c r="AQ694" i="11" s="1"/>
  <c r="AQ695" i="11" s="1"/>
  <c r="BS721" i="11"/>
  <c r="BN650" i="11"/>
  <c r="BK645" i="11" s="1"/>
  <c r="BU650" i="11"/>
  <c r="AL647" i="11"/>
  <c r="AZ650" i="11"/>
  <c r="BG650" i="11" l="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BF704" i="11"/>
  <c r="BM691" i="11"/>
  <c r="BT676" i="11"/>
  <c r="AY676" i="11"/>
  <c r="AR680" i="11"/>
  <c r="AK671" i="11"/>
  <c r="BN651" i="11"/>
  <c r="BK646" i="11" s="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5" i="11"/>
  <c r="BD647" i="11"/>
  <c r="AZ651" i="11"/>
  <c r="AZ652" i="11" s="1"/>
  <c r="AZ653" i="11" s="1"/>
  <c r="AZ654" i="11" s="1"/>
  <c r="AW647" i="11"/>
  <c r="AW645" i="11"/>
  <c r="AL648" i="11"/>
  <c r="AL649" i="11" s="1"/>
  <c r="BS722" i="11"/>
  <c r="AP645" i="11"/>
  <c r="BD646" i="11"/>
  <c r="BD645" i="11"/>
  <c r="AX710" i="11"/>
  <c r="AQ704" i="11"/>
  <c r="BL719" i="11"/>
  <c r="AJ690" i="11"/>
  <c r="BE680" i="11"/>
  <c r="AW648" i="11"/>
  <c r="BD648" i="11"/>
  <c r="BR648" i="11"/>
  <c r="AS651" i="11"/>
  <c r="AP646" i="11" s="1"/>
  <c r="BD655" i="11"/>
  <c r="BD651" i="11"/>
  <c r="BD652" i="11"/>
  <c r="BR653" i="11"/>
  <c r="BR646" i="11"/>
  <c r="BR654" i="11"/>
  <c r="BR649" i="11"/>
  <c r="BR651" i="11"/>
  <c r="BR650" i="11"/>
  <c r="BR655" i="11"/>
  <c r="BR656" i="11"/>
  <c r="BR652" i="11"/>
  <c r="BD653" i="11" l="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AW649" i="11" s="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AW646" i="11"/>
  <c r="BR752" i="11"/>
  <c r="BR744" i="11"/>
  <c r="BR735" i="11"/>
  <c r="BR749" i="11"/>
  <c r="BR728" i="11"/>
  <c r="BR745" i="11"/>
  <c r="BR743" i="11"/>
  <c r="BR742" i="11"/>
  <c r="AR681" i="11"/>
  <c r="AY680" i="11"/>
  <c r="BM696" i="1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AJ691" i="11"/>
  <c r="BI640" i="11"/>
  <c r="BL721" i="11"/>
  <c r="BR647" i="11"/>
  <c r="BE682" i="11"/>
  <c r="AQ705" i="11"/>
  <c r="AX714" i="11"/>
  <c r="BS723" i="11"/>
  <c r="AI644" i="11"/>
  <c r="AL650" i="11"/>
  <c r="AS652" i="11"/>
  <c r="AZ656" i="11" l="1"/>
  <c r="AZ657" i="11" s="1"/>
  <c r="AZ658" i="11" s="1"/>
  <c r="AZ659" i="11" s="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BD637" i="11"/>
  <c r="BF713" i="11"/>
  <c r="BF714" i="11" s="1"/>
  <c r="BF710" i="11"/>
  <c r="AK676" i="11"/>
  <c r="BT681" i="11"/>
  <c r="AY681" i="11"/>
  <c r="AR685" i="11"/>
  <c r="BM701" i="11"/>
  <c r="BR637" i="11"/>
  <c r="AX715" i="11"/>
  <c r="AX719" i="11" s="1"/>
  <c r="AQ708" i="11"/>
  <c r="BL743" i="11"/>
  <c r="AJ692" i="11"/>
  <c r="BK648" i="11"/>
  <c r="AI645" i="11"/>
  <c r="BE685" i="11"/>
  <c r="BS724" i="11"/>
  <c r="BS743" i="11" s="1"/>
  <c r="BS746" i="11" s="1"/>
  <c r="BS748" i="11" s="1"/>
  <c r="BS751" i="11" s="1"/>
  <c r="BS752" i="11" s="1"/>
  <c r="BS754" i="11" s="1"/>
  <c r="BS755" i="11" s="1"/>
  <c r="BK647" i="11"/>
  <c r="AL651" i="11"/>
  <c r="AI646" i="11" s="1"/>
  <c r="AS653" i="11"/>
  <c r="AW656" i="11"/>
  <c r="AW652" i="11"/>
  <c r="AW682" i="11"/>
  <c r="AW720" i="11"/>
  <c r="AW666" i="11"/>
  <c r="AW659" i="11"/>
  <c r="AW658" i="11"/>
  <c r="AW664" i="11"/>
  <c r="AW663" i="11"/>
  <c r="AW662" i="11"/>
  <c r="AW661" i="11"/>
  <c r="AW691" i="11"/>
  <c r="AW668" i="11"/>
  <c r="AW671" i="11"/>
  <c r="AW669" i="11"/>
  <c r="AW655" i="11"/>
  <c r="AW653" i="11"/>
  <c r="AW670" i="11"/>
  <c r="AW650" i="11"/>
  <c r="AW675" i="11"/>
  <c r="AW654" i="11"/>
  <c r="AW657" i="11"/>
  <c r="AW651" i="11"/>
  <c r="AW725" i="11"/>
  <c r="AW680" i="11"/>
  <c r="AW714" i="11"/>
  <c r="AW660" i="11"/>
  <c r="AW701"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W715" i="11" l="1"/>
  <c r="AW735" i="11"/>
  <c r="AW772" i="11"/>
  <c r="AW665" i="11"/>
  <c r="AW729" i="11"/>
  <c r="AW710" i="11"/>
  <c r="AW672" i="11"/>
  <c r="AW673" i="11"/>
  <c r="AW667" i="11"/>
  <c r="AW679" i="11"/>
  <c r="AW677" i="11"/>
  <c r="AW737" i="11"/>
  <c r="AW711" i="11"/>
  <c r="AW718" i="11"/>
  <c r="AW769" i="11"/>
  <c r="AW752" i="11"/>
  <c r="AW730" i="11"/>
  <c r="AW724" i="11"/>
  <c r="AW746" i="11"/>
  <c r="AW699" i="11"/>
  <c r="AW674" i="11"/>
  <c r="AW678" i="11"/>
  <c r="AW686" i="11"/>
  <c r="AW689" i="11"/>
  <c r="AW688" i="11"/>
  <c r="AW726" i="11"/>
  <c r="AW687" i="11"/>
  <c r="AW722" i="11"/>
  <c r="AW685" i="11"/>
  <c r="AW764" i="11"/>
  <c r="AW683" i="11"/>
  <c r="AW739" i="11"/>
  <c r="AW684" i="11"/>
  <c r="AW747" i="11"/>
  <c r="AW709" i="11"/>
  <c r="AW738" i="11"/>
  <c r="AW698" i="11"/>
  <c r="AW728" i="11"/>
  <c r="AW755" i="11"/>
  <c r="AW760" i="11"/>
  <c r="AW768" i="11"/>
  <c r="AW744" i="11"/>
  <c r="AW756" i="11"/>
  <c r="AW736" i="11"/>
  <c r="AW703" i="11"/>
  <c r="AW741" i="11"/>
  <c r="AW773" i="11"/>
  <c r="AW702" i="11"/>
  <c r="AW745" i="11"/>
  <c r="AW707" i="11"/>
  <c r="AW758" i="11"/>
  <c r="AW765" i="11"/>
  <c r="AW750" i="11"/>
  <c r="AW706" i="11"/>
  <c r="AW712" i="11"/>
  <c r="AW700" i="11"/>
  <c r="AW748" i="11"/>
  <c r="AW697" i="11"/>
  <c r="AW681" i="11"/>
  <c r="AW733" i="11"/>
  <c r="AW770" i="11"/>
  <c r="AW708" i="11"/>
  <c r="AW690" i="11"/>
  <c r="AW731" i="11"/>
  <c r="AW762" i="11"/>
  <c r="AW749" i="11"/>
  <c r="AW676" i="11"/>
  <c r="AW693" i="11"/>
  <c r="AW761" i="11"/>
  <c r="AW771" i="11"/>
  <c r="AW767" i="11"/>
  <c r="AW763" i="11"/>
  <c r="AW732" i="11"/>
  <c r="AW716" i="11"/>
  <c r="AW696" i="11"/>
  <c r="AW721" i="11"/>
  <c r="AW717" i="11"/>
  <c r="AW754" i="11"/>
  <c r="AW719" i="11"/>
  <c r="AW723" i="11"/>
  <c r="AW694" i="11"/>
  <c r="AW759" i="11"/>
  <c r="AW751" i="11"/>
  <c r="AW766" i="11"/>
  <c r="AW705" i="11"/>
  <c r="AW713" i="11"/>
  <c r="AW734" i="11"/>
  <c r="AW753" i="11"/>
  <c r="AW743" i="11"/>
  <c r="AW740" i="11"/>
  <c r="AW742" i="11"/>
  <c r="AW692" i="11"/>
  <c r="AW704" i="11"/>
  <c r="AW695" i="11"/>
  <c r="AW757" i="11"/>
  <c r="AW774" i="11"/>
  <c r="AW727" i="11"/>
  <c r="BF715" i="11"/>
  <c r="BF719" i="11" s="1"/>
  <c r="BF721" i="11" s="1"/>
  <c r="BF743" i="11" s="1"/>
  <c r="BF746" i="11" s="1"/>
  <c r="BF747" i="11" s="1"/>
  <c r="BF748" i="11" s="1"/>
  <c r="BF749" i="11" s="1"/>
  <c r="BF750" i="11" s="1"/>
  <c r="BF751" i="11" s="1"/>
  <c r="BF752" i="11" s="1"/>
  <c r="BF753" i="11" s="1"/>
  <c r="BF754" i="11" s="1"/>
  <c r="BF755" i="11" s="1"/>
  <c r="BM704" i="11"/>
  <c r="BM705" i="11" s="1"/>
  <c r="BM710" i="11" s="1"/>
  <c r="AR690" i="11"/>
  <c r="AY685" i="11"/>
  <c r="BT685" i="11"/>
  <c r="AK680" i="11"/>
  <c r="AK681" i="11" s="1"/>
  <c r="AK685" i="11" s="1"/>
  <c r="AK690" i="11" s="1"/>
  <c r="AK691" i="11" s="1"/>
  <c r="AK696" i="11" s="1"/>
  <c r="AK701" i="11" s="1"/>
  <c r="AK704" i="11" s="1"/>
  <c r="AK705" i="11" s="1"/>
  <c r="AK707" i="11" s="1"/>
  <c r="AK708" i="11" s="1"/>
  <c r="AK709" i="11" s="1"/>
  <c r="AK710" i="11" s="1"/>
  <c r="AK713" i="11" s="1"/>
  <c r="AK714"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P647" i="11"/>
  <c r="BL744" i="11"/>
  <c r="AX721" i="11"/>
  <c r="BE690" i="11"/>
  <c r="AP648" i="11"/>
  <c r="AJ693" i="11"/>
  <c r="AQ709" i="11"/>
  <c r="BS756" i="11"/>
  <c r="AL652" i="11"/>
  <c r="BK637" i="11"/>
  <c r="T264" i="11"/>
  <c r="Q264" i="11"/>
  <c r="Q265" i="11"/>
  <c r="T265" i="11"/>
  <c r="AA24" i="2"/>
  <c r="AA27" i="2" s="1"/>
  <c r="T263" i="11"/>
  <c r="Q263" i="11"/>
  <c r="AW637" i="11" l="1"/>
  <c r="BC640" i="11"/>
  <c r="BC639" i="11"/>
  <c r="BM713" i="11"/>
  <c r="BM714" i="11" s="1"/>
  <c r="BM715" i="11" s="1"/>
  <c r="BJ639" i="11" s="1"/>
  <c r="BF756" i="11"/>
  <c r="BF771" i="11" s="1"/>
  <c r="BC651" i="11" s="1"/>
  <c r="AK715" i="11"/>
  <c r="BT688" i="11"/>
  <c r="AR691" i="11"/>
  <c r="AY690" i="11"/>
  <c r="AP651" i="11"/>
  <c r="BP641" i="11"/>
  <c r="BS771" i="11"/>
  <c r="BP688" i="11" s="1"/>
  <c r="AQ710" i="11"/>
  <c r="AP650" i="11"/>
  <c r="AJ694" i="11"/>
  <c r="BE691" i="11"/>
  <c r="AX743" i="11"/>
  <c r="BL746"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L655" i="11" l="1"/>
  <c r="BC646" i="11"/>
  <c r="BC649" i="11"/>
  <c r="BC648" i="11"/>
  <c r="BC665" i="11"/>
  <c r="BC670" i="11"/>
  <c r="BC647" i="11"/>
  <c r="BC650" i="11"/>
  <c r="BC656" i="11"/>
  <c r="BC662" i="11"/>
  <c r="BM719" i="11"/>
  <c r="BC668" i="11"/>
  <c r="BC660" i="11"/>
  <c r="BC641" i="11"/>
  <c r="BC770" i="11"/>
  <c r="BC715" i="11"/>
  <c r="BC675" i="11"/>
  <c r="BC712" i="11"/>
  <c r="BC758" i="11"/>
  <c r="BC703" i="11"/>
  <c r="BC733" i="11"/>
  <c r="BC689" i="11"/>
  <c r="BC767" i="11"/>
  <c r="BC755" i="11"/>
  <c r="BC720" i="11"/>
  <c r="BC709" i="11"/>
  <c r="BC725" i="11"/>
  <c r="BC754" i="11"/>
  <c r="BC697" i="11"/>
  <c r="BC763" i="11"/>
  <c r="BC732" i="11"/>
  <c r="BC756" i="11"/>
  <c r="BC698" i="11"/>
  <c r="BC694" i="11"/>
  <c r="BC728" i="11"/>
  <c r="BC766" i="11"/>
  <c r="BC719" i="11"/>
  <c r="BP723" i="11"/>
  <c r="BC658" i="11"/>
  <c r="BC664" i="11"/>
  <c r="BC687" i="11"/>
  <c r="BC753" i="11"/>
  <c r="BC654" i="11"/>
  <c r="BC705" i="11"/>
  <c r="BC680" i="11"/>
  <c r="BC678" i="11"/>
  <c r="BC652" i="11"/>
  <c r="BC677" i="11"/>
  <c r="BC692" i="11"/>
  <c r="BC643" i="11"/>
  <c r="BC734" i="11"/>
  <c r="BC695" i="11"/>
  <c r="BC718" i="11"/>
  <c r="BC716" i="11"/>
  <c r="BC657" i="11"/>
  <c r="BC729" i="11"/>
  <c r="BC710" i="11"/>
  <c r="BC741" i="11"/>
  <c r="BC671" i="11"/>
  <c r="BC713" i="11"/>
  <c r="BC771" i="11"/>
  <c r="BC681" i="11"/>
  <c r="BC731" i="11"/>
  <c r="BC673" i="11"/>
  <c r="BC757" i="11"/>
  <c r="BC667" i="11"/>
  <c r="BC722" i="11"/>
  <c r="BC659" i="11"/>
  <c r="BC723" i="11"/>
  <c r="BC748" i="11"/>
  <c r="BC663" i="11"/>
  <c r="BC645" i="11"/>
  <c r="BC691" i="11"/>
  <c r="BC749" i="11"/>
  <c r="BC742" i="11"/>
  <c r="BC702" i="11"/>
  <c r="BC774" i="11"/>
  <c r="BC696" i="11"/>
  <c r="BC726" i="11"/>
  <c r="BC737" i="11"/>
  <c r="BC772" i="11"/>
  <c r="BC669" i="11"/>
  <c r="BC740" i="11"/>
  <c r="BC711" i="11"/>
  <c r="BC736" i="11"/>
  <c r="BC743" i="11"/>
  <c r="BC738" i="11"/>
  <c r="BC655" i="11"/>
  <c r="BC688" i="11"/>
  <c r="BC679" i="11"/>
  <c r="BC683" i="11"/>
  <c r="BC690" i="11"/>
  <c r="BC644" i="11"/>
  <c r="BC684" i="11"/>
  <c r="BC717" i="11"/>
  <c r="BC759" i="11"/>
  <c r="BC744" i="11"/>
  <c r="BC685" i="11"/>
  <c r="BC642" i="11"/>
  <c r="BC682" i="11"/>
  <c r="BC769" i="11"/>
  <c r="BC751" i="11"/>
  <c r="BC700" i="11"/>
  <c r="BC676" i="11"/>
  <c r="BC773" i="11"/>
  <c r="BC661" i="11"/>
  <c r="BC714" i="11"/>
  <c r="BC747" i="11"/>
  <c r="BC704" i="11"/>
  <c r="BC764" i="11"/>
  <c r="BC765" i="11"/>
  <c r="BC721" i="11"/>
  <c r="BC745" i="11"/>
  <c r="BC730" i="11"/>
  <c r="BC762" i="11"/>
  <c r="BC699" i="11"/>
  <c r="BC666" i="11"/>
  <c r="BC672" i="11"/>
  <c r="BC653" i="11"/>
  <c r="BC686" i="11"/>
  <c r="BC701" i="11"/>
  <c r="BC707" i="11"/>
  <c r="BC739" i="11"/>
  <c r="BC724" i="11"/>
  <c r="BC674" i="11"/>
  <c r="BC706" i="11"/>
  <c r="BC708" i="11"/>
  <c r="BC752" i="11"/>
  <c r="BC735" i="11"/>
  <c r="BC750" i="11"/>
  <c r="BC760" i="11"/>
  <c r="BC693" i="11"/>
  <c r="BC761" i="11"/>
  <c r="BC727" i="11"/>
  <c r="BC746" i="11"/>
  <c r="BC768" i="11"/>
  <c r="BP680" i="11"/>
  <c r="BP700" i="11"/>
  <c r="BJ640" i="11"/>
  <c r="BM721" i="11"/>
  <c r="AY691" i="11"/>
  <c r="BP689" i="11"/>
  <c r="AR696" i="11"/>
  <c r="BT690" i="11"/>
  <c r="AK719" i="11"/>
  <c r="BP756" i="11"/>
  <c r="BP767" i="11"/>
  <c r="BP703" i="11"/>
  <c r="BP666" i="11"/>
  <c r="BP771" i="11"/>
  <c r="BP686" i="11"/>
  <c r="BP669" i="11"/>
  <c r="BP707" i="11"/>
  <c r="BP705" i="11"/>
  <c r="BP760" i="11"/>
  <c r="BP746" i="11"/>
  <c r="BP768" i="11"/>
  <c r="BP682" i="11"/>
  <c r="BP672" i="11"/>
  <c r="BP683" i="11"/>
  <c r="BP748" i="11"/>
  <c r="BP665" i="11"/>
  <c r="BP691" i="11"/>
  <c r="BP675" i="11"/>
  <c r="BP742" i="11"/>
  <c r="BP738" i="11"/>
  <c r="BP643" i="11"/>
  <c r="BP651" i="11"/>
  <c r="BP645" i="11"/>
  <c r="BP644" i="11"/>
  <c r="BP648" i="11"/>
  <c r="BP649" i="11"/>
  <c r="BP650" i="11"/>
  <c r="BP647" i="11"/>
  <c r="BP642" i="11"/>
  <c r="BP637" i="11" s="1"/>
  <c r="BP646" i="11"/>
  <c r="BP652" i="11"/>
  <c r="BP655" i="11"/>
  <c r="BP662" i="11"/>
  <c r="BP685" i="11"/>
  <c r="BP674" i="11"/>
  <c r="BP743" i="11"/>
  <c r="BP663" i="11"/>
  <c r="BP763" i="11"/>
  <c r="BP737" i="11"/>
  <c r="BP724" i="11"/>
  <c r="BP770" i="11"/>
  <c r="BP732" i="11"/>
  <c r="BP772" i="11"/>
  <c r="BP717" i="11"/>
  <c r="BP711" i="11"/>
  <c r="BP692" i="11"/>
  <c r="BP694" i="11"/>
  <c r="BP744" i="11"/>
  <c r="BP679" i="11"/>
  <c r="BP747" i="11"/>
  <c r="BP706" i="11"/>
  <c r="BP759" i="11"/>
  <c r="BP696" i="11"/>
  <c r="BP713" i="11"/>
  <c r="BP709" i="11"/>
  <c r="BP690" i="11"/>
  <c r="BP721" i="11"/>
  <c r="BP656" i="11"/>
  <c r="BP654" i="11"/>
  <c r="BP660" i="11"/>
  <c r="BP658" i="11"/>
  <c r="BP757" i="11"/>
  <c r="BP734" i="11"/>
  <c r="BP716" i="11"/>
  <c r="BP726" i="11"/>
  <c r="BP773" i="11"/>
  <c r="BP761" i="11"/>
  <c r="BP714" i="11"/>
  <c r="BP730" i="11"/>
  <c r="BP671" i="11"/>
  <c r="BP740" i="11"/>
  <c r="BP687" i="11"/>
  <c r="BP729" i="11"/>
  <c r="BP668" i="11"/>
  <c r="BP752" i="11"/>
  <c r="BP718" i="11"/>
  <c r="BP758" i="11"/>
  <c r="BP731" i="11"/>
  <c r="BP676" i="11"/>
  <c r="BP684" i="11"/>
  <c r="BP722" i="11"/>
  <c r="BP670" i="11"/>
  <c r="BP720" i="11"/>
  <c r="BP749" i="11"/>
  <c r="BP774" i="11"/>
  <c r="BP712" i="11"/>
  <c r="BP764" i="11"/>
  <c r="BP733" i="11"/>
  <c r="BP750" i="11"/>
  <c r="BP701" i="11"/>
  <c r="BP702" i="11"/>
  <c r="BP769" i="11"/>
  <c r="BP753" i="11"/>
  <c r="BP765" i="11"/>
  <c r="BP678" i="11"/>
  <c r="BP673" i="11"/>
  <c r="BP704" i="11"/>
  <c r="BP766" i="11"/>
  <c r="BP754" i="11"/>
  <c r="BP681" i="11"/>
  <c r="BP664" i="11"/>
  <c r="BP735" i="11"/>
  <c r="BP727" i="11"/>
  <c r="BP715" i="11"/>
  <c r="BP739" i="11"/>
  <c r="BP697" i="11"/>
  <c r="BP762" i="11"/>
  <c r="BP751" i="11"/>
  <c r="BP728" i="11"/>
  <c r="BP698" i="11"/>
  <c r="BP708" i="11"/>
  <c r="BP719" i="11"/>
  <c r="BP699" i="11"/>
  <c r="BP667" i="11"/>
  <c r="BP725" i="11"/>
  <c r="BP657" i="11"/>
  <c r="BP653" i="11"/>
  <c r="BP661" i="11"/>
  <c r="BP659" i="11"/>
  <c r="BL747" i="11"/>
  <c r="BE692" i="11"/>
  <c r="AX744" i="11"/>
  <c r="AI649" i="11"/>
  <c r="AJ704" i="11"/>
  <c r="AQ714" i="11"/>
  <c r="BP710" i="11"/>
  <c r="BP755" i="11"/>
  <c r="BP693" i="11"/>
  <c r="BP745" i="11"/>
  <c r="BP677" i="11"/>
  <c r="BP736" i="11"/>
  <c r="BP741" i="11"/>
  <c r="BP695" i="11"/>
  <c r="AI648" i="11"/>
  <c r="AI647" i="11"/>
  <c r="AP637" i="11"/>
  <c r="AL656" i="11"/>
  <c r="AI650" i="11" s="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C637" i="11" l="1"/>
  <c r="AR701" i="11"/>
  <c r="BT691" i="11"/>
  <c r="BM743" i="11"/>
  <c r="AH640"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AJ705" i="11"/>
  <c r="BL748" i="11"/>
  <c r="AQ715" i="11"/>
  <c r="AX746" i="11"/>
  <c r="BE693" i="1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AL657" i="1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Y697" i="11" l="1"/>
  <c r="BM746" i="11"/>
  <c r="AK743" i="11"/>
  <c r="BT696" i="11"/>
  <c r="AR704" i="11"/>
  <c r="AX747" i="11"/>
  <c r="BL749" i="11"/>
  <c r="AQ719" i="11"/>
  <c r="AI651" i="11"/>
  <c r="BE694" i="11"/>
  <c r="AJ710" i="11"/>
  <c r="AL658" i="11"/>
  <c r="AK746" i="11" l="1"/>
  <c r="AR705" i="11"/>
  <c r="BM747" i="11"/>
  <c r="BT697" i="11"/>
  <c r="AY698" i="11"/>
  <c r="AX748" i="11"/>
  <c r="AJ714" i="11"/>
  <c r="AJ715" i="11" s="1"/>
  <c r="AJ719" i="11" s="1"/>
  <c r="BE704" i="11"/>
  <c r="BL751" i="11"/>
  <c r="AI652" i="11"/>
  <c r="AN640" i="11"/>
  <c r="AQ721" i="11"/>
  <c r="AQ722" i="11" s="1"/>
  <c r="AQ723" i="11" s="1"/>
  <c r="AQ743" i="11" s="1"/>
  <c r="AQ744" i="11" s="1"/>
  <c r="AQ746" i="11" s="1"/>
  <c r="AQ748" i="11" s="1"/>
  <c r="AQ751" i="11" s="1"/>
  <c r="AQ752" i="11" s="1"/>
  <c r="AQ754" i="11" s="1"/>
  <c r="AQ756" i="11" s="1"/>
  <c r="AQ771" i="11" s="1"/>
  <c r="AJ721" i="11"/>
  <c r="AJ722" i="11" s="1"/>
  <c r="AJ723" i="11" s="1"/>
  <c r="AJ743" i="11" s="1"/>
  <c r="AJ746" i="11" s="1"/>
  <c r="AJ748" i="11" s="1"/>
  <c r="AJ751" i="11" s="1"/>
  <c r="AJ752" i="11" s="1"/>
  <c r="AJ754" i="11" s="1"/>
  <c r="AJ755" i="11" s="1"/>
  <c r="AL659" i="11"/>
  <c r="BT698" i="11" l="1"/>
  <c r="AJ756" i="11"/>
  <c r="AG641" i="11" s="1"/>
  <c r="AY699" i="11"/>
  <c r="BM748" i="11"/>
  <c r="AK747" i="11"/>
  <c r="AK748" i="11" s="1"/>
  <c r="AK750" i="11" s="1"/>
  <c r="AK751" i="11" s="1"/>
  <c r="AK752" i="11" s="1"/>
  <c r="AK754" i="11" s="1"/>
  <c r="AK756" i="11" s="1"/>
  <c r="AK771" i="11" s="1"/>
  <c r="AH655" i="11" s="1"/>
  <c r="AR710" i="11"/>
  <c r="AG640" i="11"/>
  <c r="BL752" i="11"/>
  <c r="BE705" i="11"/>
  <c r="AN652" i="11"/>
  <c r="AX749" i="11"/>
  <c r="AN654" i="11"/>
  <c r="AN639" i="11"/>
  <c r="AN642" i="11"/>
  <c r="AN644" i="11"/>
  <c r="AN643" i="11"/>
  <c r="AN641" i="11"/>
  <c r="AN648" i="11"/>
  <c r="AN646" i="11"/>
  <c r="AN647" i="11"/>
  <c r="AN645" i="11"/>
  <c r="AN649" i="11"/>
  <c r="AN650" i="11"/>
  <c r="AN651" i="11"/>
  <c r="AN722" i="11"/>
  <c r="AN694" i="11"/>
  <c r="AN709" i="11"/>
  <c r="AN668" i="11"/>
  <c r="AN653" i="11"/>
  <c r="AN669" i="11"/>
  <c r="AN763" i="11"/>
  <c r="AN703" i="11"/>
  <c r="AN727" i="11"/>
  <c r="AN731" i="11"/>
  <c r="AN679" i="11"/>
  <c r="AN696" i="11"/>
  <c r="AN662" i="11"/>
  <c r="AN692" i="11"/>
  <c r="AN657" i="11"/>
  <c r="AN751" i="11"/>
  <c r="AN752" i="11"/>
  <c r="AN774" i="11"/>
  <c r="AN656" i="11"/>
  <c r="AN753" i="11"/>
  <c r="AN758" i="11"/>
  <c r="AN733" i="11"/>
  <c r="AN687" i="11"/>
  <c r="AN729" i="11"/>
  <c r="AN704" i="11"/>
  <c r="AN721" i="11"/>
  <c r="AN720" i="11"/>
  <c r="AN760" i="11"/>
  <c r="AN745" i="11"/>
  <c r="AN772" i="11"/>
  <c r="AN740" i="11"/>
  <c r="AN661" i="11"/>
  <c r="AN764" i="11"/>
  <c r="AN685" i="11"/>
  <c r="AN666" i="11"/>
  <c r="AN689" i="11"/>
  <c r="AN691" i="11"/>
  <c r="AN665" i="11"/>
  <c r="AN730" i="11"/>
  <c r="AN746" i="11"/>
  <c r="AN684" i="11"/>
  <c r="AN708" i="11"/>
  <c r="AN702" i="11"/>
  <c r="AN759" i="11"/>
  <c r="AN716" i="11"/>
  <c r="AN754" i="11"/>
  <c r="AN728" i="11"/>
  <c r="AN773" i="11"/>
  <c r="AN714" i="11"/>
  <c r="AN676" i="11"/>
  <c r="AN675" i="11"/>
  <c r="AN715" i="11"/>
  <c r="AN670" i="11"/>
  <c r="AN739" i="11"/>
  <c r="AN766" i="11"/>
  <c r="AN742" i="11"/>
  <c r="AN695" i="11"/>
  <c r="AN682" i="11"/>
  <c r="AN765" i="11"/>
  <c r="AN701" i="11"/>
  <c r="AN762" i="11"/>
  <c r="AN712" i="11"/>
  <c r="AN761" i="11"/>
  <c r="AN725" i="11"/>
  <c r="AN726" i="11"/>
  <c r="AN698" i="11"/>
  <c r="AN686" i="11"/>
  <c r="AN768" i="11"/>
  <c r="AN735" i="11"/>
  <c r="AN736" i="11"/>
  <c r="AN674" i="11"/>
  <c r="AN750" i="11"/>
  <c r="AN683" i="11"/>
  <c r="AN770" i="11"/>
  <c r="AN678" i="11"/>
  <c r="AN717" i="11"/>
  <c r="AN706" i="11"/>
  <c r="AN705" i="11"/>
  <c r="AN672" i="11"/>
  <c r="AN707" i="11"/>
  <c r="AN697" i="11"/>
  <c r="AN664" i="11"/>
  <c r="AN693" i="11"/>
  <c r="AN767" i="11"/>
  <c r="AN700" i="11"/>
  <c r="AN771" i="11"/>
  <c r="AN744" i="11"/>
  <c r="AN663" i="11"/>
  <c r="AN748" i="11"/>
  <c r="AN658" i="11"/>
  <c r="AN688" i="11"/>
  <c r="AN655" i="11"/>
  <c r="AN757" i="11"/>
  <c r="AN711" i="11"/>
  <c r="AN724" i="11"/>
  <c r="AN734" i="11"/>
  <c r="AN673" i="11"/>
  <c r="AN680" i="11"/>
  <c r="AN690" i="11"/>
  <c r="AN743" i="11"/>
  <c r="AN732" i="11"/>
  <c r="AN719" i="11"/>
  <c r="AN713" i="11"/>
  <c r="AN738" i="11"/>
  <c r="AN769" i="11"/>
  <c r="AN659" i="11"/>
  <c r="AN667" i="11"/>
  <c r="AN747" i="11"/>
  <c r="AN737" i="11"/>
  <c r="AN718" i="11"/>
  <c r="AN741" i="11"/>
  <c r="AN660" i="11"/>
  <c r="AN710" i="11"/>
  <c r="AN756" i="11"/>
  <c r="AN681" i="11"/>
  <c r="AN699" i="11"/>
  <c r="AN671" i="11"/>
  <c r="AN677" i="11"/>
  <c r="AN755" i="11"/>
  <c r="AN723" i="11"/>
  <c r="AN749"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53" i="11" s="1"/>
  <c r="AH672" i="11" l="1"/>
  <c r="AH731" i="11"/>
  <c r="AH755" i="11"/>
  <c r="AH665" i="11"/>
  <c r="AH750" i="11"/>
  <c r="AH660" i="11"/>
  <c r="AH760" i="11"/>
  <c r="AH688" i="11"/>
  <c r="AH654" i="11"/>
  <c r="AH717" i="11"/>
  <c r="AH677" i="11"/>
  <c r="AH689" i="11"/>
  <c r="AH675" i="11"/>
  <c r="AH700" i="11"/>
  <c r="AH742" i="11"/>
  <c r="AH727" i="11"/>
  <c r="AH720" i="11"/>
  <c r="AH711" i="11"/>
  <c r="AH679" i="11"/>
  <c r="AH710" i="11"/>
  <c r="AH747" i="11"/>
  <c r="AH712" i="11"/>
  <c r="AH725" i="11"/>
  <c r="AH676" i="11"/>
  <c r="AH716" i="11"/>
  <c r="AH754" i="11"/>
  <c r="AH769" i="11"/>
  <c r="AH738" i="11"/>
  <c r="BT699" i="11"/>
  <c r="AH734" i="11"/>
  <c r="AH702" i="11"/>
  <c r="AH759" i="11"/>
  <c r="AH647" i="11"/>
  <c r="AH657" i="11"/>
  <c r="AH659" i="11"/>
  <c r="AJ771" i="11"/>
  <c r="AG650" i="11" s="1"/>
  <c r="AH683" i="11"/>
  <c r="AH656" i="11"/>
  <c r="AH639" i="11"/>
  <c r="AH643" i="11"/>
  <c r="AH644" i="11"/>
  <c r="AH641" i="11"/>
  <c r="AH642" i="11"/>
  <c r="AH645" i="11"/>
  <c r="AH658" i="11"/>
  <c r="AH646" i="11"/>
  <c r="AH649" i="11"/>
  <c r="AH653" i="11"/>
  <c r="AH648" i="11"/>
  <c r="AH650" i="11"/>
  <c r="AH651" i="11"/>
  <c r="AH652" i="11"/>
  <c r="AR713" i="11"/>
  <c r="AR714" i="11" s="1"/>
  <c r="AR715" i="11" s="1"/>
  <c r="AR719" i="11" s="1"/>
  <c r="AR721" i="11" s="1"/>
  <c r="AR743" i="11" s="1"/>
  <c r="AR746" i="11" s="1"/>
  <c r="AR747" i="11" s="1"/>
  <c r="AR748" i="11" s="1"/>
  <c r="AR750" i="11" s="1"/>
  <c r="AR751" i="11" s="1"/>
  <c r="AR752" i="11" s="1"/>
  <c r="AR754" i="11" s="1"/>
  <c r="AR756" i="11" s="1"/>
  <c r="AH704" i="11"/>
  <c r="AH714" i="11"/>
  <c r="AH680" i="11"/>
  <c r="AH661" i="11"/>
  <c r="AH662" i="11"/>
  <c r="AH708" i="11"/>
  <c r="AH723" i="11"/>
  <c r="AH663" i="11"/>
  <c r="AH666" i="11"/>
  <c r="AH733" i="11"/>
  <c r="AH681" i="11"/>
  <c r="AH745" i="11"/>
  <c r="AH737" i="11"/>
  <c r="AH667" i="11"/>
  <c r="AH687" i="11"/>
  <c r="AH686" i="11"/>
  <c r="AH692" i="11"/>
  <c r="AH719" i="11"/>
  <c r="AH741" i="11"/>
  <c r="AH757" i="11"/>
  <c r="AH744" i="11"/>
  <c r="AH773" i="11"/>
  <c r="AH740" i="11"/>
  <c r="AH746" i="11"/>
  <c r="AH735" i="11"/>
  <c r="AH758" i="11"/>
  <c r="AH729" i="11"/>
  <c r="AH726" i="11"/>
  <c r="AH728" i="11"/>
  <c r="AH690" i="11"/>
  <c r="AH772" i="11"/>
  <c r="AH756" i="11"/>
  <c r="AH767" i="11"/>
  <c r="AH705" i="11"/>
  <c r="AH701" i="11"/>
  <c r="AH682" i="11"/>
  <c r="AH703" i="11"/>
  <c r="AH678" i="11"/>
  <c r="AH732" i="11"/>
  <c r="AH713" i="11"/>
  <c r="AH739" i="11"/>
  <c r="AH730" i="11"/>
  <c r="AH762" i="11"/>
  <c r="AH761" i="11"/>
  <c r="AH753" i="11"/>
  <c r="AH699" i="11"/>
  <c r="AH674" i="11"/>
  <c r="AH664" i="11"/>
  <c r="AH722" i="11"/>
  <c r="AH766" i="11"/>
  <c r="AH684" i="11"/>
  <c r="AH696" i="11"/>
  <c r="AH718" i="11"/>
  <c r="AH673" i="11"/>
  <c r="AH751" i="11"/>
  <c r="AH709" i="11"/>
  <c r="AH764" i="11"/>
  <c r="AH685" i="11"/>
  <c r="AH715" i="11"/>
  <c r="BM750" i="11"/>
  <c r="AH743" i="11"/>
  <c r="AH763" i="11"/>
  <c r="AH693" i="11"/>
  <c r="AH691" i="11"/>
  <c r="AH695" i="11"/>
  <c r="AH736" i="11"/>
  <c r="AH670" i="11"/>
  <c r="AH668" i="11"/>
  <c r="AH671" i="11"/>
  <c r="AH748" i="11"/>
  <c r="AH768" i="11"/>
  <c r="AH707" i="11"/>
  <c r="AH721" i="11"/>
  <c r="AH697" i="11"/>
  <c r="AH698" i="11"/>
  <c r="AH752" i="11"/>
  <c r="AY700" i="11"/>
  <c r="AY701" i="11" s="1"/>
  <c r="AY704" i="11" s="1"/>
  <c r="AY705" i="11" s="1"/>
  <c r="AY707" i="11" s="1"/>
  <c r="AY708" i="11" s="1"/>
  <c r="AY709" i="11" s="1"/>
  <c r="AY710" i="11" s="1"/>
  <c r="AY713" i="11" s="1"/>
  <c r="AY714" i="11" s="1"/>
  <c r="AY715" i="11" s="1"/>
  <c r="AY719" i="11" s="1"/>
  <c r="AY721" i="11" s="1"/>
  <c r="AY725" i="11" s="1"/>
  <c r="AY726" i="11" s="1"/>
  <c r="AY743" i="11" s="1"/>
  <c r="AY746" i="11" s="1"/>
  <c r="AY747" i="11" s="1"/>
  <c r="AY748" i="11" s="1"/>
  <c r="AY750" i="11" s="1"/>
  <c r="AY751" i="11" s="1"/>
  <c r="AY752" i="11" s="1"/>
  <c r="AY754" i="11" s="1"/>
  <c r="AY756" i="11" s="1"/>
  <c r="AY771" i="11" s="1"/>
  <c r="AV687" i="11" s="1"/>
  <c r="AH774" i="11"/>
  <c r="AH765" i="11"/>
  <c r="AH749" i="11"/>
  <c r="AH771" i="11"/>
  <c r="AH694" i="11"/>
  <c r="AH770" i="11"/>
  <c r="AH724" i="11"/>
  <c r="AH669" i="11"/>
  <c r="AH706" i="11"/>
  <c r="AN637" i="11"/>
  <c r="AX751" i="11"/>
  <c r="BE710" i="11"/>
  <c r="AG639" i="11"/>
  <c r="AG645" i="11"/>
  <c r="BL754"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G695" i="11" l="1"/>
  <c r="AG743" i="11"/>
  <c r="AG717" i="11"/>
  <c r="AG736" i="11"/>
  <c r="AG694" i="11"/>
  <c r="AG770" i="11"/>
  <c r="AG681" i="11"/>
  <c r="AG664" i="11"/>
  <c r="AG772" i="11"/>
  <c r="AG755" i="11"/>
  <c r="AG674" i="11"/>
  <c r="AG687" i="11"/>
  <c r="AG719" i="11"/>
  <c r="AG661" i="11"/>
  <c r="AG721" i="11"/>
  <c r="AG655" i="11"/>
  <c r="AG761" i="11"/>
  <c r="AG654" i="11"/>
  <c r="AG771" i="11"/>
  <c r="AG697" i="11"/>
  <c r="AG735" i="11"/>
  <c r="AG704" i="11"/>
  <c r="AG764" i="11"/>
  <c r="AG725" i="11"/>
  <c r="AG742" i="11"/>
  <c r="AG732" i="11"/>
  <c r="AG767" i="11"/>
  <c r="AG671" i="11"/>
  <c r="AG686" i="11"/>
  <c r="AG750" i="11"/>
  <c r="AG728" i="11"/>
  <c r="AG699" i="11"/>
  <c r="AG756" i="11"/>
  <c r="AG660" i="11"/>
  <c r="AG678" i="11"/>
  <c r="AG754" i="11"/>
  <c r="AG688" i="11"/>
  <c r="AG737" i="11"/>
  <c r="AG680" i="11"/>
  <c r="AG741" i="11"/>
  <c r="AG702" i="11"/>
  <c r="AG707" i="11"/>
  <c r="AG763" i="11"/>
  <c r="AG765" i="11"/>
  <c r="AG739" i="11"/>
  <c r="AG679" i="11"/>
  <c r="AG749" i="11"/>
  <c r="AG667" i="11"/>
  <c r="AG676" i="11"/>
  <c r="AG669" i="11"/>
  <c r="AG773" i="11"/>
  <c r="AG738" i="11"/>
  <c r="AG714" i="11"/>
  <c r="AG649" i="11"/>
  <c r="AG665" i="11"/>
  <c r="AG769" i="11"/>
  <c r="AG711" i="11"/>
  <c r="AG705" i="11"/>
  <c r="AG752" i="11"/>
  <c r="AG760" i="11"/>
  <c r="AG762" i="11"/>
  <c r="AG713" i="11"/>
  <c r="AG662" i="11"/>
  <c r="AG745" i="11"/>
  <c r="AG666" i="11"/>
  <c r="AG692" i="11"/>
  <c r="AG730" i="11"/>
  <c r="AG727" i="11"/>
  <c r="AG673" i="11"/>
  <c r="AG696" i="11"/>
  <c r="AG768" i="11"/>
  <c r="AG647" i="11"/>
  <c r="AG642" i="11"/>
  <c r="AG670" i="11"/>
  <c r="AG758" i="11"/>
  <c r="AG689" i="11"/>
  <c r="AG746" i="11"/>
  <c r="AG759" i="11"/>
  <c r="AG685" i="11"/>
  <c r="AG701" i="11"/>
  <c r="AG656" i="11"/>
  <c r="AG747" i="11"/>
  <c r="AG712" i="11"/>
  <c r="AG684" i="11"/>
  <c r="AG731" i="11"/>
  <c r="AG740" i="11"/>
  <c r="AG693" i="11"/>
  <c r="AG753" i="11"/>
  <c r="AG720" i="11"/>
  <c r="AG744" i="11"/>
  <c r="AG766" i="11"/>
  <c r="AG672" i="11"/>
  <c r="AG710" i="11"/>
  <c r="AG724" i="11"/>
  <c r="AG668" i="11"/>
  <c r="AG751" i="11"/>
  <c r="AG646" i="11"/>
  <c r="AG643" i="11"/>
  <c r="AG682" i="11"/>
  <c r="AG653" i="11"/>
  <c r="AG774" i="11"/>
  <c r="AG659" i="11"/>
  <c r="AG706" i="11"/>
  <c r="AG716" i="11"/>
  <c r="AG691" i="11"/>
  <c r="AG733" i="11"/>
  <c r="AG757" i="11"/>
  <c r="AG703" i="11"/>
  <c r="AG698" i="11"/>
  <c r="AG715" i="11"/>
  <c r="AG683" i="11"/>
  <c r="AG726" i="11"/>
  <c r="AG722" i="11"/>
  <c r="AG690" i="11"/>
  <c r="AG700" i="11"/>
  <c r="AG658" i="11"/>
  <c r="AG652" i="11"/>
  <c r="AG718" i="11"/>
  <c r="AG729" i="11"/>
  <c r="AG677" i="11"/>
  <c r="AG657" i="11"/>
  <c r="AG663" i="11"/>
  <c r="AG734" i="11"/>
  <c r="AG675" i="11"/>
  <c r="AG708" i="11"/>
  <c r="AG723" i="11"/>
  <c r="AG748" i="11"/>
  <c r="AG709" i="11"/>
  <c r="AG648" i="11"/>
  <c r="AG644" i="11"/>
  <c r="AG651" i="11"/>
  <c r="AV743" i="11"/>
  <c r="AV659" i="11"/>
  <c r="AV770" i="11"/>
  <c r="AV732" i="11"/>
  <c r="AV740" i="11"/>
  <c r="AV689" i="11"/>
  <c r="AV686" i="11"/>
  <c r="AV753" i="11"/>
  <c r="AV700" i="11"/>
  <c r="AV653" i="11"/>
  <c r="AV721" i="11"/>
  <c r="AV664" i="11"/>
  <c r="AV702" i="11"/>
  <c r="AV658" i="11"/>
  <c r="AV682" i="11"/>
  <c r="AV706" i="11"/>
  <c r="AV696" i="11"/>
  <c r="AV765" i="11"/>
  <c r="AV757" i="11"/>
  <c r="AV715" i="11"/>
  <c r="AV665" i="11"/>
  <c r="AV767" i="11"/>
  <c r="AV693" i="11"/>
  <c r="AV692" i="11"/>
  <c r="AV746" i="11"/>
  <c r="AV729" i="11"/>
  <c r="AV722" i="11"/>
  <c r="AV764" i="11"/>
  <c r="AV749" i="11"/>
  <c r="AV676" i="11"/>
  <c r="AV656" i="11"/>
  <c r="AV750" i="11"/>
  <c r="AV718" i="11"/>
  <c r="AV672" i="11"/>
  <c r="AV755" i="11"/>
  <c r="AV717" i="11"/>
  <c r="AV769" i="11"/>
  <c r="AV761" i="11"/>
  <c r="AV742" i="11"/>
  <c r="AV661" i="11"/>
  <c r="AV709" i="11"/>
  <c r="AV727" i="11"/>
  <c r="AV731" i="11"/>
  <c r="AV754" i="11"/>
  <c r="AV744" i="11"/>
  <c r="AV736" i="11"/>
  <c r="AV774" i="11"/>
  <c r="AV741" i="11"/>
  <c r="AV735" i="11"/>
  <c r="AV773" i="11"/>
  <c r="AV669" i="11"/>
  <c r="AV680" i="11"/>
  <c r="AV662" i="11"/>
  <c r="AV763" i="11"/>
  <c r="AV714" i="11"/>
  <c r="AV657" i="11"/>
  <c r="AV748" i="11"/>
  <c r="AV649" i="11"/>
  <c r="AV685" i="11"/>
  <c r="AV639" i="11"/>
  <c r="AV641" i="11"/>
  <c r="AV640" i="11"/>
  <c r="AV645" i="11"/>
  <c r="AV646" i="11"/>
  <c r="AV644" i="11"/>
  <c r="AV643" i="11"/>
  <c r="AV642" i="11"/>
  <c r="AV647" i="11"/>
  <c r="AV648" i="11"/>
  <c r="AV650" i="11"/>
  <c r="AV652" i="11"/>
  <c r="AV651" i="11"/>
  <c r="AV759" i="11"/>
  <c r="AV660" i="11"/>
  <c r="AV733" i="11"/>
  <c r="AV690" i="11"/>
  <c r="AV654" i="11"/>
  <c r="AV728" i="11"/>
  <c r="AV675" i="11"/>
  <c r="AV707" i="11"/>
  <c r="AV655" i="11"/>
  <c r="AV760" i="11"/>
  <c r="AV704" i="11"/>
  <c r="AV720" i="11"/>
  <c r="AV663" i="11"/>
  <c r="BT700" i="11"/>
  <c r="AV708" i="11"/>
  <c r="AV737" i="11"/>
  <c r="AV670" i="11"/>
  <c r="AV752" i="11"/>
  <c r="AV694" i="11"/>
  <c r="AV726" i="11"/>
  <c r="AV762" i="11"/>
  <c r="AV768" i="11"/>
  <c r="AV691" i="11"/>
  <c r="AV738" i="11"/>
  <c r="AV668" i="11"/>
  <c r="AV673" i="11"/>
  <c r="AV739" i="11"/>
  <c r="AV677" i="11"/>
  <c r="AV678" i="11"/>
  <c r="AV705" i="11"/>
  <c r="AV679" i="11"/>
  <c r="AV683" i="11"/>
  <c r="AV684" i="11"/>
  <c r="AV674" i="11"/>
  <c r="AV758" i="11"/>
  <c r="AV697" i="11"/>
  <c r="AV723" i="11"/>
  <c r="AV671" i="11"/>
  <c r="AV716" i="11"/>
  <c r="AV730" i="11"/>
  <c r="AV719" i="11"/>
  <c r="AV667" i="11"/>
  <c r="AV772" i="11"/>
  <c r="AV724" i="11"/>
  <c r="AV725" i="11"/>
  <c r="AV666" i="11"/>
  <c r="AV712" i="11"/>
  <c r="AV698" i="11"/>
  <c r="AV756" i="11"/>
  <c r="AV734" i="11"/>
  <c r="AV771" i="11"/>
  <c r="AV688" i="11"/>
  <c r="AV766" i="11"/>
  <c r="AV713" i="11"/>
  <c r="AV745" i="11"/>
  <c r="AV699" i="11"/>
  <c r="AV751" i="11"/>
  <c r="AV710" i="11"/>
  <c r="AV701" i="11"/>
  <c r="AV747" i="11"/>
  <c r="AV695" i="11"/>
  <c r="AV711" i="11"/>
  <c r="AV681" i="11"/>
  <c r="AV703" i="11"/>
  <c r="BM751" i="11"/>
  <c r="BM752" i="11" s="1"/>
  <c r="BM754" i="11" s="1"/>
  <c r="BM756" i="11" s="1"/>
  <c r="BM771" i="11" s="1"/>
  <c r="BJ668" i="11" s="1"/>
  <c r="AH637" i="11"/>
  <c r="AO641" i="11"/>
  <c r="AR771" i="11"/>
  <c r="AX752" i="11"/>
  <c r="BE714" i="11"/>
  <c r="BL755" i="11"/>
  <c r="AI637" i="11"/>
  <c r="AQ20" i="2"/>
  <c r="AS20" i="2" s="1"/>
  <c r="AG637" i="11" l="1"/>
  <c r="AV637" i="11"/>
  <c r="AO639" i="11"/>
  <c r="AO640" i="11"/>
  <c r="AO644" i="11"/>
  <c r="AO642" i="11"/>
  <c r="AO647" i="11"/>
  <c r="AO645" i="11"/>
  <c r="AO643" i="11"/>
  <c r="AO646" i="11"/>
  <c r="AO649" i="11"/>
  <c r="AO650" i="11"/>
  <c r="AO648" i="11"/>
  <c r="AO653" i="11"/>
  <c r="AO659" i="11"/>
  <c r="AO658" i="11"/>
  <c r="AO667" i="11"/>
  <c r="AO652" i="11"/>
  <c r="AO664" i="11"/>
  <c r="BJ665" i="11"/>
  <c r="AO656" i="11"/>
  <c r="AO657" i="11"/>
  <c r="BJ663" i="11"/>
  <c r="AO669" i="11"/>
  <c r="AO655" i="11"/>
  <c r="AO651" i="11"/>
  <c r="AO661" i="11"/>
  <c r="BJ641" i="11"/>
  <c r="BJ645" i="11"/>
  <c r="BJ648" i="11"/>
  <c r="BJ647" i="11"/>
  <c r="BJ652" i="11"/>
  <c r="BJ653" i="11"/>
  <c r="BJ646" i="11"/>
  <c r="BJ650" i="11"/>
  <c r="BJ642" i="11"/>
  <c r="BJ649" i="11"/>
  <c r="BJ644" i="11"/>
  <c r="BJ655" i="11"/>
  <c r="BJ651" i="11"/>
  <c r="BJ656" i="11"/>
  <c r="BJ654" i="11"/>
  <c r="BJ657" i="11"/>
  <c r="BJ660" i="11"/>
  <c r="BJ659" i="11"/>
  <c r="BJ658" i="11"/>
  <c r="BT701" i="11"/>
  <c r="BT704" i="11" s="1"/>
  <c r="BT705" i="11" s="1"/>
  <c r="BT710" i="11" s="1"/>
  <c r="BT713" i="11" s="1"/>
  <c r="BT714" i="11" s="1"/>
  <c r="BT715" i="11" s="1"/>
  <c r="BT719" i="11" s="1"/>
  <c r="AO670" i="11"/>
  <c r="AO666" i="11"/>
  <c r="BJ661" i="11"/>
  <c r="AO654" i="11"/>
  <c r="BJ662" i="11"/>
  <c r="AO660" i="11"/>
  <c r="BJ664" i="11"/>
  <c r="BJ643" i="11"/>
  <c r="BJ745" i="11"/>
  <c r="BJ716" i="11"/>
  <c r="BJ673" i="11"/>
  <c r="BJ713" i="11"/>
  <c r="BJ731" i="11"/>
  <c r="BJ696" i="11"/>
  <c r="BJ734" i="11"/>
  <c r="BJ693" i="11"/>
  <c r="BJ736" i="11"/>
  <c r="BJ740" i="11"/>
  <c r="BJ690" i="11"/>
  <c r="BJ666" i="11"/>
  <c r="BJ686" i="11"/>
  <c r="BJ711" i="11"/>
  <c r="BJ701" i="11"/>
  <c r="BJ741" i="11"/>
  <c r="BJ749" i="11"/>
  <c r="BJ768" i="11"/>
  <c r="BJ708" i="11"/>
  <c r="BJ725" i="11"/>
  <c r="BJ743" i="11"/>
  <c r="BJ698" i="11"/>
  <c r="BJ766" i="11"/>
  <c r="BJ674" i="11"/>
  <c r="BJ689" i="11"/>
  <c r="BJ692" i="11"/>
  <c r="BJ704" i="11"/>
  <c r="BJ712" i="11"/>
  <c r="BJ772" i="11"/>
  <c r="BJ699" i="11"/>
  <c r="BJ770" i="11"/>
  <c r="BJ722" i="11"/>
  <c r="BJ719" i="11"/>
  <c r="BJ756" i="11"/>
  <c r="BJ735" i="11"/>
  <c r="BJ703" i="11"/>
  <c r="BJ706" i="11"/>
  <c r="BJ678" i="11"/>
  <c r="BJ739" i="11"/>
  <c r="BJ774" i="11"/>
  <c r="BJ761" i="11"/>
  <c r="BJ728" i="11"/>
  <c r="BJ729" i="11"/>
  <c r="BJ679" i="11"/>
  <c r="BJ733" i="11"/>
  <c r="BJ715" i="11"/>
  <c r="BJ726" i="11"/>
  <c r="BJ758" i="11"/>
  <c r="BJ671" i="11"/>
  <c r="BJ677" i="11"/>
  <c r="BJ769" i="11"/>
  <c r="BJ748" i="11"/>
  <c r="BJ705" i="11"/>
  <c r="BJ752" i="11"/>
  <c r="BJ730" i="11"/>
  <c r="BJ707" i="11"/>
  <c r="BJ680" i="11"/>
  <c r="BJ738" i="11"/>
  <c r="BJ675" i="11"/>
  <c r="BJ720" i="11"/>
  <c r="BJ710" i="11"/>
  <c r="BJ744" i="11"/>
  <c r="BJ670" i="11"/>
  <c r="BJ718" i="11"/>
  <c r="BJ727" i="11"/>
  <c r="BJ687" i="11"/>
  <c r="BJ767" i="11"/>
  <c r="BJ723" i="11"/>
  <c r="BJ688" i="11"/>
  <c r="BJ764" i="11"/>
  <c r="BJ700" i="11"/>
  <c r="BJ763" i="11"/>
  <c r="BJ765" i="11"/>
  <c r="BJ771" i="11"/>
  <c r="BJ684" i="11"/>
  <c r="BJ742" i="11"/>
  <c r="BJ737" i="11"/>
  <c r="BJ691" i="11"/>
  <c r="BJ702" i="11"/>
  <c r="BJ672" i="11"/>
  <c r="BJ697" i="11"/>
  <c r="BJ762" i="11"/>
  <c r="BJ682" i="11"/>
  <c r="BJ759" i="11"/>
  <c r="BJ746" i="11"/>
  <c r="BJ669" i="11"/>
  <c r="BJ757" i="11"/>
  <c r="BJ709" i="11"/>
  <c r="BJ724" i="11"/>
  <c r="BJ754" i="11"/>
  <c r="BJ681" i="11"/>
  <c r="BJ695" i="11"/>
  <c r="BJ760" i="11"/>
  <c r="BJ755" i="11"/>
  <c r="BJ667" i="11"/>
  <c r="BJ694" i="11"/>
  <c r="BJ753" i="11"/>
  <c r="BJ676" i="11"/>
  <c r="BJ717" i="11"/>
  <c r="BJ685" i="11"/>
  <c r="BJ751" i="11"/>
  <c r="BJ750" i="11"/>
  <c r="BJ732" i="11"/>
  <c r="BJ773" i="11"/>
  <c r="BJ714" i="11"/>
  <c r="BJ683" i="11"/>
  <c r="BJ721" i="11"/>
  <c r="BJ747" i="11"/>
  <c r="AO675" i="11"/>
  <c r="AO748" i="11"/>
  <c r="AO765" i="11"/>
  <c r="AO678" i="11"/>
  <c r="AO663" i="11"/>
  <c r="AO686" i="11"/>
  <c r="AO746" i="11"/>
  <c r="AO665" i="11"/>
  <c r="AO729" i="11"/>
  <c r="AO771" i="11"/>
  <c r="AO755" i="11"/>
  <c r="AO668" i="11"/>
  <c r="AO692" i="11"/>
  <c r="AO706" i="11"/>
  <c r="AO709" i="11"/>
  <c r="AO754" i="11"/>
  <c r="AO721" i="11"/>
  <c r="AO772" i="11"/>
  <c r="AO730" i="11"/>
  <c r="AO704" i="11"/>
  <c r="AO701" i="11"/>
  <c r="AO762" i="11"/>
  <c r="AO673" i="11"/>
  <c r="AO724" i="11"/>
  <c r="AO773" i="11"/>
  <c r="AO749" i="11"/>
  <c r="AO690" i="11"/>
  <c r="AO695" i="11"/>
  <c r="AO694" i="11"/>
  <c r="AO752" i="11"/>
  <c r="AO745" i="11"/>
  <c r="AO736" i="11"/>
  <c r="AO672" i="11"/>
  <c r="AO689" i="11"/>
  <c r="AO705" i="11"/>
  <c r="AO727" i="11"/>
  <c r="AO760" i="11"/>
  <c r="AO703" i="11"/>
  <c r="AO674" i="11"/>
  <c r="AO713" i="11"/>
  <c r="AO720" i="11"/>
  <c r="AO718" i="11"/>
  <c r="AO697" i="11"/>
  <c r="AO725" i="11"/>
  <c r="AO741" i="11"/>
  <c r="AO766" i="11"/>
  <c r="AO700" i="11"/>
  <c r="AO763" i="11"/>
  <c r="AO734" i="11"/>
  <c r="AO737" i="11"/>
  <c r="AO743" i="11"/>
  <c r="AO693" i="11"/>
  <c r="AO767" i="11"/>
  <c r="AO707" i="11"/>
  <c r="AO770" i="11"/>
  <c r="AO699" i="11"/>
  <c r="AO679" i="11"/>
  <c r="AO739" i="11"/>
  <c r="AO759" i="11"/>
  <c r="AO744" i="11"/>
  <c r="AO681" i="11"/>
  <c r="AO726" i="11"/>
  <c r="AO723" i="11"/>
  <c r="AO662" i="11"/>
  <c r="AO711" i="11"/>
  <c r="AO676" i="11"/>
  <c r="AO728" i="11"/>
  <c r="AO671" i="11"/>
  <c r="AO714" i="11"/>
  <c r="AO742" i="11"/>
  <c r="AO677" i="11"/>
  <c r="AO768" i="11"/>
  <c r="AO684" i="11"/>
  <c r="AO753" i="11"/>
  <c r="AO702" i="11"/>
  <c r="AO688" i="11"/>
  <c r="AO712" i="11"/>
  <c r="AO769" i="11"/>
  <c r="AO717" i="11"/>
  <c r="AO680" i="11"/>
  <c r="AO682" i="11"/>
  <c r="AO691" i="11"/>
  <c r="AO738" i="11"/>
  <c r="AO735" i="11"/>
  <c r="AO732" i="11"/>
  <c r="AO733" i="11"/>
  <c r="AO719" i="11"/>
  <c r="AO758" i="11"/>
  <c r="AO683" i="11"/>
  <c r="AO774" i="11"/>
  <c r="AO740" i="11"/>
  <c r="AO756" i="11"/>
  <c r="AO764" i="11"/>
  <c r="AO710" i="11"/>
  <c r="AO751" i="11"/>
  <c r="AO716" i="11"/>
  <c r="AO747" i="11"/>
  <c r="AO696" i="11"/>
  <c r="AO750" i="11"/>
  <c r="AO722" i="11"/>
  <c r="AO757" i="11"/>
  <c r="AO761" i="11"/>
  <c r="AO685" i="11"/>
  <c r="AO731" i="11"/>
  <c r="AO698" i="11"/>
  <c r="AO715" i="11"/>
  <c r="AO708" i="11"/>
  <c r="AO687" i="11"/>
  <c r="AX754" i="11"/>
  <c r="BL756" i="11"/>
  <c r="BE715" i="11"/>
  <c r="U58" i="11"/>
  <c r="T65" i="11" s="1"/>
  <c r="S93" i="10" s="1"/>
  <c r="BQ640" i="11" l="1"/>
  <c r="AO637" i="11"/>
  <c r="BT721" i="11"/>
  <c r="BQ639" i="11"/>
  <c r="BJ637" i="11"/>
  <c r="AX755" i="11"/>
  <c r="BE719" i="11"/>
  <c r="BL771" i="11"/>
  <c r="BI732" i="11" s="1"/>
  <c r="J16" i="2"/>
  <c r="K17" i="2" s="1"/>
  <c r="BI724" i="11" l="1"/>
  <c r="BI747" i="11"/>
  <c r="BI767" i="11"/>
  <c r="BI690" i="11"/>
  <c r="BI758" i="11"/>
  <c r="BI728" i="11"/>
  <c r="BI696" i="11"/>
  <c r="BI742" i="11"/>
  <c r="BI744" i="11"/>
  <c r="BI681" i="11"/>
  <c r="BI683" i="11"/>
  <c r="BI766" i="11"/>
  <c r="BI720" i="11"/>
  <c r="BI675" i="11"/>
  <c r="BI668" i="11"/>
  <c r="BI671" i="11"/>
  <c r="BI741" i="11"/>
  <c r="BI692" i="11"/>
  <c r="BI691" i="11"/>
  <c r="BI723" i="11"/>
  <c r="BI697" i="11"/>
  <c r="BI770" i="11"/>
  <c r="BI682" i="11"/>
  <c r="BI666" i="11"/>
  <c r="BI721" i="11"/>
  <c r="BI739" i="11"/>
  <c r="BI759" i="11"/>
  <c r="BI685" i="11"/>
  <c r="BI706" i="11"/>
  <c r="BI709" i="11"/>
  <c r="BI664" i="11"/>
  <c r="BI665" i="11"/>
  <c r="BI736" i="11"/>
  <c r="BI762" i="11"/>
  <c r="BI769" i="11"/>
  <c r="BI718" i="11"/>
  <c r="BI752" i="11"/>
  <c r="BI727" i="11"/>
  <c r="BI748" i="11"/>
  <c r="BI702" i="11"/>
  <c r="BI717" i="11"/>
  <c r="BI670" i="11"/>
  <c r="BI650" i="11"/>
  <c r="BI755" i="11"/>
  <c r="BI703" i="11"/>
  <c r="BI719" i="11"/>
  <c r="BI765" i="11"/>
  <c r="BI726" i="11"/>
  <c r="BI677" i="11"/>
  <c r="BI715" i="11"/>
  <c r="BI738" i="11"/>
  <c r="BI731" i="11"/>
  <c r="BI774" i="11"/>
  <c r="BI729" i="11"/>
  <c r="BI722" i="11"/>
  <c r="BI689" i="11"/>
  <c r="BI743" i="11"/>
  <c r="BI713" i="11"/>
  <c r="BI735" i="11"/>
  <c r="BI754" i="11"/>
  <c r="BT743" i="11"/>
  <c r="BI693" i="11"/>
  <c r="BI688" i="11"/>
  <c r="BI764" i="11"/>
  <c r="BI684" i="11"/>
  <c r="BI672" i="11"/>
  <c r="BI751" i="11"/>
  <c r="BI753" i="11"/>
  <c r="BI707" i="11"/>
  <c r="BI658" i="11"/>
  <c r="BI661" i="11"/>
  <c r="BI757" i="11"/>
  <c r="BI745" i="11"/>
  <c r="BI676" i="11"/>
  <c r="BI761" i="11"/>
  <c r="BI704" i="11"/>
  <c r="BI678" i="11"/>
  <c r="BI749" i="11"/>
  <c r="BI660" i="11"/>
  <c r="BI673" i="11"/>
  <c r="BI750" i="11"/>
  <c r="BI659" i="11"/>
  <c r="BI699" i="11"/>
  <c r="BI772" i="11"/>
  <c r="BI695" i="11"/>
  <c r="BI710" i="11"/>
  <c r="BI771" i="11"/>
  <c r="BI687" i="11"/>
  <c r="BI657" i="11"/>
  <c r="BI756" i="11"/>
  <c r="BI680" i="11"/>
  <c r="BI760" i="11"/>
  <c r="BI714" i="11"/>
  <c r="BI708" i="11"/>
  <c r="BI768" i="11"/>
  <c r="BI700" i="11"/>
  <c r="BI733" i="11"/>
  <c r="BI763" i="11"/>
  <c r="BI725" i="11"/>
  <c r="BI679" i="11"/>
  <c r="BI716" i="11"/>
  <c r="BI773" i="11"/>
  <c r="BI711" i="11"/>
  <c r="BI740" i="11"/>
  <c r="BI686" i="11"/>
  <c r="BI701" i="11"/>
  <c r="BI667" i="11"/>
  <c r="BI662" i="11"/>
  <c r="BI663" i="11"/>
  <c r="BI737" i="11"/>
  <c r="BI669" i="11"/>
  <c r="BI698" i="11"/>
  <c r="BI674" i="11"/>
  <c r="BI730" i="11"/>
  <c r="BE721" i="11"/>
  <c r="BI705" i="11"/>
  <c r="BI639" i="11"/>
  <c r="BI641" i="11"/>
  <c r="BI644" i="11"/>
  <c r="BI645" i="11"/>
  <c r="BI648" i="11"/>
  <c r="BI649" i="11"/>
  <c r="BI642" i="11"/>
  <c r="BI647" i="11"/>
  <c r="BI646" i="11"/>
  <c r="BI643" i="11"/>
  <c r="BI651" i="11"/>
  <c r="BI652" i="11"/>
  <c r="BI653" i="11"/>
  <c r="BI654" i="11"/>
  <c r="BI655" i="11"/>
  <c r="BI656" i="11"/>
  <c r="BI694" i="11"/>
  <c r="BI734" i="11"/>
  <c r="BI746" i="11"/>
  <c r="BI712" i="11"/>
  <c r="AX756" i="11"/>
  <c r="BT746" i="11" l="1"/>
  <c r="AX771" i="11"/>
  <c r="AU756" i="11" s="1"/>
  <c r="BI637" i="11"/>
  <c r="AU641" i="11"/>
  <c r="BE729" i="11"/>
  <c r="AU671" i="11" l="1"/>
  <c r="AU723" i="11"/>
  <c r="AU673" i="11"/>
  <c r="AU768" i="11"/>
  <c r="AU760" i="11"/>
  <c r="AU665" i="11"/>
  <c r="AU763" i="11"/>
  <c r="AU714" i="11"/>
  <c r="AU732" i="11"/>
  <c r="AU729" i="11"/>
  <c r="AU722" i="11"/>
  <c r="AU681" i="11"/>
  <c r="AU689" i="11"/>
  <c r="AU744" i="11"/>
  <c r="AU658" i="11"/>
  <c r="AU758" i="11"/>
  <c r="AU773" i="11"/>
  <c r="AU719" i="11"/>
  <c r="AU699" i="11"/>
  <c r="AU710" i="11"/>
  <c r="AU735" i="11"/>
  <c r="AU748" i="11"/>
  <c r="AU700" i="11"/>
  <c r="AU666" i="11"/>
  <c r="AU711" i="11"/>
  <c r="AU691" i="11"/>
  <c r="AU717" i="11"/>
  <c r="AU747" i="11"/>
  <c r="AU737" i="11"/>
  <c r="AU770" i="11"/>
  <c r="AU688" i="11"/>
  <c r="AU739" i="11"/>
  <c r="AU709" i="11"/>
  <c r="AU736" i="11"/>
  <c r="AU741" i="11"/>
  <c r="AU754" i="11"/>
  <c r="AU734" i="11"/>
  <c r="AU715" i="11"/>
  <c r="AU708" i="11"/>
  <c r="AU731" i="11"/>
  <c r="AU707" i="11"/>
  <c r="AU685" i="11"/>
  <c r="AU695" i="11"/>
  <c r="AU672" i="11"/>
  <c r="AU725" i="11"/>
  <c r="AU706" i="11"/>
  <c r="AU677" i="11"/>
  <c r="AU686" i="11"/>
  <c r="AU701" i="11"/>
  <c r="AU668" i="11"/>
  <c r="AU693" i="11"/>
  <c r="AU703" i="11"/>
  <c r="AU684" i="11"/>
  <c r="AU733" i="11"/>
  <c r="AU705" i="11"/>
  <c r="AU740" i="11"/>
  <c r="AU702" i="11"/>
  <c r="AU682" i="11"/>
  <c r="AU667" i="11"/>
  <c r="AU676" i="11"/>
  <c r="AU679" i="11"/>
  <c r="AU663" i="11"/>
  <c r="AU772" i="11"/>
  <c r="AU660" i="11"/>
  <c r="AU767" i="11"/>
  <c r="AU764" i="11"/>
  <c r="AU730" i="11"/>
  <c r="AU742" i="11"/>
  <c r="AU687" i="11"/>
  <c r="AU738" i="11"/>
  <c r="AU727" i="11"/>
  <c r="AU675" i="11"/>
  <c r="AU724" i="11"/>
  <c r="AU769" i="11"/>
  <c r="AU762" i="11"/>
  <c r="AU765" i="11"/>
  <c r="AU745" i="11"/>
  <c r="AU683" i="11"/>
  <c r="BT747" i="11"/>
  <c r="AU659" i="11"/>
  <c r="AU678" i="11"/>
  <c r="AU716" i="11"/>
  <c r="AU697" i="11"/>
  <c r="AU657" i="11"/>
  <c r="AU746" i="11"/>
  <c r="AU718" i="11"/>
  <c r="AU669" i="11"/>
  <c r="AU771" i="11"/>
  <c r="AU696" i="11"/>
  <c r="AU749" i="11"/>
  <c r="AU698" i="11"/>
  <c r="AU726" i="11"/>
  <c r="AU750" i="11"/>
  <c r="AU755" i="11"/>
  <c r="AU712" i="11"/>
  <c r="AU759" i="11"/>
  <c r="AU674" i="11"/>
  <c r="AU751" i="11"/>
  <c r="AU757" i="11"/>
  <c r="AU753" i="11"/>
  <c r="AU661" i="11"/>
  <c r="AU694" i="11"/>
  <c r="AU704" i="11"/>
  <c r="AU720" i="11"/>
  <c r="AU721" i="11"/>
  <c r="AU761" i="11"/>
  <c r="AU774" i="11"/>
  <c r="AU766" i="11"/>
  <c r="AU670" i="11"/>
  <c r="AU713" i="11"/>
  <c r="AU752" i="11"/>
  <c r="AU639" i="11"/>
  <c r="AU642" i="11"/>
  <c r="AU640" i="11"/>
  <c r="AU646" i="11"/>
  <c r="AU645" i="11"/>
  <c r="AU643" i="11"/>
  <c r="AU644" i="11"/>
  <c r="AU647" i="11"/>
  <c r="AU649" i="11"/>
  <c r="AU648" i="11"/>
  <c r="AU650" i="11"/>
  <c r="AU653" i="11"/>
  <c r="AU651" i="11"/>
  <c r="AU652" i="11"/>
  <c r="AU655" i="11"/>
  <c r="AU654" i="11"/>
  <c r="AU692" i="11"/>
  <c r="AU680" i="11"/>
  <c r="AU690" i="11"/>
  <c r="AU656" i="11"/>
  <c r="AU662" i="11"/>
  <c r="AU743" i="11"/>
  <c r="BE730" i="11"/>
  <c r="AU664" i="11"/>
  <c r="AU728" i="11"/>
  <c r="BT748" i="11" l="1"/>
  <c r="BE743" i="11"/>
  <c r="AU637" i="11"/>
  <c r="BT750" i="11" l="1"/>
  <c r="BE746" i="11"/>
  <c r="BE747" i="11" s="1"/>
  <c r="BE748" i="11" s="1"/>
  <c r="BE751" i="11" s="1"/>
  <c r="BE752" i="11" s="1"/>
  <c r="BE754" i="11" s="1"/>
  <c r="BE756" i="11" s="1"/>
  <c r="BE771" i="11" s="1"/>
  <c r="BB707" i="11" s="1"/>
  <c r="BT751" i="11" l="1"/>
  <c r="BB760" i="11"/>
  <c r="BB751" i="11"/>
  <c r="BB705" i="11"/>
  <c r="BB720" i="11"/>
  <c r="BB716" i="11"/>
  <c r="BB689" i="11"/>
  <c r="BB696" i="11"/>
  <c r="BB761" i="11"/>
  <c r="BB748" i="11"/>
  <c r="BB756" i="11"/>
  <c r="BB669" i="11"/>
  <c r="BB726" i="11"/>
  <c r="BB662" i="11"/>
  <c r="BB675" i="11"/>
  <c r="BB687" i="11"/>
  <c r="BB768" i="11"/>
  <c r="BB663" i="11"/>
  <c r="BB654" i="11"/>
  <c r="BB667" i="11"/>
  <c r="BB767" i="11"/>
  <c r="BB702" i="11"/>
  <c r="BB741" i="11"/>
  <c r="BB660" i="11"/>
  <c r="BB730" i="11"/>
  <c r="BB677" i="11"/>
  <c r="BB685" i="11"/>
  <c r="BB764" i="11"/>
  <c r="BB691" i="11"/>
  <c r="BB701" i="11"/>
  <c r="BB759" i="11"/>
  <c r="BB703" i="11"/>
  <c r="BB673" i="11"/>
  <c r="BB758" i="11"/>
  <c r="BB725" i="11"/>
  <c r="BB668" i="11"/>
  <c r="BB699" i="11"/>
  <c r="BB774" i="11"/>
  <c r="BB710" i="11"/>
  <c r="BB740" i="11"/>
  <c r="BB733" i="11"/>
  <c r="BB718" i="11"/>
  <c r="BB746" i="11"/>
  <c r="BB771" i="11"/>
  <c r="BB757" i="11"/>
  <c r="BB658" i="11"/>
  <c r="BB674" i="11"/>
  <c r="BB723" i="11"/>
  <c r="BB671" i="11"/>
  <c r="BB664" i="11"/>
  <c r="BB747" i="11"/>
  <c r="BB695" i="11"/>
  <c r="BB721" i="11"/>
  <c r="BB728" i="11"/>
  <c r="BB665" i="11"/>
  <c r="BB745" i="11"/>
  <c r="BB639" i="11"/>
  <c r="BB641" i="11"/>
  <c r="BB642" i="11"/>
  <c r="BB640" i="11"/>
  <c r="BB644" i="11"/>
  <c r="BB643" i="11"/>
  <c r="BB645" i="11"/>
  <c r="BB648" i="11"/>
  <c r="BB647" i="11"/>
  <c r="BB646" i="11"/>
  <c r="BB708" i="11"/>
  <c r="BB693" i="11"/>
  <c r="BB676" i="11"/>
  <c r="BB769" i="11"/>
  <c r="BB738" i="11"/>
  <c r="BB713" i="11"/>
  <c r="BB762" i="11"/>
  <c r="BB684" i="11"/>
  <c r="BB661" i="11"/>
  <c r="BB649" i="11"/>
  <c r="BB651" i="11"/>
  <c r="BB688" i="11"/>
  <c r="BB753" i="11"/>
  <c r="BB672" i="11"/>
  <c r="BB770" i="11"/>
  <c r="BB772" i="11"/>
  <c r="BB744" i="11"/>
  <c r="BB655" i="11"/>
  <c r="BB704" i="11"/>
  <c r="BB680" i="11"/>
  <c r="BB650" i="11"/>
  <c r="BB749" i="11"/>
  <c r="BB735" i="11"/>
  <c r="BB653" i="11"/>
  <c r="BB755" i="11"/>
  <c r="BB666" i="11"/>
  <c r="BB736" i="11"/>
  <c r="BB734" i="11"/>
  <c r="BB729" i="11"/>
  <c r="BB683" i="11"/>
  <c r="BB694" i="11"/>
  <c r="BB750" i="11"/>
  <c r="BB717" i="11"/>
  <c r="BB737" i="11"/>
  <c r="BB727" i="11"/>
  <c r="BB700" i="11"/>
  <c r="BB659" i="11"/>
  <c r="BB731" i="11"/>
  <c r="BB657" i="11"/>
  <c r="BB682" i="11"/>
  <c r="BB742" i="11"/>
  <c r="BB739" i="11"/>
  <c r="BB743" i="11"/>
  <c r="BB686" i="11"/>
  <c r="BB732" i="11"/>
  <c r="BB763" i="11"/>
  <c r="BB697" i="11"/>
  <c r="BB709" i="11"/>
  <c r="BB681" i="11"/>
  <c r="BB714" i="11"/>
  <c r="BB752" i="11"/>
  <c r="BB678" i="11"/>
  <c r="BB773" i="11"/>
  <c r="BB670" i="11"/>
  <c r="BB698" i="11"/>
  <c r="BB692" i="11"/>
  <c r="BB706" i="11"/>
  <c r="BB690" i="11"/>
  <c r="BB722" i="11"/>
  <c r="BB679" i="11"/>
  <c r="BB724" i="11"/>
  <c r="BB711" i="11"/>
  <c r="BB754" i="11"/>
  <c r="BB656" i="11"/>
  <c r="BB652" i="11"/>
  <c r="BB712" i="11"/>
  <c r="BB715" i="11"/>
  <c r="BB719" i="11"/>
  <c r="BB765" i="11"/>
  <c r="BB766" i="11"/>
  <c r="BT752" i="11" l="1"/>
  <c r="BB637" i="11"/>
  <c r="BT754" i="11" l="1"/>
  <c r="BT756" i="11" l="1"/>
  <c r="BT771" i="11" l="1"/>
  <c r="BQ667" i="11" s="1"/>
  <c r="BQ745" i="11" l="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BQ637"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<sst xmlns="http://schemas.openxmlformats.org/spreadsheetml/2006/main" count="26626" uniqueCount="10299">
  <si>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</si>
  <si>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</si>
  <si>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</si>
  <si>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</si>
  <si>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</si>
  <si>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</si>
  <si>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</si>
  <si>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</si>
  <si>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</si>
  <si>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</si>
  <si>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</si>
  <si>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</si>
  <si>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</si>
  <si>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</si>
  <si>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</si>
  <si>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</si>
  <si>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</si>
  <si>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</si>
  <si>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</si>
  <si>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</si>
  <si>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</si>
  <si>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</si>
  <si>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</si>
  <si>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</si>
  <si>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</si>
  <si>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</si>
  <si>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</si>
  <si>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</si>
  <si>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</si>
  <si>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</si>
  <si>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</si>
  <si>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</si>
  <si>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</si>
  <si>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</si>
  <si>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</si>
  <si>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</si>
  <si>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</si>
  <si>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</si>
  <si>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</si>
  <si>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</si>
  <si>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</si>
  <si>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</si>
  <si>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</si>
  <si>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</si>
  <si>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</si>
  <si>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</si>
  <si>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</si>
  <si>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</si>
  <si>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</si>
  <si>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</si>
  <si>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</si>
  <si>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</si>
  <si>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</si>
  <si>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</si>
  <si>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</si>
  <si>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</si>
  <si>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</si>
  <si>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</si>
  <si>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</si>
  <si>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</si>
  <si>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</si>
  <si>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</si>
  <si>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</si>
  <si>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</si>
  <si>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</si>
  <si>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</si>
  <si>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</si>
  <si>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</si>
  <si>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</si>
  <si>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</si>
  <si>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</si>
  <si>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</si>
  <si>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</si>
  <si>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</si>
  <si>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</si>
  <si>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</si>
  <si>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</si>
  <si>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</si>
  <si>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</si>
  <si>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</si>
  <si>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</si>
  <si>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</si>
  <si>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</si>
  <si>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</si>
  <si>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</si>
  <si>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</si>
  <si>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</si>
  <si>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</si>
  <si>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</si>
  <si>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</si>
  <si>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</si>
  <si>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</si>
  <si>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</si>
  <si>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</si>
  <si>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</si>
  <si>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</si>
  <si>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</si>
  <si>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</si>
  <si>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</si>
  <si>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</si>
  <si>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</si>
  <si>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</si>
  <si>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</si>
  <si>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</si>
  <si>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</si>
  <si>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</si>
  <si>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</si>
  <si>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</si>
  <si>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</si>
  <si>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</si>
  <si>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</si>
  <si>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</si>
  <si>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</si>
  <si>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</si>
  <si>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</si>
  <si>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</si>
  <si>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</si>
  <si>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</si>
  <si>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</si>
  <si>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</si>
  <si>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</si>
  <si>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</si>
  <si>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</si>
  <si>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</si>
  <si>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</si>
  <si>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</si>
  <si>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</si>
  <si>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</si>
  <si>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</si>
  <si>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</si>
  <si>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</si>
  <si>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</si>
  <si>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</si>
  <si>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</si>
  <si>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</si>
  <si>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</si>
  <si>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</si>
  <si>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</si>
  <si>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</si>
  <si>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</si>
  <si>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</si>
  <si>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</si>
  <si>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</si>
  <si>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</si>
  <si>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</si>
  <si>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</si>
  <si>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</si>
  <si>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</si>
  <si>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</si>
  <si>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</si>
  <si>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</si>
  <si>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</si>
  <si>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</si>
  <si>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</si>
  <si>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</si>
  <si>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</si>
  <si>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</si>
  <si>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</si>
  <si>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</si>
  <si>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</si>
  <si>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</si>
  <si>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</si>
  <si>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</si>
  <si>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</si>
  <si>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</si>
  <si>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</si>
  <si>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</si>
  <si>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</si>
  <si>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</si>
  <si>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</si>
  <si>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</si>
  <si>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</si>
  <si>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</si>
  <si>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</si>
  <si>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</si>
  <si>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</si>
  <si>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</si>
  <si>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</si>
  <si>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</si>
  <si>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</si>
  <si>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</si>
  <si>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</si>
  <si>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</si>
  <si>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</si>
  <si>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</si>
  <si>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</si>
  <si>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</si>
  <si>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</si>
  <si>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</si>
  <si>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</si>
  <si>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</si>
  <si>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</si>
  <si>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</si>
  <si>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</si>
  <si>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</si>
  <si>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</si>
  <si>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</si>
  <si>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</si>
  <si>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</si>
  <si>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</si>
  <si>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</si>
  <si>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</si>
  <si>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</si>
  <si>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</si>
  <si>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</si>
  <si>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</si>
  <si>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</si>
  <si>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</si>
  <si>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</si>
  <si>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</si>
  <si>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</si>
  <si>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</si>
  <si>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</si>
  <si>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</si>
  <si>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</si>
  <si>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</si>
  <si>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</si>
  <si>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</si>
  <si>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</si>
  <si>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</si>
  <si>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</si>
  <si>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</si>
  <si>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</si>
  <si>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</si>
  <si>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</si>
  <si>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</si>
  <si>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</si>
  <si>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</si>
  <si>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</si>
  <si>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</si>
  <si>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</si>
  <si>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</si>
  <si>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</si>
  <si>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</si>
  <si>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</si>
  <si>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</si>
  <si>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</si>
  <si>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</si>
  <si>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</si>
  <si>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</si>
  <si>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</si>
  <si>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</si>
  <si>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</si>
  <si>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</si>
  <si>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</si>
  <si>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</si>
  <si>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</si>
  <si>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</si>
  <si>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</si>
  <si>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</si>
  <si>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</si>
  <si>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</si>
  <si>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</si>
  <si>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</si>
  <si>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</si>
  <si>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</si>
  <si>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</si>
  <si>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</si>
  <si>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</si>
  <si>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</si>
  <si>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</si>
  <si>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</si>
  <si>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</si>
  <si>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</si>
  <si>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</si>
  <si>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</si>
  <si>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</si>
  <si>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</si>
  <si>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</si>
  <si>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</si>
  <si>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</si>
  <si>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</si>
  <si>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</si>
  <si>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</si>
  <si>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</si>
  <si>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</si>
  <si>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</si>
  <si>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</si>
  <si>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</si>
  <si>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</si>
  <si>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</si>
  <si>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</si>
  <si>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</si>
  <si>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</si>
  <si>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</si>
  <si>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</si>
  <si>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</si>
  <si>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</si>
  <si>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</si>
  <si>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</si>
  <si>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</si>
  <si>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</si>
  <si>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</si>
  <si>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</si>
  <si>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</si>
  <si>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</si>
  <si>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</si>
  <si>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</si>
  <si>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</si>
  <si>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</si>
  <si>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</si>
  <si>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</si>
  <si>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</si>
  <si>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</si>
  <si>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</si>
  <si>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</si>
  <si>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</si>
  <si>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</si>
  <si>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</si>
  <si>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</si>
  <si>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</si>
  <si>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</si>
  <si>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</si>
  <si>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</si>
  <si>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</si>
  <si>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</si>
  <si>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</si>
  <si>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</si>
  <si>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</si>
  <si>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</si>
  <si>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</si>
  <si>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</si>
  <si>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</si>
  <si>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</si>
  <si>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</si>
  <si>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</si>
  <si>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</si>
  <si>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</si>
  <si>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</si>
  <si>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</si>
  <si>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</si>
  <si>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</si>
  <si>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</si>
  <si>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</si>
  <si>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</si>
  <si>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</si>
  <si>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</si>
  <si>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</si>
  <si>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</si>
  <si>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</si>
  <si>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</si>
  <si>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</si>
  <si>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</si>
  <si>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</si>
  <si>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</si>
  <si>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</si>
  <si>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</si>
  <si>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</si>
  <si>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</si>
  <si>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</si>
  <si>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</si>
  <si>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</si>
  <si>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</si>
  <si>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</si>
  <si>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</si>
  <si>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</si>
  <si>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</si>
  <si>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</si>
  <si>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</si>
  <si>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</si>
  <si>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</si>
  <si>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</si>
  <si>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</si>
  <si>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</si>
  <si>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</si>
  <si>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</si>
  <si>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</si>
  <si>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</si>
  <si>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</si>
  <si>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</si>
  <si>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</si>
  <si>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</si>
  <si>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</si>
  <si>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</si>
  <si>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</si>
  <si>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</si>
  <si>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</si>
  <si>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</si>
  <si>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</si>
  <si>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</si>
  <si>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</si>
  <si>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</si>
  <si>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</si>
  <si>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</si>
  <si>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</si>
  <si>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</si>
  <si>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</si>
  <si>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</si>
  <si>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</si>
  <si>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</si>
  <si>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</si>
  <si>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</si>
  <si>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</si>
  <si>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</si>
  <si>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</si>
  <si>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</si>
  <si>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</si>
  <si>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</si>
  <si>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</si>
  <si>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</si>
  <si>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</si>
  <si>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</si>
  <si>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</si>
  <si>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</si>
  <si>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</si>
  <si>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</si>
  <si>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</si>
  <si>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</si>
  <si>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</si>
  <si>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</si>
  <si>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</si>
  <si>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</si>
  <si>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</si>
  <si>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</si>
  <si>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</si>
  <si>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</si>
  <si>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</si>
  <si>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</si>
  <si>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</si>
  <si>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</si>
  <si>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</si>
  <si>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</si>
  <si>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</si>
  <si>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</si>
  <si>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</si>
  <si>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</si>
  <si>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</si>
  <si>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</si>
  <si>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</si>
  <si>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</si>
  <si>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</si>
  <si>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</si>
  <si>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</si>
  <si>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</si>
  <si>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</si>
  <si>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</si>
  <si>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</si>
  <si>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</si>
  <si>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</si>
  <si>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</si>
  <si>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</si>
  <si>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</si>
  <si>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</si>
  <si>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</si>
  <si>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</si>
  <si>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</si>
  <si>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</si>
  <si>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</si>
  <si>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</si>
  <si>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</si>
  <si>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</si>
  <si>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</si>
  <si>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</si>
  <si>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</si>
  <si>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</si>
  <si>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</si>
  <si>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</si>
  <si>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</si>
  <si>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</si>
  <si>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</si>
  <si>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</si>
  <si>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</si>
  <si>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</si>
  <si>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</si>
  <si>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</si>
  <si>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</si>
  <si>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</si>
  <si>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</si>
  <si>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</si>
  <si>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</si>
  <si>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</si>
  <si>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</si>
  <si>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</si>
  <si>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</si>
  <si>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</si>
  <si>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</si>
  <si>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</si>
  <si>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</si>
  <si>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</si>
  <si>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</si>
  <si>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</si>
  <si>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</si>
  <si>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</si>
  <si>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</si>
  <si>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</si>
  <si>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</si>
  <si>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</si>
  <si>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</si>
  <si>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</si>
  <si>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</si>
  <si>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</si>
  <si>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</si>
  <si>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</si>
  <si>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</si>
  <si>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</si>
  <si>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</si>
  <si>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</si>
  <si>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</si>
  <si>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</si>
  <si>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</si>
  <si>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</si>
  <si>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</si>
  <si>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</si>
  <si>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</si>
  <si>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</si>
  <si>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</si>
  <si>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</si>
  <si>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</si>
  <si>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</si>
  <si>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</si>
  <si>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</si>
  <si>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</si>
  <si>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</si>
  <si>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</si>
  <si>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</si>
  <si>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</si>
  <si>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</si>
  <si>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</si>
  <si>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</si>
  <si>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</si>
  <si>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</si>
  <si>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</si>
  <si>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</si>
  <si>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</si>
  <si>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</si>
  <si>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</si>
  <si>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</si>
  <si>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</si>
  <si>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</si>
  <si>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</si>
  <si>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</si>
  <si>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</si>
  <si>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</si>
  <si>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</si>
  <si>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</si>
  <si>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</si>
  <si>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</si>
  <si>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</si>
  <si>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</si>
  <si>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</si>
  <si>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</si>
  <si>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</si>
  <si>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</si>
  <si>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</si>
  <si>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</si>
  <si>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</si>
  <si>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</si>
  <si>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</si>
  <si>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</si>
  <si>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</si>
  <si>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</si>
  <si>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</si>
  <si>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</si>
  <si>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</si>
  <si>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</si>
  <si>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</si>
  <si>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</si>
  <si>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</si>
  <si>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</si>
  <si>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</si>
  <si>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</si>
  <si>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</si>
  <si>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</si>
  <si>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</si>
  <si>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</si>
  <si>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</si>
  <si>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</si>
  <si>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</si>
  <si>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</si>
  <si>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</si>
  <si>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</si>
  <si>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</si>
  <si>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</si>
  <si>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</si>
  <si>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</si>
  <si>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</si>
  <si>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</si>
  <si>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</si>
  <si>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</si>
  <si>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</si>
  <si>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</si>
  <si>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</si>
  <si>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</si>
  <si>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</si>
  <si>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</si>
  <si>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</si>
  <si>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</si>
  <si>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</si>
  <si>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</si>
  <si>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</si>
  <si>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</si>
  <si>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</si>
  <si>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</si>
  <si>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</si>
  <si>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</si>
  <si>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</si>
  <si>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</si>
  <si>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</si>
  <si>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</si>
  <si>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</si>
  <si>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</si>
  <si>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</si>
  <si>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</si>
  <si>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</si>
  <si>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</si>
  <si>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</si>
  <si>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</si>
  <si>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</si>
  <si>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</si>
  <si>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</si>
  <si>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</si>
  <si>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</si>
  <si>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</si>
  <si>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</si>
  <si>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</si>
  <si>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</si>
  <si>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</si>
  <si>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</si>
  <si>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</si>
  <si>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</si>
  <si>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</si>
  <si>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</si>
  <si>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</si>
  <si>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</si>
  <si>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</si>
  <si>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</si>
  <si>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</si>
  <si>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</si>
  <si>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</si>
  <si>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</si>
  <si>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</si>
  <si>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</si>
  <si>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</si>
  <si>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</si>
  <si>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</si>
  <si>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</si>
  <si>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</si>
  <si>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</si>
  <si>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</si>
  <si>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</si>
  <si>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</si>
  <si>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</si>
  <si>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</si>
  <si>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</si>
  <si>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</si>
  <si>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</si>
  <si>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</si>
  <si>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</si>
  <si>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</si>
  <si>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</si>
  <si>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</si>
  <si>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</si>
  <si>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</si>
  <si>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</si>
  <si>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</si>
  <si>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</si>
  <si>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</si>
  <si>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</si>
  <si>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</si>
  <si>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</si>
  <si>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</si>
  <si>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</si>
  <si>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</si>
  <si>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</si>
  <si>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</si>
  <si>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</si>
  <si>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</si>
  <si>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</si>
  <si>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</si>
  <si>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</si>
  <si>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</si>
  <si>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</si>
  <si>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</si>
  <si>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</si>
  <si>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</si>
  <si>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</si>
  <si>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</si>
  <si>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</si>
  <si>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</si>
  <si>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</si>
  <si>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</si>
  <si>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</si>
  <si>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</si>
  <si>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</si>
  <si>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</si>
  <si>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</si>
  <si>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</si>
  <si>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</si>
  <si>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</si>
  <si>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</si>
  <si>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</si>
  <si>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</si>
  <si>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</si>
  <si>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</si>
  <si>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</si>
  <si>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</si>
  <si>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</si>
  <si>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</si>
  <si>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</si>
  <si>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</si>
  <si>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</si>
  <si>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</si>
  <si>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</si>
  <si>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</si>
  <si>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</si>
  <si>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</si>
  <si>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</si>
  <si>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</si>
  <si>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</si>
  <si>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</si>
  <si>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</si>
  <si>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</si>
  <si>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</si>
  <si>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</si>
  <si>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</si>
  <si>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</si>
  <si>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</si>
  <si>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</si>
  <si>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</si>
  <si>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</si>
  <si>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</si>
  <si>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</si>
  <si>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</si>
  <si>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</si>
  <si>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</si>
  <si>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</si>
  <si>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</si>
  <si>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</si>
  <si>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</si>
  <si>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</si>
  <si>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</si>
  <si>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</si>
  <si>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</si>
  <si>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</si>
  <si>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</si>
  <si>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</si>
  <si>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</si>
  <si>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</si>
  <si>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</si>
  <si>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</si>
  <si>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</si>
  <si>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</si>
  <si>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</si>
  <si>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</si>
  <si>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</si>
  <si>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</si>
  <si>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</si>
  <si>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</si>
  <si>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</si>
  <si>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</si>
  <si>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</si>
  <si>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</si>
  <si>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</si>
  <si>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</si>
  <si>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</si>
  <si>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</si>
  <si>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</si>
  <si>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</si>
  <si>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</si>
  <si>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</si>
  <si>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</si>
  <si>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</si>
  <si>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</si>
  <si>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</si>
  <si>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</si>
  <si>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</si>
  <si>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</si>
  <si>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</si>
  <si>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</si>
  <si>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</si>
  <si>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</si>
  <si>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</si>
  <si>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</si>
  <si>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</si>
  <si>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</si>
  <si>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</si>
  <si>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</si>
  <si>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</si>
  <si>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</si>
  <si>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</si>
  <si>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</si>
  <si>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</si>
  <si>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</si>
  <si>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</si>
  <si>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</si>
  <si>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</si>
  <si>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</si>
  <si>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</si>
  <si>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</si>
  <si>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</si>
  <si>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</si>
  <si>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</si>
  <si>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</si>
  <si>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</si>
  <si>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</si>
  <si>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</si>
  <si>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</si>
  <si>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</si>
  <si>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</si>
  <si>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</si>
  <si>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</si>
  <si>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</si>
  <si>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</si>
  <si>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</si>
  <si>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</si>
  <si>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</si>
  <si>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</si>
  <si>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</si>
  <si>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</si>
  <si>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</si>
  <si>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</si>
  <si>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</si>
  <si>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</si>
  <si>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</si>
  <si>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</si>
  <si>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</si>
  <si>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</si>
  <si>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</si>
  <si>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</si>
  <si>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</si>
  <si>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</si>
  <si>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</si>
  <si>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</si>
  <si>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</si>
  <si>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</si>
  <si>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</si>
  <si>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</si>
  <si>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</si>
  <si>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</si>
  <si>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</si>
  <si>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</si>
  <si>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</si>
  <si>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</si>
  <si>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</si>
  <si>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</si>
  <si>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</si>
  <si>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</si>
  <si>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</si>
  <si>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</si>
  <si>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</si>
  <si>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</si>
  <si>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</si>
  <si>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</si>
  <si>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</si>
  <si>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</si>
  <si>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</si>
  <si>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</si>
  <si>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</si>
  <si>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</si>
  <si>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</si>
  <si>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</si>
  <si>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</si>
  <si>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</si>
  <si>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</si>
  <si>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</si>
  <si>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</si>
  <si>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</si>
  <si>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</si>
  <si>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</si>
  <si>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</si>
  <si>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</si>
  <si>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</si>
  <si>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</si>
  <si>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</si>
  <si>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</si>
  <si>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</si>
  <si>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</si>
  <si>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</si>
  <si>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</si>
  <si>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</si>
  <si>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</si>
  <si>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</si>
  <si>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</si>
  <si>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</si>
  <si>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</si>
  <si>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</si>
  <si>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</si>
  <si>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</si>
  <si>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</si>
  <si>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</si>
  <si>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</si>
  <si>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</si>
  <si>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</si>
  <si>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</si>
  <si>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</si>
  <si>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</si>
  <si>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</si>
  <si>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</si>
  <si>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</si>
  <si>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</si>
  <si>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</si>
  <si>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</si>
  <si>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</si>
  <si>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</si>
  <si>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</si>
  <si>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</si>
  <si>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</si>
  <si>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</si>
  <si>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</si>
  <si>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</si>
  <si>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</si>
  <si>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</si>
  <si>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</si>
  <si>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</si>
  <si>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</si>
  <si>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</si>
  <si>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</si>
  <si>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</si>
  <si>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</si>
  <si>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</si>
  <si>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</si>
  <si>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</si>
  <si>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</si>
  <si>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</si>
  <si>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</si>
  <si>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</si>
  <si>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</si>
  <si>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</si>
  <si>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</si>
  <si>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</si>
  <si>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</si>
  <si>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</si>
  <si>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</si>
  <si>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</si>
  <si>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</si>
  <si>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</si>
  <si>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</si>
  <si>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</si>
  <si>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</si>
  <si>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</si>
  <si>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</si>
  <si>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</si>
  <si>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</si>
  <si>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</si>
  <si>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</si>
  <si>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</si>
  <si>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</si>
  <si>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</si>
  <si>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</si>
  <si>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</si>
  <si>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</si>
  <si>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</si>
  <si>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</si>
  <si>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</si>
  <si>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</si>
  <si>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</si>
  <si>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</si>
  <si>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</si>
  <si>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</si>
  <si>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</si>
  <si>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</si>
  <si>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</si>
  <si>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</si>
  <si>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</si>
  <si>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</si>
  <si>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</si>
  <si>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</si>
  <si>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</si>
  <si>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</si>
  <si>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</si>
  <si>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</si>
  <si>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</si>
  <si>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</si>
  <si>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</si>
  <si>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</si>
  <si>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</si>
  <si>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</si>
  <si>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</si>
  <si>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</si>
  <si>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</si>
  <si>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</si>
  <si>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</si>
  <si>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</si>
  <si>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</si>
  <si>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</si>
  <si>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</si>
  <si>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</si>
  <si>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</si>
  <si>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</si>
  <si>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</si>
  <si>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</si>
  <si>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</si>
  <si>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</si>
  <si>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</si>
  <si>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</si>
  <si>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</si>
  <si>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</si>
  <si>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</si>
  <si>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</si>
  <si>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</si>
  <si>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</si>
  <si>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</si>
  <si>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</si>
  <si>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</si>
  <si>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</si>
  <si>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</si>
  <si>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</si>
  <si>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</si>
  <si>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</si>
  <si>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</si>
  <si>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</si>
  <si>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</si>
  <si>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</si>
  <si>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</si>
  <si>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</si>
  <si>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</si>
  <si>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</si>
  <si>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</si>
  <si>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</si>
  <si>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</si>
  <si>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</si>
  <si>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</si>
  <si>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</si>
  <si>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</si>
  <si>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</si>
  <si>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</si>
  <si>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</si>
  <si>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</si>
  <si>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</si>
  <si>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</si>
  <si>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</si>
  <si>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</si>
  <si>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</si>
  <si>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</si>
  <si>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</si>
  <si>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</si>
  <si>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</si>
  <si>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</si>
  <si>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</si>
  <si>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</si>
  <si>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</si>
  <si>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</si>
  <si>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</si>
  <si>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</si>
  <si>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</si>
  <si>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</si>
  <si>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</si>
  <si>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</si>
  <si>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</si>
  <si>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</si>
  <si>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</si>
  <si>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</si>
  <si>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</si>
  <si>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</si>
  <si>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</si>
  <si>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</si>
  <si>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</si>
  <si>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</si>
  <si>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</si>
  <si>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</si>
  <si>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</si>
  <si>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</si>
  <si>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</si>
  <si>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</si>
  <si>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</si>
  <si>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</si>
  <si>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</si>
  <si>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</si>
  <si>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</si>
  <si>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</si>
  <si>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</si>
  <si>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</si>
  <si>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</si>
  <si>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</si>
  <si>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</si>
  <si>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</si>
  <si>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</si>
  <si>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</si>
  <si>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</si>
  <si>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</si>
  <si>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</si>
  <si>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</si>
  <si>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</si>
  <si>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</si>
  <si>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</si>
  <si>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</si>
  <si>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</si>
  <si>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</si>
  <si>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</si>
  <si>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</si>
  <si>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</si>
  <si>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</si>
  <si>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</si>
  <si>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</si>
  <si>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</si>
  <si>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</si>
  <si>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</si>
  <si>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</si>
  <si>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</si>
  <si>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</si>
  <si>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</si>
  <si>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</si>
  <si>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</si>
  <si>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</si>
  <si>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</si>
  <si>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</si>
  <si>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</si>
  <si>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</si>
  <si>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</si>
  <si>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</si>
  <si>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</si>
  <si>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</si>
  <si>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</si>
  <si>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</si>
  <si>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</si>
  <si>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</si>
  <si>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</si>
  <si>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</si>
  <si>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</si>
  <si>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</si>
  <si>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</si>
  <si>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</si>
  <si>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</si>
  <si>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</si>
  <si>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</si>
  <si>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</si>
  <si>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</si>
  <si>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</si>
  <si>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</si>
  <si>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</si>
  <si>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</si>
  <si>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</si>
  <si>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</si>
  <si>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</si>
  <si>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</si>
  <si>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</si>
  <si>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</si>
  <si>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</si>
  <si>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</si>
  <si>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</si>
  <si>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</si>
  <si>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</si>
  <si>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</si>
  <si>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</si>
  <si>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</si>
  <si>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</si>
  <si>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</si>
  <si>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</si>
  <si>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</si>
  <si>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</si>
  <si>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</si>
  <si>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</si>
  <si>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</si>
  <si>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</si>
  <si>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</si>
  <si>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</si>
  <si>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</si>
  <si>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</si>
  <si>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</si>
  <si>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</si>
  <si>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</si>
  <si>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</si>
  <si>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</si>
  <si>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</si>
  <si>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</si>
  <si>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</si>
  <si>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</si>
  <si>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</si>
  <si>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</si>
  <si>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</si>
  <si>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</si>
  <si>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</si>
  <si>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</si>
  <si>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</si>
  <si>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</si>
  <si>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</si>
  <si>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</si>
  <si>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</si>
  <si>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</si>
  <si>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</si>
  <si>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</si>
  <si>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</si>
  <si>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</si>
  <si>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</si>
  <si>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</si>
  <si>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</si>
  <si>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</si>
  <si>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</si>
  <si>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</si>
  <si>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</si>
  <si>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</si>
  <si>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</si>
  <si>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</si>
  <si>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</si>
  <si>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</si>
  <si>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</si>
  <si>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</si>
  <si>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</si>
  <si>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</si>
  <si>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</si>
  <si>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</si>
  <si>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</si>
  <si>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</si>
  <si>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</si>
  <si>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</si>
  <si>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</si>
  <si>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</si>
  <si>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</si>
  <si>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</si>
  <si>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</si>
  <si>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</si>
  <si>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</si>
  <si>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</si>
  <si>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</si>
  <si>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</si>
  <si>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</si>
  <si>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</si>
  <si>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</si>
  <si>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</si>
  <si>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</si>
  <si>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</si>
  <si>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</si>
  <si>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</si>
  <si>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</si>
  <si>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</si>
  <si>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</si>
  <si>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</si>
  <si>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</si>
  <si>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</si>
  <si>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</si>
  <si>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</si>
  <si>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</si>
  <si>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</si>
  <si>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</si>
  <si>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</si>
  <si>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</si>
  <si>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</si>
  <si>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</si>
  <si>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</si>
  <si>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</si>
  <si>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</si>
  <si>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</si>
  <si>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</si>
  <si>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</si>
  <si>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</si>
  <si>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</si>
  <si>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</si>
  <si>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</si>
  <si>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</si>
  <si>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</si>
  <si>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</si>
  <si>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</si>
  <si>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</si>
  <si>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</si>
  <si>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</si>
  <si>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</si>
  <si>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</si>
  <si>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</si>
  <si>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</si>
  <si>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</si>
  <si>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</si>
  <si>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</si>
  <si>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</si>
  <si>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</si>
  <si>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</si>
  <si>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</si>
  <si>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</si>
  <si>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</si>
  <si>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</si>
  <si>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</si>
  <si>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</si>
  <si>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</si>
  <si>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</si>
  <si>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</si>
  <si>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</si>
  <si>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</si>
  <si>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</si>
  <si>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</si>
  <si>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</si>
  <si>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</si>
  <si>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</si>
  <si>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</si>
  <si>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</si>
  <si>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</si>
  <si>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</si>
  <si>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</si>
  <si>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</si>
  <si>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</si>
  <si>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</si>
  <si>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</si>
  <si>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</si>
  <si>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</si>
  <si>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</si>
  <si>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</si>
  <si>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</si>
  <si>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</si>
  <si>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</si>
  <si>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</si>
  <si>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</si>
  <si>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</si>
  <si>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</si>
  <si>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</si>
  <si>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</si>
  <si>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</si>
  <si>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</si>
  <si>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</si>
  <si>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</si>
  <si>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</si>
  <si>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</si>
  <si>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</si>
  <si>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</si>
  <si>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</si>
  <si>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</si>
  <si>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</si>
  <si>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</si>
  <si>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</si>
  <si>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</si>
  <si>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</si>
  <si>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</si>
  <si>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</si>
  <si>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</si>
  <si>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</si>
  <si>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</si>
  <si>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</si>
  <si>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</si>
  <si>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</si>
  <si>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</si>
  <si>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</si>
  <si>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</si>
  <si>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</si>
  <si>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</si>
  <si>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</si>
  <si>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</si>
  <si>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</si>
  <si>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</si>
  <si>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</si>
  <si>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</si>
  <si>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</si>
  <si>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</si>
  <si>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</si>
  <si>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</si>
  <si>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</si>
  <si>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</si>
  <si>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</si>
  <si>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</si>
  <si>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</si>
  <si>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</si>
  <si>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</si>
  <si>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</si>
  <si>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</si>
  <si>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</si>
  <si>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</si>
  <si>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</si>
  <si>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</si>
  <si>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</si>
  <si>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</si>
  <si>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</si>
  <si>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</si>
  <si>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</si>
  <si>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</si>
  <si>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</si>
  <si>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</si>
  <si>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</si>
  <si>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</si>
  <si>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</si>
  <si>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</si>
  <si>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</si>
  <si>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</si>
  <si>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</si>
  <si>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</si>
  <si>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</si>
  <si>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</si>
  <si>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</si>
  <si>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</si>
  <si>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</si>
  <si>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</si>
  <si>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</si>
  <si>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</si>
  <si>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</si>
  <si>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</si>
  <si>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</si>
  <si>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</si>
  <si>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</si>
  <si>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</si>
  <si>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</si>
  <si>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</si>
  <si>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</si>
  <si>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</si>
  <si>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</si>
  <si>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</si>
  <si>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</si>
  <si>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</si>
  <si>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</si>
  <si>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</si>
  <si>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</si>
  <si>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</si>
  <si>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</si>
  <si>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</si>
  <si>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</si>
  <si>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</si>
  <si>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</si>
  <si>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</si>
  <si>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</si>
  <si>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</si>
  <si>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</si>
  <si>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</si>
  <si>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</si>
  <si>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</si>
  <si>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</si>
  <si>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</si>
  <si>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</si>
  <si>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</si>
  <si>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</si>
  <si>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</si>
  <si>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</si>
  <si>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</si>
  <si>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</si>
  <si>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</si>
  <si>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</si>
  <si>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</si>
  <si>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</si>
  <si>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</si>
  <si>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</si>
  <si>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</si>
  <si>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</si>
  <si>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</si>
  <si>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</si>
  <si>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</si>
  <si>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</si>
  <si>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</si>
  <si>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</si>
  <si>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</si>
  <si>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</si>
  <si>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</si>
  <si>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</si>
  <si>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</si>
  <si>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</si>
  <si>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</si>
  <si>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</si>
  <si>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</si>
  <si>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</si>
  <si>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</si>
  <si>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</si>
  <si>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</si>
  <si>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</si>
  <si>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</si>
  <si>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</si>
  <si>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</si>
  <si>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</si>
  <si>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</si>
  <si>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</si>
  <si>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</si>
  <si>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</si>
  <si>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</si>
  <si>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</si>
  <si>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</si>
  <si>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</si>
  <si>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</si>
  <si>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</si>
  <si>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</si>
  <si>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</si>
  <si>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</si>
  <si>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</si>
  <si>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</si>
  <si>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</si>
  <si>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</si>
  <si>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</si>
  <si>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</si>
  <si>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</si>
  <si>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</si>
  <si>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</si>
  <si>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</si>
  <si>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</si>
  <si>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</si>
  <si>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</si>
  <si>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</si>
  <si>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</si>
  <si>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</si>
  <si>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</si>
  <si>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</si>
  <si>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</si>
  <si>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</si>
  <si>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</si>
  <si>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</si>
  <si>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</si>
  <si>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</si>
  <si>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</si>
  <si>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</si>
  <si>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</si>
  <si>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</si>
  <si>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</si>
  <si>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</si>
  <si>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</si>
  <si>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</si>
  <si>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</si>
  <si>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</si>
  <si>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</si>
  <si>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</si>
  <si>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</si>
  <si>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</si>
  <si>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</si>
  <si>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</si>
  <si>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</si>
  <si>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</si>
  <si>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</si>
  <si>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</si>
  <si>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</si>
  <si>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</si>
  <si>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</si>
  <si>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</si>
  <si>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</si>
  <si>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</si>
  <si>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</si>
  <si>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</si>
  <si>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</si>
  <si>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</si>
  <si>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</si>
  <si>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</si>
  <si>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</si>
  <si>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</si>
  <si>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</si>
  <si>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</si>
  <si>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</si>
  <si>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</si>
  <si>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</si>
  <si>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</si>
  <si>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</si>
  <si>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</si>
  <si>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</si>
  <si>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</si>
  <si>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</si>
  <si>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</si>
  <si>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</si>
  <si>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</si>
  <si>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</si>
  <si>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</si>
  <si>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</si>
  <si>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</si>
  <si>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</si>
  <si>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</si>
  <si>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</si>
  <si>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</si>
  <si>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</si>
  <si>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</si>
  <si>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</si>
  <si>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</si>
  <si>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</si>
  <si>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</si>
  <si>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</si>
  <si>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</si>
  <si>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</si>
  <si>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</si>
  <si>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</si>
  <si>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</si>
  <si>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</si>
  <si>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</si>
  <si>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</si>
  <si>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</si>
  <si>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</si>
  <si>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</si>
  <si>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</si>
  <si>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</si>
  <si>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</si>
  <si>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</si>
  <si>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</si>
  <si>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</si>
  <si>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</si>
  <si>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</si>
  <si>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</si>
  <si>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</si>
  <si>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</si>
  <si>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</si>
  <si>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</si>
  <si>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</si>
  <si>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</si>
  <si>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</si>
  <si>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</si>
  <si>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</si>
  <si>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</si>
  <si>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</si>
  <si>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</si>
  <si>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</si>
  <si>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</si>
  <si>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</si>
  <si>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</si>
  <si>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</si>
  <si>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</si>
  <si>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</si>
  <si>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</si>
  <si>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</si>
  <si>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</si>
  <si>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</si>
  <si>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</si>
  <si>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</si>
  <si>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</si>
  <si>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</si>
  <si>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</si>
  <si>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</si>
  <si>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</si>
  <si>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</si>
  <si>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</si>
  <si>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</si>
  <si>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</si>
  <si>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</si>
  <si>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</si>
  <si>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</si>
  <si>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</si>
  <si>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</si>
  <si>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</si>
  <si>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</si>
  <si>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</si>
  <si>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</si>
  <si>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</si>
  <si>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</si>
  <si>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</si>
  <si>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</si>
  <si>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</si>
  <si>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</si>
  <si>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</si>
  <si>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</si>
  <si>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</si>
  <si>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</si>
  <si>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</si>
  <si>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</si>
  <si>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</si>
  <si>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</si>
  <si>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</si>
  <si>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</si>
  <si>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</si>
  <si>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</si>
  <si>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</si>
  <si>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</si>
  <si>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</si>
  <si>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</si>
  <si>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</si>
  <si>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</si>
  <si>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</si>
  <si>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</si>
  <si>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</si>
  <si>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</si>
  <si>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</si>
  <si>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</si>
  <si>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</si>
  <si>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</si>
  <si>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</si>
  <si>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</si>
  <si>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</si>
  <si>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</si>
  <si>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</si>
  <si>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</si>
  <si>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</si>
  <si>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</si>
  <si>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</si>
  <si>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</si>
  <si>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</si>
  <si>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</si>
  <si>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</si>
  <si>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</si>
  <si>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</si>
  <si>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</si>
  <si>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</si>
  <si>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</si>
  <si>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</si>
  <si>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</si>
  <si>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</si>
  <si>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</si>
  <si>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</si>
  <si>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</si>
  <si>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</si>
  <si>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</si>
  <si>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</si>
  <si>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</si>
  <si>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</si>
  <si>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</si>
  <si>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</si>
  <si>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</si>
  <si>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</si>
  <si>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</si>
  <si>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</si>
  <si>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</si>
  <si>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</si>
  <si>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</si>
  <si>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</si>
  <si>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</si>
  <si>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</si>
  <si>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</si>
  <si>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</si>
  <si>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</si>
  <si>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</si>
  <si>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</si>
  <si>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</si>
  <si>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</si>
  <si>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</si>
  <si>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</si>
  <si>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</si>
  <si>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</si>
  <si>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</si>
  <si>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</si>
  <si>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</si>
  <si>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</si>
  <si>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</si>
  <si>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</si>
  <si>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</si>
  <si>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</si>
  <si>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</si>
  <si>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</si>
  <si>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</si>
  <si>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</si>
  <si>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</si>
  <si>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</si>
  <si>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</si>
  <si>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</si>
  <si>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</si>
  <si>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</si>
  <si>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</si>
  <si>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</si>
  <si>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</si>
  <si>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</si>
  <si>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</si>
  <si>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</si>
  <si>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</si>
  <si>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</si>
  <si>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</si>
  <si>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</si>
  <si>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</si>
  <si>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</si>
  <si>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</si>
  <si>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</si>
  <si>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</si>
  <si>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</si>
  <si>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</si>
  <si>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</si>
  <si>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</si>
  <si>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</si>
  <si>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</si>
  <si>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</si>
  <si>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</si>
  <si>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</si>
  <si>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</si>
  <si>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</si>
  <si>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</si>
  <si>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</si>
  <si>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</si>
  <si>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</si>
  <si>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</si>
  <si>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</si>
  <si>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</si>
  <si>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</si>
  <si>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</si>
  <si>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</si>
  <si>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</si>
  <si>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</si>
  <si>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</si>
  <si>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</si>
  <si>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</si>
  <si>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</si>
  <si>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</si>
  <si>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</si>
  <si>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</si>
  <si>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</si>
  <si>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</si>
  <si>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</si>
  <si>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</si>
  <si>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</si>
  <si>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</si>
  <si>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</si>
  <si>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</si>
  <si>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</si>
  <si>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</si>
  <si>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</si>
  <si>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</si>
  <si>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</si>
  <si>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</si>
  <si>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</si>
  <si>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</si>
  <si>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</si>
  <si>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</si>
  <si>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</si>
  <si>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</si>
  <si>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</si>
  <si>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</si>
  <si>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</si>
  <si>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</si>
  <si>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</si>
  <si>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</si>
  <si>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</si>
  <si>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</si>
  <si>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</si>
  <si>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</si>
  <si>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</si>
  <si>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</si>
  <si>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</si>
  <si>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</si>
  <si>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</si>
  <si>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</si>
  <si>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</si>
  <si>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</si>
  <si>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</si>
  <si>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</si>
  <si>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</si>
  <si>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</si>
  <si>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</si>
  <si>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</si>
  <si>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</si>
  <si>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</si>
  <si>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</si>
  <si>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</si>
  <si>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</si>
  <si>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</si>
  <si>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</si>
  <si>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</si>
  <si>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</si>
  <si>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</si>
  <si>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</si>
  <si>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</si>
  <si>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</si>
  <si>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</si>
  <si>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</si>
  <si>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</si>
  <si>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</si>
  <si>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</si>
  <si>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</si>
  <si>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</si>
  <si>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</si>
  <si>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</si>
  <si>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</si>
  <si>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</si>
  <si>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</si>
  <si>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</si>
  <si>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</si>
  <si>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</si>
  <si>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</si>
  <si>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</si>
  <si>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</si>
  <si>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</si>
  <si>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</si>
  <si>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</si>
  <si>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</si>
  <si>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</si>
  <si>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</si>
  <si>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</si>
  <si>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</si>
  <si>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</si>
  <si>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</si>
  <si>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</si>
  <si>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</si>
  <si>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</si>
  <si>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</si>
  <si>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</si>
  <si>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</si>
  <si>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</si>
  <si>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</si>
  <si>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</si>
  <si>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</si>
  <si>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</si>
  <si>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</si>
  <si>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</si>
  <si>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</si>
  <si>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</si>
  <si>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</si>
  <si>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</si>
  <si>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</si>
  <si>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</si>
  <si>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</si>
  <si>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</si>
  <si>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</si>
  <si>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</si>
  <si>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</si>
  <si>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</si>
  <si>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</si>
  <si>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</si>
  <si>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</si>
  <si>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</si>
  <si>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</si>
  <si>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</si>
  <si>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</si>
  <si>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</si>
  <si>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</si>
  <si>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</si>
  <si>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</si>
  <si>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</si>
  <si>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</si>
  <si>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</si>
  <si>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</si>
  <si>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</si>
  <si>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</si>
  <si>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</si>
  <si>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</si>
  <si>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</si>
  <si>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</si>
  <si>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</si>
  <si>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</si>
  <si>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</si>
  <si>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</si>
  <si>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</si>
  <si>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</si>
  <si>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</si>
  <si>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</si>
  <si>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</si>
  <si>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</si>
  <si>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</si>
  <si>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</si>
  <si>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</si>
  <si>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</si>
  <si>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</si>
  <si>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</si>
  <si>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</si>
  <si>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</si>
  <si>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</si>
  <si>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</si>
  <si>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</si>
  <si>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</si>
  <si>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</si>
  <si>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</si>
  <si>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</si>
  <si>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</si>
  <si>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</si>
  <si>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</si>
  <si>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</si>
  <si>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</si>
  <si>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</si>
  <si>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</si>
  <si>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</si>
  <si>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</si>
  <si>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</si>
  <si>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</si>
  <si>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</si>
  <si>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</si>
  <si>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</si>
  <si>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</si>
  <si>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</si>
  <si>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</si>
  <si>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</si>
  <si>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</si>
  <si>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</si>
  <si>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</si>
  <si>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</si>
  <si>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</si>
  <si>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</si>
  <si>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</si>
  <si>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</si>
  <si>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</si>
  <si>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</si>
  <si>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</si>
  <si>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</si>
  <si>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</si>
  <si>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</si>
  <si>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</si>
  <si>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</si>
  <si>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</si>
  <si>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</si>
  <si>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</si>
  <si>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</si>
  <si>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</si>
  <si>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</si>
  <si>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</si>
  <si>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</si>
  <si>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</si>
  <si>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</si>
  <si>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</si>
  <si>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</si>
  <si>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</si>
  <si>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</si>
  <si>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</si>
  <si>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</si>
  <si>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</si>
  <si>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</si>
  <si>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</si>
  <si>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</si>
  <si>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</si>
  <si>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</si>
  <si>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</si>
  <si>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</si>
  <si>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</si>
  <si>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</si>
  <si>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</si>
  <si>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</si>
  <si>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</si>
  <si>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</si>
  <si>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</si>
  <si>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</si>
  <si>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</si>
  <si>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</si>
  <si>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</si>
  <si>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</si>
  <si>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</si>
  <si>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</si>
  <si>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</si>
  <si>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</si>
  <si>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</si>
  <si>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</si>
  <si>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</si>
  <si>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</si>
  <si>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</si>
  <si>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</si>
  <si>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</si>
  <si>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</si>
  <si>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</si>
  <si>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</si>
  <si>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</si>
  <si>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</si>
  <si>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</si>
  <si>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</si>
  <si>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</si>
  <si>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</si>
  <si>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</si>
  <si>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</si>
  <si>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</si>
  <si>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</si>
  <si>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</si>
  <si>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</si>
  <si>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</si>
  <si>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</si>
  <si>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</si>
  <si>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</si>
  <si>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</si>
  <si>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</si>
  <si>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</si>
  <si>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</si>
  <si>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</si>
  <si>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</si>
  <si>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</si>
  <si>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</si>
  <si>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</si>
  <si>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</si>
  <si>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</si>
  <si>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</si>
  <si>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</si>
  <si>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</si>
  <si>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</si>
  <si>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</si>
  <si>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</si>
  <si>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</si>
  <si>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</si>
  <si>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</si>
  <si>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</si>
  <si>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</si>
  <si>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</si>
  <si>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</si>
  <si>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</si>
  <si>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</si>
  <si>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</si>
  <si>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</si>
  <si>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</si>
  <si>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</si>
  <si>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</si>
  <si>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</si>
  <si>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</si>
  <si>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</si>
  <si>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</si>
  <si>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</si>
  <si>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</si>
  <si>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</si>
  <si>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</si>
  <si>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</si>
  <si>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</si>
  <si>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</si>
  <si>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</si>
  <si>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</si>
  <si>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</si>
  <si>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</si>
  <si>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</si>
  <si>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</si>
  <si>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</si>
  <si>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</si>
  <si>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</si>
  <si>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</si>
  <si>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</si>
  <si>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</si>
  <si>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</si>
  <si>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</si>
  <si>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</si>
  <si>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</si>
  <si>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</si>
  <si>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</si>
  <si>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</si>
  <si>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</si>
  <si>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</si>
  <si>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</si>
  <si>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</si>
  <si>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</si>
  <si>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</si>
  <si>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</si>
  <si>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</si>
  <si>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</si>
  <si>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</si>
  <si>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</si>
  <si>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</si>
  <si>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</si>
  <si>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</si>
  <si>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</si>
  <si>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</si>
  <si>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</si>
  <si>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</si>
  <si>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</si>
  <si>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</si>
  <si>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</si>
  <si>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</si>
  <si>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</si>
  <si>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</si>
  <si>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</si>
  <si>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</si>
  <si>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</si>
  <si>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</si>
  <si>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</si>
  <si>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</si>
  <si>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</si>
  <si>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</si>
  <si>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</si>
  <si>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</si>
  <si>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</si>
  <si>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</si>
  <si>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</si>
  <si>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</si>
  <si>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</si>
  <si>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</si>
  <si>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</si>
  <si>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</si>
  <si>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</si>
  <si>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</si>
  <si>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</si>
  <si>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</si>
  <si>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</si>
  <si>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</si>
  <si>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</si>
  <si>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</si>
  <si>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</si>
  <si>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</si>
  <si>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</si>
  <si>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</si>
  <si>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</si>
  <si>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</si>
  <si>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</si>
  <si>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</si>
  <si>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</si>
  <si>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</si>
  <si>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</si>
  <si>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</si>
  <si>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</si>
  <si>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</si>
  <si>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</si>
  <si>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</si>
  <si>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</si>
  <si>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</si>
  <si>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</si>
  <si>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</si>
  <si>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</si>
  <si>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</si>
  <si>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</si>
  <si>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</si>
  <si>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</si>
  <si>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</si>
  <si>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</si>
  <si>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</si>
  <si>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</si>
  <si>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</si>
  <si>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</si>
  <si>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</si>
  <si>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</si>
  <si>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</si>
  <si>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</si>
  <si>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</si>
  <si>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</si>
  <si>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</si>
  <si>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</si>
  <si>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</si>
  <si>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</si>
  <si>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</si>
  <si>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</si>
  <si>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</si>
  <si>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</si>
  <si>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</si>
  <si>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</si>
  <si>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</si>
  <si>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</si>
  <si>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</si>
  <si>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</si>
  <si>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</si>
  <si>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</si>
  <si>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</si>
  <si>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</si>
  <si>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</si>
  <si>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</si>
  <si>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</si>
  <si>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</si>
  <si>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</si>
  <si>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</si>
  <si>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</si>
  <si>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</si>
  <si>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</si>
  <si>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</si>
  <si>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</si>
  <si>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</si>
  <si>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</si>
  <si>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</si>
  <si>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</si>
  <si>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</si>
  <si>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</si>
  <si>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</si>
  <si>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</si>
  <si>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</si>
  <si>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</si>
  <si>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</si>
  <si>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</si>
  <si>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</si>
  <si>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</si>
  <si>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</si>
  <si>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</si>
  <si>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</si>
  <si>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</si>
  <si>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</si>
  <si>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</si>
  <si>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</si>
  <si>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</si>
  <si>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</si>
  <si>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</si>
  <si>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</si>
  <si>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</si>
  <si>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</si>
  <si>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</si>
  <si>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</si>
  <si>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</si>
  <si>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</si>
  <si>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</si>
  <si>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</si>
  <si>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</si>
  <si>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</si>
  <si>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</si>
  <si>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</si>
  <si>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</si>
  <si>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</si>
  <si>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</si>
  <si>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</si>
  <si>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</si>
  <si>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</si>
  <si>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</si>
  <si>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</si>
  <si>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</si>
  <si>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</si>
  <si>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</si>
  <si>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</si>
  <si>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</si>
  <si>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</si>
  <si>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</si>
  <si>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</si>
  <si>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</si>
  <si>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</si>
  <si>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</si>
  <si>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</si>
  <si>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</si>
  <si>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</si>
  <si>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</si>
  <si>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</si>
  <si>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</si>
  <si>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</si>
  <si>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</si>
  <si>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</si>
  <si>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</si>
  <si>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</si>
  <si>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</si>
  <si>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</si>
  <si>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</si>
  <si>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</si>
  <si>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</si>
  <si>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</si>
  <si>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</si>
  <si>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</si>
  <si>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</si>
  <si>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</si>
  <si>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</si>
  <si>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</si>
  <si>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</si>
  <si>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</si>
  <si>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</si>
  <si>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</si>
  <si>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</si>
  <si>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</si>
  <si>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</si>
  <si>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</si>
  <si>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</si>
  <si>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</si>
  <si>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</si>
  <si>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</si>
  <si>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</si>
  <si>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</si>
  <si>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</si>
  <si>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</si>
  <si>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</si>
  <si>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</si>
  <si>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</si>
  <si>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</si>
  <si>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</si>
  <si>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</si>
  <si>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</si>
  <si>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</si>
  <si>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</si>
  <si>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</si>
  <si>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</si>
  <si>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</si>
  <si>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</si>
  <si>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</si>
  <si>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</si>
  <si>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</si>
  <si>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</si>
  <si>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</si>
  <si>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</si>
  <si>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</si>
  <si>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</si>
  <si>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</si>
  <si>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</si>
  <si>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</si>
  <si>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</si>
  <si>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</si>
  <si>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</si>
  <si>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</si>
  <si>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</si>
  <si>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</si>
  <si>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</si>
  <si>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</si>
  <si>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</si>
  <si>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</si>
  <si>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</si>
  <si>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</si>
  <si>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</si>
  <si>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</si>
  <si>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</si>
  <si>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</si>
  <si>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</si>
  <si>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</si>
  <si>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</si>
  <si>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</si>
  <si>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</si>
  <si>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</si>
  <si>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</si>
  <si>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</si>
  <si>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</si>
  <si>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</si>
  <si>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</si>
  <si>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</si>
  <si>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</si>
  <si>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</si>
  <si>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</si>
  <si>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</si>
  <si>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</si>
  <si>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</si>
  <si>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</si>
  <si>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</si>
  <si>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</si>
  <si>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</si>
  <si>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</si>
  <si>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</si>
  <si>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</si>
  <si>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</si>
  <si>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</si>
  <si>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</si>
  <si>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</si>
  <si>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</si>
  <si>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</si>
  <si>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</si>
  <si>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</si>
  <si>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</si>
  <si>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</si>
  <si>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</si>
  <si>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</si>
  <si>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</si>
  <si>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</si>
  <si>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</si>
  <si>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</si>
  <si>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</si>
  <si>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</si>
  <si>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</si>
  <si>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</si>
  <si>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</si>
  <si>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</si>
  <si>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</si>
  <si>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</si>
  <si>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</si>
  <si>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</si>
  <si>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</si>
  <si>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</si>
  <si>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</si>
  <si>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</si>
  <si>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</si>
  <si>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</si>
  <si>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</si>
  <si>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</si>
  <si>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</si>
  <si>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</si>
  <si>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</si>
  <si>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</si>
  <si>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</si>
  <si>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</si>
  <si>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</si>
  <si>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</si>
  <si>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</si>
  <si>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</si>
  <si>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</si>
  <si>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</si>
  <si>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</si>
  <si>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</si>
  <si>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</si>
  <si>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</si>
  <si>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</si>
  <si>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</si>
  <si>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</si>
  <si>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</si>
  <si>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</si>
  <si>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</si>
  <si>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</si>
  <si>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</si>
  <si>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</si>
  <si>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</si>
  <si>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</si>
  <si>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</si>
  <si>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</si>
  <si>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</si>
  <si>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</si>
  <si>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</si>
  <si>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</si>
  <si>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</si>
  <si>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</si>
  <si>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</si>
  <si>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</si>
  <si>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</si>
  <si>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</si>
  <si>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</si>
  <si>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</si>
  <si>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</si>
  <si>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</si>
  <si>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</si>
  <si>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</si>
  <si>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</si>
  <si>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</si>
  <si>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</si>
  <si>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</si>
  <si>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</si>
  <si>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</si>
  <si>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</si>
  <si>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</si>
  <si>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</si>
  <si>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</si>
  <si>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</si>
  <si>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</si>
  <si>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</si>
  <si>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</si>
  <si>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</si>
  <si>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</si>
  <si>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</si>
  <si>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</si>
  <si>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</si>
  <si>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</si>
  <si>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</si>
  <si>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</si>
  <si>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</si>
  <si>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</si>
  <si>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</si>
  <si>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</si>
  <si>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</si>
  <si>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</si>
  <si>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</si>
  <si>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</si>
  <si>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</si>
  <si>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</si>
  <si>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</si>
  <si>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</si>
  <si>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</si>
  <si>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</si>
  <si>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</si>
  <si>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</si>
  <si>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</si>
  <si>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</si>
  <si>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</si>
  <si>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</si>
  <si>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</si>
  <si>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</si>
  <si>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</si>
  <si>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</si>
  <si>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</si>
  <si>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</si>
  <si>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</si>
  <si>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</si>
  <si>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</si>
  <si>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</si>
  <si>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</si>
  <si>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</si>
  <si>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</si>
  <si>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</si>
  <si>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</si>
  <si>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</si>
  <si>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</si>
  <si>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</si>
  <si>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</si>
  <si>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</si>
  <si>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</si>
  <si>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</si>
  <si>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</si>
  <si>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</si>
  <si>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</si>
  <si>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</si>
  <si>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</si>
  <si>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</si>
  <si>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</si>
  <si>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</si>
  <si>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</si>
  <si>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</si>
  <si>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</si>
  <si>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</si>
  <si>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</si>
  <si>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</si>
  <si>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</si>
  <si>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</si>
  <si>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</si>
  <si>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</si>
  <si>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</si>
  <si>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</si>
  <si>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</si>
  <si>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</si>
  <si>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</si>
  <si>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</si>
  <si>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</si>
  <si>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</si>
  <si>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</si>
  <si>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</si>
  <si>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</si>
  <si>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</si>
  <si>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</si>
  <si>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</si>
  <si>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</si>
  <si>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</si>
  <si>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</si>
  <si>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</si>
  <si>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</si>
  <si>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</si>
  <si>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</si>
  <si>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</si>
  <si>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</si>
  <si>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</si>
  <si>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</si>
  <si>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</si>
  <si>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</si>
  <si>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</si>
  <si>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</si>
  <si>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</si>
  <si>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</si>
  <si>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</si>
  <si>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</si>
  <si>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</si>
  <si>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</si>
  <si>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</si>
  <si>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</si>
  <si>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</si>
  <si>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</si>
  <si>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</si>
  <si>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</si>
  <si>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</si>
  <si>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</si>
  <si>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</si>
  <si>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</si>
  <si>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</si>
  <si>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</si>
  <si>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</si>
  <si>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</si>
  <si>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</si>
  <si>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</si>
  <si>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</si>
  <si>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</si>
  <si>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</si>
  <si>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</si>
  <si>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</si>
  <si>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</si>
  <si>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</si>
  <si>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</si>
  <si>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</si>
  <si>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</si>
  <si>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</si>
  <si>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</si>
  <si>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</si>
  <si>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</si>
  <si>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</si>
  <si>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</si>
  <si>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</si>
  <si>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</si>
  <si>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</si>
  <si>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</si>
  <si>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</si>
  <si>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</si>
  <si>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</si>
  <si>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</si>
  <si>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</si>
  <si>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</si>
  <si>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</si>
  <si>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</si>
  <si>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</si>
  <si>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</si>
  <si>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</si>
  <si>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</si>
  <si>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</si>
  <si>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</si>
  <si>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</si>
  <si>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</si>
  <si>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</si>
  <si>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</si>
  <si>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</si>
  <si>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</si>
  <si>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</si>
  <si>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</si>
  <si>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</si>
  <si>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</si>
  <si>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</si>
  <si>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</si>
  <si>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</si>
  <si>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</si>
  <si>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</si>
  <si>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</si>
  <si>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</si>
  <si>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</si>
  <si>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</si>
  <si>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</si>
  <si>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</si>
  <si>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</si>
  <si>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</si>
  <si>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</si>
  <si>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</si>
  <si>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</si>
  <si>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</si>
  <si>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</si>
  <si>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</si>
  <si>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</si>
  <si>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</si>
  <si>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</si>
  <si>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</si>
  <si>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</si>
  <si>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</si>
  <si>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</si>
  <si>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</si>
  <si>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</si>
  <si>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</si>
  <si>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</si>
  <si>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</si>
  <si>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</si>
  <si>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</si>
  <si>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</si>
  <si>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</si>
  <si>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</si>
  <si>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</si>
  <si>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</si>
  <si>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</si>
  <si>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</si>
  <si>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</si>
  <si>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</si>
  <si>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</si>
  <si>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</si>
  <si>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</si>
  <si>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</si>
  <si>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</si>
  <si>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</si>
  <si>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</si>
  <si>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</si>
  <si>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</si>
  <si>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</si>
  <si>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</si>
  <si>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</si>
  <si>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</si>
  <si>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</si>
  <si>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</si>
  <si>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</si>
  <si>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</si>
  <si>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</si>
  <si>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</si>
  <si>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</si>
  <si>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</si>
  <si>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</si>
  <si>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</si>
  <si>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</si>
  <si>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</si>
  <si>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</si>
  <si>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</si>
  <si>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</si>
  <si>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</si>
  <si>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</si>
  <si>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</si>
  <si>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</si>
  <si>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</si>
  <si>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</si>
  <si>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</si>
  <si>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</si>
  <si>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</si>
  <si>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</si>
  <si>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</si>
  <si>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</si>
  <si>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</si>
  <si>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</si>
  <si>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</si>
  <si>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</si>
  <si>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</si>
  <si>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</si>
  <si>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</si>
  <si>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</si>
  <si>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</si>
  <si>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</si>
  <si>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</si>
  <si>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</si>
  <si>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</si>
  <si>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</si>
  <si>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</si>
  <si>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</si>
  <si>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</si>
  <si>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</si>
  <si>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</si>
  <si>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</si>
  <si>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</si>
  <si>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</si>
  <si>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</si>
  <si>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</si>
  <si>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</si>
  <si>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</si>
  <si>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</si>
  <si>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</si>
  <si>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</si>
  <si>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</si>
  <si>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</si>
  <si>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</si>
  <si>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</si>
  <si>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</si>
  <si>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</si>
  <si>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</si>
  <si>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</si>
  <si>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</si>
  <si>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</si>
  <si>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</si>
  <si>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</si>
  <si>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</si>
  <si>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</si>
  <si>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</si>
  <si>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</si>
  <si>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</si>
  <si>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</si>
  <si>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</si>
  <si>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</si>
  <si>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</si>
  <si>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</si>
  <si>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</si>
  <si>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</si>
  <si>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</si>
  <si>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</si>
  <si>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</si>
  <si>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</si>
  <si>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</si>
  <si>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</si>
  <si>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</si>
  <si>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</si>
  <si>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</si>
  <si>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</si>
  <si>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</si>
  <si>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</si>
  <si>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</si>
  <si>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</si>
  <si>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</si>
  <si>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</si>
  <si>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</si>
  <si>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</si>
  <si>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</si>
  <si>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</si>
  <si>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</si>
  <si>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</si>
  <si>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</si>
  <si>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</si>
  <si>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</si>
  <si>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</si>
  <si>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</si>
  <si>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</si>
  <si>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</si>
  <si>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</si>
  <si>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</si>
  <si>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</si>
  <si>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</si>
  <si>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</si>
  <si>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</si>
  <si>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</si>
  <si>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</si>
  <si>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</si>
  <si>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</si>
  <si>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</si>
  <si>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</si>
  <si>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</si>
  <si>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</si>
  <si>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</si>
  <si>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</si>
  <si>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</si>
  <si>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</si>
  <si>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</si>
  <si>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</si>
  <si>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</si>
  <si>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</si>
  <si>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</si>
  <si>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</si>
  <si>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</si>
  <si>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</si>
  <si>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</si>
  <si>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</si>
  <si>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</si>
  <si>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</si>
  <si>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</si>
  <si>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</si>
  <si>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</si>
  <si>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</si>
  <si>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</si>
  <si>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</si>
  <si>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</si>
  <si>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</si>
  <si>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</si>
  <si>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</si>
  <si>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</si>
  <si>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</si>
  <si>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</si>
  <si>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</si>
  <si>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</si>
  <si>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</si>
  <si>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</si>
  <si>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</si>
  <si>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</si>
  <si>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</si>
  <si>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</si>
  <si>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</si>
  <si>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</si>
  <si>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</si>
  <si>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</si>
  <si>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</si>
  <si>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</si>
  <si>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</si>
  <si>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</si>
  <si>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</si>
  <si>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</si>
  <si>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</si>
  <si>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</si>
  <si>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</si>
  <si>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</si>
  <si>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</si>
  <si>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</si>
  <si>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</si>
  <si>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</si>
  <si>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</si>
  <si>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</si>
  <si>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</si>
  <si>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</si>
  <si>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</si>
  <si>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</si>
  <si>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</si>
  <si>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</si>
  <si>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</si>
  <si>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</si>
  <si>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</si>
  <si>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</si>
  <si>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</si>
  <si>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</si>
  <si>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</si>
  <si>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</si>
  <si>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</si>
  <si>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</si>
  <si>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</si>
  <si>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</si>
  <si>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</si>
  <si>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</si>
  <si>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</si>
  <si>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</si>
  <si>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</si>
  <si>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</si>
  <si>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</si>
  <si>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</si>
  <si>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</si>
  <si>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</si>
  <si>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</si>
  <si>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</si>
  <si>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</si>
  <si>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</si>
  <si>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</si>
  <si>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</si>
  <si>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</si>
  <si>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</si>
  <si>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</si>
  <si>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</si>
  <si>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</si>
  <si>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</si>
  <si>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</si>
  <si>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</si>
  <si>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</si>
  <si>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</si>
  <si>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</si>
  <si>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</si>
  <si>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</si>
  <si>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</si>
  <si>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</si>
  <si>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</si>
  <si>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</si>
  <si>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</si>
  <si>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</si>
  <si>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</si>
  <si>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</si>
  <si>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</si>
  <si>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</si>
  <si>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</si>
  <si>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</si>
  <si>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</si>
  <si>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</si>
  <si>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</si>
  <si>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</si>
  <si>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</si>
  <si>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</si>
  <si>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</si>
  <si>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</si>
  <si>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</si>
  <si>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</si>
  <si>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</si>
  <si>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</si>
  <si>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</si>
  <si>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</si>
  <si>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</si>
  <si>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</si>
  <si>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</si>
  <si>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</si>
  <si>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</si>
  <si>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</si>
  <si>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</si>
  <si>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</si>
  <si>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</si>
  <si>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</si>
  <si>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</si>
  <si>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</si>
  <si>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</si>
  <si>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</si>
  <si>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</si>
  <si>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</si>
  <si>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</si>
  <si>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</si>
  <si>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</si>
  <si>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</si>
  <si>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</si>
  <si>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</si>
  <si>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</si>
  <si>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</si>
  <si>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</si>
  <si>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</si>
  <si>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</si>
  <si>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</si>
  <si>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</si>
  <si>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</si>
  <si>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</si>
  <si>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</si>
  <si>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</si>
  <si>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</si>
  <si>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</si>
  <si>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</si>
  <si>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</si>
  <si>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</si>
  <si>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</si>
  <si>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</si>
  <si>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</si>
  <si>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</si>
  <si>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</si>
  <si>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</si>
  <si>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</si>
  <si>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</si>
  <si>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</si>
  <si>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</si>
  <si>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</si>
  <si>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</si>
  <si>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</si>
  <si>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</si>
  <si>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</si>
  <si>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</si>
  <si>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</si>
  <si>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</si>
  <si>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</si>
  <si>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</si>
  <si>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</si>
  <si>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</si>
  <si>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</si>
  <si>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</si>
  <si>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</si>
  <si>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</si>
  <si>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</si>
  <si>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</si>
  <si>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</si>
  <si>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</si>
  <si>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</si>
  <si>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</si>
  <si>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</si>
  <si>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</si>
  <si>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</si>
  <si>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</si>
  <si>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</si>
  <si>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</si>
  <si>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</si>
  <si>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</si>
  <si>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</si>
  <si>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</si>
  <si>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</si>
  <si>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</si>
  <si>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</si>
  <si>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</si>
  <si>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</si>
  <si>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</si>
  <si>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</si>
  <si>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</si>
  <si>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</si>
  <si>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</si>
  <si>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</si>
  <si>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</si>
  <si>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</si>
  <si>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</si>
  <si>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</si>
  <si>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</si>
  <si>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</si>
  <si>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</si>
  <si>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</si>
  <si>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</si>
  <si>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</si>
  <si>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</si>
  <si>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</si>
  <si>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</si>
  <si>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</si>
  <si>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</si>
  <si>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</si>
  <si>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</si>
  <si>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</si>
  <si>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</si>
  <si>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</si>
  <si>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</si>
  <si>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</si>
  <si>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</si>
  <si>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</si>
  <si>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</si>
  <si>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</si>
  <si>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</si>
  <si>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</si>
  <si>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</si>
  <si>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</si>
  <si>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</si>
  <si>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</si>
  <si>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</si>
  <si>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</si>
  <si>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</si>
  <si>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</si>
  <si>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</si>
  <si>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</si>
  <si>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</si>
  <si>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</si>
  <si>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</si>
  <si>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</si>
  <si>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</si>
  <si>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</si>
  <si>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</si>
  <si>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</si>
  <si>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</si>
  <si>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</si>
  <si>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</si>
  <si>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</si>
  <si>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</si>
  <si>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</si>
  <si>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</si>
  <si>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</si>
  <si>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</si>
  <si>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</si>
  <si>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</si>
  <si>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</si>
  <si>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</si>
  <si>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</si>
  <si>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</si>
  <si>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</si>
  <si>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</si>
  <si>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</si>
  <si>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</si>
  <si>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</si>
  <si>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</si>
  <si>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</si>
  <si>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</si>
  <si>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</si>
  <si>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</si>
  <si>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</si>
  <si>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</si>
  <si>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</si>
  <si>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</si>
  <si>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</si>
  <si>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</si>
  <si>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</si>
  <si>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</si>
  <si>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</si>
  <si>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</si>
  <si>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</si>
  <si>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</si>
  <si>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</si>
  <si>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</si>
  <si>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</si>
  <si>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</si>
  <si>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</si>
  <si>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</si>
  <si>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</si>
  <si>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</si>
  <si>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</si>
  <si>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</si>
  <si>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</si>
  <si>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</si>
  <si>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</si>
  <si>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</si>
  <si>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</si>
  <si>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</si>
  <si>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</si>
  <si>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</si>
  <si>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</si>
  <si>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</si>
  <si>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</si>
  <si>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</si>
  <si>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</si>
  <si>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</si>
  <si>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</si>
  <si>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</si>
  <si>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</si>
  <si>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</si>
  <si>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</si>
  <si>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</si>
  <si>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</si>
  <si>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</si>
  <si>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</si>
  <si>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</si>
  <si>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</si>
  <si>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</si>
  <si>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</si>
  <si>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</si>
  <si>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</si>
  <si>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</si>
  <si>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</si>
  <si>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</si>
  <si>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</si>
  <si>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</si>
  <si>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</si>
  <si>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</si>
  <si>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</si>
  <si>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</si>
  <si>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</si>
  <si>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</si>
  <si>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</si>
  <si>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</si>
  <si>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</si>
  <si>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</si>
  <si>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</si>
  <si>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</si>
  <si>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</si>
  <si>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</si>
  <si>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</si>
  <si>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</si>
  <si>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</si>
  <si>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</si>
  <si>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</si>
  <si>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</si>
  <si>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</si>
  <si>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</si>
  <si>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</si>
  <si>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</si>
  <si>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</si>
  <si>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</si>
  <si>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</si>
  <si>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</si>
  <si>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</si>
  <si>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</si>
  <si>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</si>
  <si>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</si>
  <si>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</si>
  <si>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</si>
  <si>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</si>
  <si>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</si>
  <si>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</si>
  <si>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</si>
  <si>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</si>
  <si>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</si>
  <si>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</si>
  <si>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</si>
  <si>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</si>
  <si>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</si>
  <si>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</si>
  <si>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</si>
  <si>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</si>
  <si>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</si>
  <si>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</si>
  <si>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</si>
  <si>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</si>
  <si>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</si>
  <si>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</si>
  <si>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</si>
  <si>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</si>
  <si>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</si>
  <si>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</si>
  <si>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</si>
  <si>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</si>
  <si>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</si>
  <si>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</si>
  <si>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</si>
  <si>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</si>
  <si>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</si>
  <si>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</si>
  <si>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</si>
  <si>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</si>
  <si>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</si>
  <si>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</si>
  <si>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</si>
  <si>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</si>
  <si>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</si>
  <si>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</si>
  <si>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</si>
  <si>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</si>
  <si>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</si>
  <si>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</si>
  <si>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</si>
  <si>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</si>
  <si>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</si>
  <si>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</si>
  <si>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</si>
  <si>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</si>
  <si>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</si>
  <si>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</si>
  <si>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</si>
  <si>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</si>
  <si>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</si>
  <si>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</si>
  <si>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</si>
  <si>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</si>
  <si>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</si>
  <si>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</si>
  <si>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</si>
  <si>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</si>
  <si>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</si>
  <si>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</si>
  <si>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</si>
  <si>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</si>
  <si>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</si>
  <si>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</si>
  <si>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</si>
  <si>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</si>
  <si>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</si>
  <si>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</si>
  <si>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</si>
  <si>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</si>
  <si>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</si>
  <si>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</si>
  <si>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</si>
  <si>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</si>
  <si>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</si>
  <si>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</si>
  <si>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</si>
  <si>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</si>
  <si>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</si>
  <si>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</si>
  <si>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</si>
  <si>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</si>
  <si>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</si>
  <si>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</si>
  <si>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</si>
  <si>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</si>
  <si>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</si>
  <si>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</si>
  <si>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</si>
  <si>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</si>
  <si>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</si>
  <si>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</si>
  <si>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</si>
  <si>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</si>
  <si>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</si>
  <si>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</si>
  <si>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</si>
  <si>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</si>
  <si>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</si>
  <si>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</si>
  <si>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</si>
  <si>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</si>
  <si>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</si>
  <si>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</si>
  <si>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</si>
  <si>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</si>
  <si>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</si>
  <si>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</si>
  <si>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</si>
  <si>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</si>
  <si>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</si>
  <si>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</si>
  <si>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</si>
  <si>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</si>
  <si>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</si>
  <si>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</si>
  <si>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</si>
  <si>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</si>
  <si>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</si>
  <si>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</si>
  <si>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</si>
  <si>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</si>
  <si>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</si>
  <si>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</si>
  <si>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</si>
  <si>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</si>
  <si>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</si>
  <si>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</si>
  <si>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</si>
  <si>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</si>
  <si>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</si>
  <si>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</si>
  <si>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</si>
  <si>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</si>
  <si>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</si>
  <si>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</si>
  <si>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</si>
  <si>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</si>
  <si>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</si>
  <si>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</si>
  <si>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</si>
  <si>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</si>
  <si>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</si>
  <si>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</si>
  <si>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</si>
  <si>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</si>
  <si>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</si>
  <si>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</si>
  <si>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</si>
  <si>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</si>
  <si>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</si>
  <si>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</si>
  <si>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</si>
  <si>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</si>
  <si>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</si>
  <si>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</si>
  <si>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</si>
  <si>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</si>
  <si>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</si>
  <si>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</si>
  <si>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</si>
  <si>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</si>
  <si>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</si>
  <si>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</si>
  <si>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</si>
  <si>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</si>
  <si>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</si>
  <si>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</si>
  <si>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</si>
  <si>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</si>
  <si>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</si>
  <si>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</si>
  <si>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</si>
  <si>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</si>
  <si>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</si>
  <si>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</si>
  <si>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</si>
  <si>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</si>
  <si>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</si>
  <si>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</si>
  <si>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</si>
  <si>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</si>
  <si>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</si>
  <si>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</si>
  <si>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</si>
  <si>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</si>
  <si>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</si>
  <si>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</si>
  <si>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</si>
  <si>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</si>
  <si>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</si>
  <si>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</si>
  <si>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</si>
  <si>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</si>
  <si>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</si>
  <si>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</si>
  <si>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</si>
  <si>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</si>
  <si>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</si>
  <si>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</si>
  <si>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</si>
  <si>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</si>
  <si>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</si>
  <si>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</si>
  <si>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</si>
  <si>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</si>
  <si>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</si>
  <si>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</si>
  <si>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</si>
  <si>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</si>
  <si>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</si>
  <si>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</si>
  <si>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</si>
  <si>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</si>
  <si>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</si>
  <si>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</si>
  <si>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</si>
  <si>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</si>
  <si>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</si>
  <si>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</si>
  <si>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</si>
  <si>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</si>
  <si>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</si>
  <si>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</si>
  <si>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</si>
  <si>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</si>
  <si>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</si>
  <si>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</si>
  <si>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</si>
  <si>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</si>
  <si>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</si>
  <si>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</si>
  <si>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</si>
  <si>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</si>
  <si>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</si>
  <si>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</si>
  <si>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</si>
  <si>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</si>
  <si>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</si>
  <si>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</si>
  <si>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</si>
  <si>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</si>
  <si>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</si>
  <si>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</si>
  <si>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</si>
  <si>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</si>
  <si>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</si>
  <si>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</si>
  <si>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</si>
  <si>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</si>
  <si>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</si>
  <si>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</si>
  <si>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</si>
  <si>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</si>
  <si>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</si>
  <si>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</si>
  <si>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</si>
  <si>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</si>
  <si>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</si>
  <si>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</si>
  <si>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</si>
  <si>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</si>
  <si>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</si>
  <si>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</si>
  <si>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</si>
  <si>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</si>
  <si>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</si>
  <si>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</si>
  <si>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</si>
  <si>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</si>
  <si>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</si>
  <si>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</si>
  <si>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</si>
  <si>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</si>
  <si>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</si>
  <si>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</si>
  <si>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</si>
  <si>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</si>
  <si>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</si>
  <si>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</si>
  <si>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</si>
  <si>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</si>
  <si>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</si>
  <si>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</si>
  <si>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</si>
  <si>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</si>
  <si>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</si>
  <si>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</si>
  <si>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</si>
  <si>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</si>
  <si>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</si>
  <si>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</si>
  <si>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</si>
  <si>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</si>
  <si>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</si>
  <si>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</si>
  <si>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</si>
  <si>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</si>
  <si>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</si>
  <si>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</si>
  <si>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</si>
  <si>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</si>
  <si>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</si>
  <si>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</si>
  <si>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</si>
  <si>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</si>
  <si>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</si>
  <si>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</si>
  <si>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</si>
  <si>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</si>
  <si>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</si>
  <si>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</si>
  <si>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</si>
  <si>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</si>
  <si>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</si>
  <si>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</si>
  <si>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</si>
  <si>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</si>
  <si>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</si>
  <si>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</si>
  <si>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</si>
  <si>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</si>
  <si>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</si>
  <si>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</si>
  <si>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</si>
  <si>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</si>
  <si>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</si>
  <si>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</si>
  <si>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</si>
  <si>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</si>
  <si>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</si>
  <si>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</si>
  <si>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</si>
  <si>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</si>
  <si>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</si>
  <si>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</si>
  <si>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</si>
  <si>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</si>
  <si>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</si>
  <si>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</si>
  <si>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</si>
  <si>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</si>
  <si>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</si>
  <si>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</si>
  <si>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</si>
  <si>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</si>
  <si>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</si>
  <si>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</si>
  <si>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</si>
  <si>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</si>
  <si>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</si>
  <si>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</si>
  <si>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</si>
  <si>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</si>
  <si>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</si>
  <si>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</si>
  <si>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</si>
  <si>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</si>
  <si>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</si>
  <si>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</si>
  <si>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</si>
  <si>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</si>
  <si>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</si>
  <si>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</si>
  <si>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</si>
  <si>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</si>
  <si>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</si>
  <si>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</si>
  <si>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</si>
  <si>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</si>
  <si>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</si>
  <si>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</si>
  <si>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</si>
  <si>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</si>
  <si>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</si>
  <si>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</si>
  <si>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</si>
  <si>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</si>
  <si>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</si>
  <si>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</si>
  <si>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</si>
  <si>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</si>
  <si>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</si>
  <si>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</si>
  <si>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</si>
  <si>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</si>
  <si>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</si>
  <si>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</si>
  <si>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</si>
  <si>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</si>
  <si>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</si>
  <si>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</si>
  <si>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</si>
  <si>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</si>
  <si>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</si>
  <si>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</si>
  <si>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</si>
  <si>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</si>
  <si>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</si>
  <si>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</si>
  <si>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</si>
  <si>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</si>
  <si>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</si>
  <si>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</si>
  <si>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</si>
  <si>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</si>
  <si>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</si>
  <si>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</si>
  <si>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</si>
  <si>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</si>
  <si>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</si>
  <si>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</si>
  <si>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</si>
  <si>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</si>
  <si>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</si>
  <si>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</si>
  <si>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</si>
  <si>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</si>
  <si>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</si>
  <si>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</si>
  <si>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</si>
  <si>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</si>
  <si>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</si>
  <si>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</si>
  <si>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</si>
  <si>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</si>
  <si>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</si>
  <si>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</si>
  <si>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</si>
  <si>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</si>
  <si>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</si>
  <si>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</si>
  <si>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</si>
  <si>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</si>
  <si>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</si>
  <si>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</si>
  <si>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</si>
  <si>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</si>
  <si>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</si>
  <si>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</si>
  <si>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</si>
  <si>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</si>
  <si>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</si>
  <si>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</si>
  <si>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</si>
  <si>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</si>
  <si>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</si>
  <si>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</si>
  <si>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</si>
  <si>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</si>
  <si>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</si>
  <si>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</si>
  <si>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</si>
  <si>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</si>
  <si>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</si>
  <si>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</si>
  <si>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</si>
  <si>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</si>
  <si>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</si>
  <si>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</si>
  <si>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</si>
  <si>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</si>
  <si>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</si>
  <si>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</si>
  <si>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</si>
  <si>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</si>
  <si>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</si>
  <si>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</si>
  <si>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</si>
  <si>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</si>
  <si>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</si>
  <si>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</si>
  <si>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</si>
  <si>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</si>
  <si>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</si>
  <si>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</si>
  <si>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</si>
  <si>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</si>
  <si>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</si>
  <si>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</si>
  <si>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</si>
  <si>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</si>
  <si>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</si>
  <si>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</si>
  <si>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</si>
  <si>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</si>
  <si>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</si>
  <si>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</si>
  <si>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</si>
  <si>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</si>
  <si>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</si>
  <si>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</si>
  <si>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</si>
  <si>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</si>
  <si>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</si>
  <si>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</si>
  <si>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</si>
  <si>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</si>
  <si>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</si>
  <si>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</si>
  <si>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</si>
  <si>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</si>
  <si>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</si>
  <si>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</si>
  <si>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</si>
  <si>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</si>
  <si>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</si>
  <si>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</si>
  <si>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</si>
  <si>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</si>
  <si>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</si>
  <si>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</si>
  <si>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</si>
  <si>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</si>
  <si>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</si>
  <si>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</si>
  <si>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</si>
  <si>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</si>
  <si>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</si>
  <si>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</si>
  <si>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</si>
  <si>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</si>
  <si>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</si>
  <si>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</si>
  <si>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</si>
  <si>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</si>
  <si>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</si>
  <si>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</si>
  <si>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</si>
  <si>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</si>
  <si>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</si>
  <si>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</si>
  <si>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</si>
  <si>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</si>
  <si>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</si>
  <si>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</si>
  <si>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</si>
  <si>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</si>
  <si>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</si>
  <si>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</si>
  <si>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</si>
  <si>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</si>
  <si>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</si>
  <si>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</si>
  <si>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</si>
  <si>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</si>
  <si>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</si>
  <si>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</si>
  <si>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</si>
  <si>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</si>
  <si>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</si>
  <si>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</si>
  <si>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</si>
  <si>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</si>
  <si>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</si>
  <si>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</si>
  <si>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</si>
  <si>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</si>
  <si>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</si>
  <si>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</si>
  <si>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</si>
  <si>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</si>
  <si>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</si>
  <si>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</si>
  <si>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</si>
  <si>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</si>
  <si>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</si>
  <si>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</si>
  <si>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</si>
  <si>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</si>
  <si>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</si>
  <si>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</si>
  <si>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</si>
  <si>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</si>
  <si>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</si>
  <si>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</si>
  <si>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</si>
  <si>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</si>
  <si>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</si>
  <si>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</si>
  <si>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</si>
  <si>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</si>
  <si>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</si>
  <si>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</si>
  <si>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</si>
  <si>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</si>
  <si>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</si>
  <si>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</si>
  <si>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</si>
  <si>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</si>
  <si>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</si>
  <si>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</si>
  <si>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</si>
  <si>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</si>
  <si>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</si>
  <si>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</si>
  <si>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</si>
  <si>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</si>
  <si>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</si>
  <si>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</si>
  <si>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</si>
  <si>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</si>
  <si>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</si>
  <si>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</si>
  <si>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</si>
  <si>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</si>
  <si>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</si>
  <si>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</si>
  <si>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</si>
  <si>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</si>
  <si>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</si>
  <si>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</si>
  <si>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</si>
  <si>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</si>
  <si>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</si>
  <si>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</si>
  <si>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</si>
  <si>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</si>
  <si>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</si>
  <si>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</si>
  <si>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</si>
  <si>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</si>
  <si>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</si>
  <si>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</si>
  <si>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</si>
  <si>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</si>
  <si>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</si>
  <si>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</si>
  <si>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</si>
  <si>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</si>
  <si>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</si>
  <si>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</si>
  <si>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</si>
  <si>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</si>
  <si>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</si>
  <si>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</si>
  <si>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</si>
  <si>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</si>
  <si>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</si>
  <si>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</si>
  <si>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</si>
  <si>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</si>
  <si>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</si>
  <si>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</si>
  <si>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</si>
  <si>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</si>
  <si>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</si>
  <si>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</si>
  <si>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</si>
  <si>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</si>
  <si>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</si>
  <si>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</si>
  <si>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</si>
  <si>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</si>
  <si>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</si>
  <si>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</si>
  <si>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</si>
  <si>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</si>
  <si>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</si>
  <si>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</si>
  <si>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</si>
  <si>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</si>
  <si>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</si>
  <si>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</si>
  <si>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</si>
  <si>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</si>
  <si>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</si>
  <si>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</si>
  <si>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</si>
  <si>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</si>
  <si>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</si>
  <si>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</si>
  <si>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</si>
  <si>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</si>
  <si>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</si>
  <si>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</si>
  <si>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</si>
  <si>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</si>
  <si>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</si>
  <si>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</si>
  <si>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</si>
  <si>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</si>
  <si>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</si>
  <si>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</si>
  <si>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</si>
  <si>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</si>
  <si>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</si>
  <si>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</si>
  <si>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</si>
  <si>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</si>
  <si>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</si>
  <si>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</si>
  <si>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</si>
  <si>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</si>
  <si>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</si>
  <si>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</si>
  <si>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</si>
  <si>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</si>
  <si>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</si>
  <si>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</si>
  <si>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</si>
  <si>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</si>
  <si>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</si>
  <si>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</si>
  <si>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</si>
  <si>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</si>
  <si>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</si>
  <si>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</si>
  <si>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</si>
  <si>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</si>
  <si>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</si>
  <si>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</si>
  <si>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</si>
  <si>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</si>
  <si>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</si>
  <si>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</si>
  <si>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</si>
  <si>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</si>
  <si>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</si>
  <si>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</si>
  <si>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</si>
  <si>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</si>
  <si>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</si>
  <si>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</si>
  <si>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</si>
  <si>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</si>
  <si>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</si>
  <si>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</si>
  <si>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</si>
  <si>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</si>
  <si>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</si>
  <si>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</si>
  <si>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</si>
  <si>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</si>
  <si>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</si>
  <si>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</si>
  <si>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</si>
  <si>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</si>
  <si>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</si>
  <si>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</si>
  <si>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</si>
  <si>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</si>
  <si>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</si>
  <si>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</si>
  <si>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</si>
  <si>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</si>
  <si>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</si>
  <si>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</si>
  <si>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</si>
  <si>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</si>
  <si>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</si>
  <si>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</si>
  <si>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</si>
  <si>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</si>
  <si>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</si>
  <si>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</si>
  <si>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</si>
  <si>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</si>
  <si>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</si>
  <si>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</si>
  <si>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</si>
  <si>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</si>
  <si>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</si>
  <si>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</si>
  <si>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</si>
  <si>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</si>
  <si>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</si>
  <si>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</si>
  <si>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</si>
  <si>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</si>
  <si>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</si>
  <si>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</si>
  <si>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</si>
  <si>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</si>
  <si>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</si>
  <si>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</si>
  <si>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</si>
  <si>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</si>
  <si>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</si>
  <si>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</si>
  <si>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</si>
  <si>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</si>
  <si>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</si>
  <si>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</si>
  <si>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</si>
  <si>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</si>
  <si>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</si>
  <si>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</si>
  <si>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</si>
  <si>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</si>
  <si>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</si>
  <si>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</si>
  <si>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</si>
  <si>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</si>
  <si>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</si>
  <si>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</si>
  <si>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</si>
  <si>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</si>
  <si>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</si>
  <si>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</si>
  <si>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</si>
  <si>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</si>
  <si>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</si>
  <si>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</si>
  <si>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</si>
  <si>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</si>
  <si>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</si>
  <si>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</si>
  <si>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</si>
  <si>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</si>
  <si>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</si>
  <si>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</si>
  <si>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</si>
  <si>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</si>
  <si>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</si>
  <si>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</si>
  <si>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</si>
  <si>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</si>
  <si>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</si>
  <si>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</si>
  <si>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</si>
  <si>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</si>
  <si>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</si>
  <si>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</si>
  <si>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</si>
  <si>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</si>
  <si>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</si>
  <si>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</si>
  <si>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</si>
  <si>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</si>
  <si>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</si>
  <si>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</si>
  <si>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</si>
  <si>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</si>
  <si>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</si>
  <si>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</si>
  <si>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</si>
  <si>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</si>
  <si>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</si>
  <si>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</si>
  <si>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</si>
  <si>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</si>
  <si>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</si>
  <si>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</si>
  <si>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</si>
  <si>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</si>
  <si>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</si>
  <si>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</si>
  <si>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</si>
  <si>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</si>
  <si>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</si>
  <si>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</si>
  <si>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</si>
  <si>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</si>
  <si>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</si>
  <si>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</si>
  <si>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</si>
  <si>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</si>
  <si>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</si>
  <si>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</si>
  <si>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</si>
  <si>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</si>
  <si>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</si>
  <si>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</si>
  <si>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</si>
  <si>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</si>
  <si>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</si>
  <si>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</si>
  <si>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</si>
  <si>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</si>
  <si>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</si>
  <si>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</si>
  <si>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</si>
  <si>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</si>
  <si>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</si>
  <si>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</si>
  <si>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</si>
  <si>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</si>
  <si>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</si>
  <si>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</si>
  <si>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</si>
  <si>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</si>
  <si>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</si>
  <si>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</si>
  <si>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</si>
  <si>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</si>
  <si>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</si>
  <si>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</si>
  <si>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</si>
  <si>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</si>
  <si>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</si>
  <si>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</si>
  <si>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</si>
  <si>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</si>
  <si>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</si>
  <si>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</si>
  <si>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</si>
  <si>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</si>
  <si>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</si>
  <si>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</si>
  <si>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</si>
  <si>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</si>
  <si>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</si>
  <si>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</si>
  <si>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</si>
  <si>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</si>
  <si>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</si>
  <si>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</si>
  <si>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</si>
  <si>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</si>
  <si>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</si>
  <si>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</si>
  <si>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</si>
  <si>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</si>
  <si>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</si>
  <si>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</si>
  <si>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</si>
  <si>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</si>
  <si>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</si>
  <si>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</si>
  <si>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</si>
  <si>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</si>
  <si>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</si>
  <si>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</si>
  <si>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</si>
  <si>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</si>
  <si>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</si>
  <si>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</si>
  <si>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</si>
  <si>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</si>
  <si>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</si>
  <si>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</si>
  <si>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</si>
  <si>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</si>
  <si>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</si>
  <si>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</si>
  <si>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</si>
  <si>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</si>
  <si>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</si>
  <si>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</si>
  <si>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</si>
  <si>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</si>
  <si>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</si>
  <si>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</si>
  <si>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</si>
  <si>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</si>
  <si>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</si>
  <si>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</si>
  <si>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</si>
  <si>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</si>
  <si>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</si>
  <si>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</si>
  <si>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</si>
  <si>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</si>
  <si>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</si>
  <si>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</si>
  <si>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</si>
  <si>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</si>
  <si>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</si>
  <si>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</si>
  <si>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</si>
  <si>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</si>
  <si>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</si>
  <si>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</si>
  <si>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</si>
  <si>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</si>
  <si>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</si>
  <si>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</si>
  <si>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</si>
  <si>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</si>
  <si>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</si>
  <si>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</si>
  <si>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</si>
  <si>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</si>
  <si>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</si>
  <si>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</si>
  <si>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</si>
  <si>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</si>
  <si>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</si>
  <si>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</si>
  <si>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</si>
  <si>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</si>
  <si>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</si>
  <si>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</si>
  <si>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</si>
  <si>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</si>
  <si>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</si>
  <si>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</si>
  <si>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</si>
  <si>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</si>
  <si>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</si>
  <si>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</si>
  <si>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</si>
  <si>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</si>
  <si>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</si>
  <si>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</si>
  <si>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</si>
  <si>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</si>
  <si>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</si>
  <si>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</si>
  <si>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</si>
  <si>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</si>
  <si>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</si>
  <si>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</si>
  <si>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</si>
  <si>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</si>
  <si>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</si>
  <si>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</si>
  <si>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</si>
  <si>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</si>
  <si>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</si>
  <si>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</si>
  <si>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</si>
  <si>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</si>
  <si>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</si>
  <si>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</si>
  <si>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</si>
  <si>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</si>
  <si>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</si>
  <si>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</si>
  <si>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</si>
  <si>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</si>
  <si>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</si>
  <si>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</si>
  <si>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</si>
  <si>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</si>
  <si>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</si>
  <si>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</si>
  <si>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</si>
  <si>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</si>
  <si>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</si>
  <si>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</si>
  <si>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</si>
  <si>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</si>
  <si>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</si>
  <si>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</si>
  <si>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</si>
  <si>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</si>
  <si>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</si>
  <si>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</si>
  <si>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</si>
  <si>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</si>
  <si>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</si>
  <si>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</si>
  <si>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</si>
  <si>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</si>
  <si>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</si>
  <si>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</si>
  <si>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</si>
  <si>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</si>
  <si>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</si>
  <si>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</si>
  <si>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</si>
  <si>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</si>
  <si>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</si>
  <si>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</si>
  <si>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</si>
  <si>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</si>
  <si>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</si>
  <si>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</si>
  <si>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</si>
  <si>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</si>
  <si>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</si>
  <si>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</si>
  <si>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</si>
  <si>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</si>
  <si>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</si>
  <si>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</si>
  <si>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</si>
  <si>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</si>
  <si>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</si>
  <si>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</si>
  <si>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</si>
  <si>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</si>
  <si>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</si>
  <si>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</si>
  <si>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</si>
  <si>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</si>
  <si>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</si>
  <si>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</si>
  <si>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</si>
  <si>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</si>
  <si>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</si>
  <si>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</si>
  <si>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</si>
  <si>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</si>
  <si>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</si>
  <si>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</si>
  <si>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</si>
  <si>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</si>
  <si>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</si>
  <si>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</si>
  <si>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</si>
  <si>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</si>
  <si>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</si>
  <si>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</si>
  <si>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</si>
  <si>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</si>
  <si>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</si>
  <si>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</si>
  <si>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</si>
  <si>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</si>
  <si>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</si>
  <si>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</si>
  <si>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</si>
  <si>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</si>
  <si>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</si>
  <si>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</si>
  <si>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</si>
  <si>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</si>
  <si>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</si>
  <si>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</si>
  <si>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</si>
  <si>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</si>
  <si>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</si>
  <si>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</si>
  <si>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</si>
  <si>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</si>
  <si>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</si>
  <si>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</si>
  <si>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</si>
  <si>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</si>
  <si>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</si>
  <si>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</si>
  <si>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</si>
  <si>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</si>
  <si>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</si>
  <si>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</si>
  <si>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</si>
  <si>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</si>
  <si>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</si>
  <si>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</si>
  <si>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</si>
  <si>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</si>
  <si>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</si>
  <si>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</si>
  <si>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</si>
  <si>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</si>
  <si>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</si>
  <si>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</si>
  <si>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</si>
  <si>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</si>
  <si>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</si>
  <si>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</si>
  <si>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</si>
  <si>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</si>
  <si>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</si>
  <si>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</si>
  <si>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</si>
  <si>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</si>
  <si>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</si>
  <si>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</si>
  <si>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</si>
  <si>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</si>
  <si>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</si>
  <si>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</si>
  <si>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</si>
  <si>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</si>
  <si>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</si>
  <si>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</si>
  <si>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</si>
  <si>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</si>
  <si>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</si>
  <si>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</si>
  <si>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</si>
  <si>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</si>
  <si>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</si>
  <si>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</si>
  <si>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</si>
  <si>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</si>
  <si>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</si>
  <si>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</si>
  <si>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</si>
  <si>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</si>
  <si>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</si>
  <si>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</si>
  <si>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</si>
  <si>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</si>
  <si>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</si>
  <si>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</si>
  <si>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</si>
  <si>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</si>
  <si>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</si>
  <si>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</si>
  <si>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</si>
  <si>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</si>
  <si>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</si>
  <si>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</si>
  <si>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</si>
  <si>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</si>
  <si>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</si>
  <si>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</si>
  <si>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</si>
  <si>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</si>
  <si>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</si>
  <si>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</si>
  <si>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</si>
  <si>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</si>
  <si>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</si>
  <si>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</si>
  <si>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</si>
  <si>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</si>
  <si>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</si>
  <si>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</si>
  <si>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</si>
  <si>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</si>
  <si>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</si>
  <si>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</si>
  <si>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</si>
  <si>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</si>
  <si>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</si>
  <si>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</si>
  <si>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</si>
  <si>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</si>
  <si>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</si>
  <si>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</si>
  <si>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</si>
  <si>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</si>
  <si>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</si>
  <si>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</si>
  <si>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</si>
  <si>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</si>
  <si>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</si>
  <si>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</si>
  <si>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</si>
  <si>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</si>
  <si>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</si>
  <si>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</si>
  <si>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</si>
  <si>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</si>
  <si>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</si>
  <si>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</si>
  <si>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</si>
  <si>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</si>
  <si>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</si>
  <si>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</si>
  <si>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</si>
  <si>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</si>
  <si>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</si>
  <si>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</si>
  <si>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</si>
  <si>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</si>
  <si>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</si>
  <si>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</si>
  <si>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</si>
  <si>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</si>
  <si>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</si>
  <si>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</si>
  <si>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</si>
  <si>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</si>
  <si>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</si>
  <si>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</si>
  <si>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</si>
  <si>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</si>
  <si>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</si>
  <si>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</si>
  <si>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</si>
  <si>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</si>
  <si>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</si>
  <si>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</si>
  <si>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</si>
  <si>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</si>
  <si>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</si>
  <si>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</si>
  <si>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</si>
  <si>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</si>
  <si>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</si>
  <si>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</si>
  <si>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</si>
  <si>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</si>
  <si>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</si>
  <si>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</si>
  <si>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</si>
  <si>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</si>
  <si>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</si>
  <si>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</si>
  <si>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</si>
  <si>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</si>
  <si>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</si>
  <si>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</si>
  <si>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</si>
  <si>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</si>
  <si>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</si>
  <si>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</si>
  <si>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</si>
  <si>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</si>
  <si>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</si>
  <si>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</si>
  <si>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</si>
  <si>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</si>
  <si>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</si>
  <si>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</si>
  <si>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</si>
  <si>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</si>
  <si>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</si>
  <si>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</si>
  <si>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</si>
  <si>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</si>
  <si>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</si>
  <si>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</si>
  <si>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</si>
  <si>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</si>
  <si>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</si>
  <si>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</si>
  <si>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</si>
  <si>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</si>
  <si>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</si>
  <si>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</si>
  <si>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</si>
  <si>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</si>
  <si>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</si>
  <si>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</si>
  <si>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</si>
  <si>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</si>
  <si>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</si>
  <si>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</si>
  <si>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</si>
  <si>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</si>
  <si>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</si>
  <si>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</si>
  <si>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</si>
  <si>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</si>
  <si>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</si>
  <si>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</si>
  <si>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</si>
  <si>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</si>
  <si>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</si>
  <si>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</si>
  <si>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</si>
  <si>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</si>
  <si>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</si>
  <si>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</si>
  <si>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</si>
  <si>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</si>
  <si>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</si>
  <si>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</si>
  <si>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</si>
  <si>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</si>
  <si>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</si>
  <si>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</si>
  <si>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</si>
  <si>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</si>
  <si>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</si>
  <si>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</si>
  <si>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</si>
  <si>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</si>
  <si>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</si>
  <si>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</si>
  <si>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</si>
  <si>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</si>
  <si>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</si>
  <si>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</si>
  <si>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</si>
  <si>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</si>
  <si>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</si>
  <si>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</si>
  <si>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</si>
  <si>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</si>
  <si>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</si>
  <si>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</si>
  <si>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</si>
  <si>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</si>
  <si>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</si>
  <si>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</si>
  <si>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</si>
  <si>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</si>
  <si>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</si>
  <si>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</si>
  <si>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</si>
  <si>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</si>
  <si>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</si>
  <si>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</si>
  <si>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</si>
  <si>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</si>
  <si>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</si>
  <si>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</si>
  <si>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</si>
  <si>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</si>
  <si>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</si>
  <si>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</si>
  <si>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</si>
  <si>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</si>
  <si>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</si>
  <si>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</si>
  <si>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</si>
  <si>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</si>
  <si>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</si>
  <si>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</si>
  <si>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</si>
  <si>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</si>
  <si>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</si>
  <si>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</si>
  <si>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</si>
  <si>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</si>
  <si>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</si>
  <si>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</si>
  <si>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</si>
  <si>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</si>
  <si>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</si>
  <si>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</si>
  <si>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</si>
  <si>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</si>
  <si>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</si>
  <si>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</si>
  <si>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</si>
  <si>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</si>
  <si>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</si>
  <si>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</si>
  <si>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</si>
  <si>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</si>
  <si>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</si>
  <si>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</si>
  <si>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</si>
  <si>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</si>
  <si>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</si>
  <si>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</si>
  <si>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</si>
  <si>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</si>
  <si>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</si>
  <si>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</si>
  <si>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</si>
  <si>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</si>
  <si>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</si>
  <si>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</si>
  <si>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</si>
  <si>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</si>
  <si>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</si>
  <si>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</si>
  <si>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</si>
  <si>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</si>
  <si>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</si>
  <si>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</si>
  <si>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</si>
  <si>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</si>
  <si>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</si>
  <si>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</si>
  <si>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</si>
  <si>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</si>
  <si>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</si>
  <si>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</si>
  <si>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</si>
  <si>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</si>
  <si>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</si>
  <si>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</si>
  <si>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</si>
  <si>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</si>
  <si>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</si>
  <si>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</si>
  <si>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</si>
  <si>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</si>
  <si>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</si>
  <si>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</si>
  <si>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</si>
  <si>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</si>
  <si>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</si>
  <si>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</si>
  <si>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</si>
  <si>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</si>
  <si>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</si>
  <si>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</si>
  <si>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</si>
  <si>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</si>
  <si>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</si>
  <si>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</si>
  <si>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</si>
  <si>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</si>
  <si>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</si>
  <si>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</si>
  <si>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</si>
  <si>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</si>
  <si>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</si>
  <si>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</si>
  <si>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</si>
  <si>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</si>
  <si>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</si>
  <si>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</si>
  <si>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</si>
  <si>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</si>
  <si>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</si>
  <si>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</si>
  <si>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</si>
  <si>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</si>
  <si>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</si>
  <si>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</si>
  <si>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</si>
  <si>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</si>
  <si>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</si>
  <si>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</si>
  <si>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</si>
  <si>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</si>
  <si>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</si>
  <si>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</si>
  <si>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</si>
  <si>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</si>
  <si>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</si>
  <si>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</si>
  <si>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</si>
  <si>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</si>
  <si>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</si>
  <si>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</si>
  <si>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</si>
  <si>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</si>
  <si>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</si>
  <si>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</si>
  <si>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</si>
  <si>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</si>
  <si>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</si>
  <si>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</si>
  <si>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</si>
  <si>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</si>
  <si>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</si>
  <si>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</si>
  <si>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</si>
  <si>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</si>
  <si>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</si>
  <si>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</si>
  <si>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</si>
  <si>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</si>
  <si>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</si>
  <si>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</si>
  <si>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</si>
  <si>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</si>
  <si>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</si>
  <si>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</si>
  <si>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</si>
  <si>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</si>
  <si>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</si>
  <si>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</si>
  <si>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</si>
  <si>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</si>
  <si>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</si>
  <si>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</si>
  <si>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</si>
  <si>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</si>
  <si>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</si>
  <si>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</si>
  <si>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</si>
  <si>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</si>
  <si>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</si>
  <si>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</si>
  <si>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</si>
  <si>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</si>
  <si>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</si>
  <si>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</si>
  <si>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</si>
  <si>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</si>
  <si>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</si>
  <si>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</si>
  <si>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</si>
  <si>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</si>
  <si>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</si>
  <si>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</si>
  <si>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</si>
  <si>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</si>
  <si>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</si>
  <si>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</si>
  <si>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</si>
  <si>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</si>
  <si>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</si>
  <si>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</si>
  <si>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</si>
  <si>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</si>
  <si>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</si>
  <si>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</si>
  <si>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</si>
  <si>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</si>
  <si>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</si>
  <si>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</si>
  <si>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</si>
  <si>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</si>
  <si>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</si>
  <si>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</si>
  <si>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</si>
  <si>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</si>
  <si>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</si>
  <si>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</si>
  <si>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</si>
  <si>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</si>
  <si>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</si>
  <si>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</si>
  <si>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</si>
  <si>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</si>
  <si>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</si>
  <si>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</si>
  <si>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</si>
  <si>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</si>
  <si>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</si>
  <si>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</si>
  <si>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</si>
  <si>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</si>
  <si>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</si>
  <si>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</si>
  <si>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</si>
  <si>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</si>
  <si>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</si>
  <si>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</si>
  <si>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</si>
  <si>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</si>
  <si>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</si>
  <si>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</si>
  <si>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</si>
  <si>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</si>
  <si>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</si>
  <si>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</si>
  <si>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</si>
  <si>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</si>
  <si>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</si>
  <si>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</si>
  <si>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</si>
  <si>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</si>
  <si>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</si>
  <si>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</si>
  <si>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</si>
  <si>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</si>
  <si>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</si>
  <si>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</si>
  <si>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</si>
  <si>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</si>
  <si>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</si>
  <si>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</si>
  <si>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</si>
  <si>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</si>
  <si>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</si>
  <si>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</si>
  <si>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</si>
  <si>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</si>
  <si>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</si>
  <si>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</si>
  <si>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</si>
  <si>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</si>
  <si>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</si>
  <si>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</si>
  <si>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</si>
  <si>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</si>
  <si>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</si>
  <si>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</si>
  <si>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</si>
  <si>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</si>
  <si>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</si>
  <si>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</si>
  <si>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</si>
  <si>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</si>
  <si>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</si>
  <si>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</si>
  <si>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</si>
  <si>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</si>
  <si>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</si>
  <si>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</si>
  <si>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</si>
  <si>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</si>
  <si>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</si>
  <si>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</si>
  <si>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</si>
  <si>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</si>
  <si>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</si>
  <si>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</si>
  <si>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</si>
  <si>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</si>
  <si>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</si>
  <si>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</si>
  <si>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</si>
  <si>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</si>
  <si>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</si>
  <si>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</si>
  <si>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</si>
  <si>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</si>
  <si>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</si>
  <si>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</si>
  <si>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</si>
  <si>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</si>
  <si>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</si>
  <si>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</si>
  <si>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</si>
  <si>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</si>
  <si>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</si>
  <si>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</si>
  <si>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</si>
  <si>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</si>
  <si>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</si>
  <si>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</si>
  <si>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</si>
  <si>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</si>
  <si>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</si>
  <si>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</si>
  <si>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</si>
  <si>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</si>
  <si>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</si>
  <si>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</si>
  <si>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</si>
  <si>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</si>
  <si>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</si>
  <si>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</si>
  <si>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</si>
  <si>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</si>
  <si>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</si>
  <si>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</si>
  <si>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</si>
  <si>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</si>
  <si>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</si>
  <si>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</si>
  <si>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</si>
  <si>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</si>
  <si>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</si>
  <si>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</si>
  <si>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</si>
  <si>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</si>
  <si>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</si>
  <si>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</si>
  <si>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</si>
  <si>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</si>
  <si>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</si>
  <si>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</si>
  <si>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</si>
  <si>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</si>
  <si>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</si>
  <si>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</si>
  <si>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</si>
  <si>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</si>
  <si>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</si>
  <si>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</si>
  <si>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</si>
  <si>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</si>
  <si>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</si>
  <si>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</si>
  <si>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</si>
  <si>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</si>
  <si>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</si>
  <si>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</si>
  <si>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</si>
  <si>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</si>
  <si>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</si>
  <si>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</si>
  <si>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</si>
  <si>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</si>
  <si>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</si>
  <si>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</si>
  <si>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</si>
  <si>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</si>
  <si>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</si>
  <si>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</si>
  <si>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</si>
  <si>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</si>
  <si>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</si>
  <si>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</si>
  <si>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</si>
  <si>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</si>
  <si>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</si>
  <si>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</si>
  <si>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</si>
  <si>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</si>
  <si>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</si>
  <si>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</si>
  <si>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</si>
  <si>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</si>
  <si>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</si>
  <si>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</si>
  <si>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</si>
  <si>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</si>
  <si>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</si>
  <si>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</si>
  <si>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</si>
  <si>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</si>
  <si>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</si>
  <si>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</si>
  <si>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</si>
  <si>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</si>
  <si>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</si>
  <si>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</si>
  <si>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</si>
  <si>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</si>
  <si>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</si>
  <si>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</si>
  <si>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</si>
  <si>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</si>
  <si>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</si>
  <si>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</si>
  <si>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</si>
  <si>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</si>
  <si>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</si>
  <si>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</si>
  <si>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</si>
  <si>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</si>
  <si>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</si>
  <si>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</si>
  <si>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</si>
  <si>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</si>
  <si>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</si>
  <si>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</si>
  <si>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</si>
  <si>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</si>
  <si>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</si>
  <si>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</si>
  <si>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</si>
  <si>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</si>
  <si>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</si>
  <si>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</si>
  <si>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</si>
  <si>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</si>
  <si>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</si>
  <si>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</si>
  <si>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</si>
  <si>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</si>
  <si>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</si>
  <si>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</si>
  <si>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</si>
  <si>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</si>
  <si>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</si>
  <si>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</si>
  <si>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</si>
  <si>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</si>
  <si>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</si>
  <si>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</si>
  <si>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</si>
  <si>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</si>
  <si>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</si>
  <si>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</si>
  <si>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</si>
  <si>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</si>
  <si>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</si>
  <si>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</si>
  <si>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</si>
  <si>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</si>
  <si>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</si>
  <si>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</si>
  <si>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</si>
  <si>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</si>
  <si>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</si>
  <si>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</si>
  <si>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</si>
  <si>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</si>
  <si>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</si>
  <si>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</si>
  <si>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</si>
  <si>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</si>
  <si>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</si>
  <si>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</si>
  <si>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</si>
  <si>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</si>
  <si>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</si>
  <si>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</si>
  <si>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</si>
  <si>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</si>
  <si>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</si>
  <si>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</si>
  <si>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</si>
  <si>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</si>
  <si>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</si>
  <si>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</si>
  <si>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</si>
  <si>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</si>
  <si>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</si>
  <si>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</si>
  <si>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</si>
  <si>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</si>
  <si>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</si>
  <si>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</si>
  <si>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</si>
  <si>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</si>
  <si>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</si>
  <si>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</si>
  <si>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</si>
  <si>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</si>
  <si>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</si>
  <si>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</si>
  <si>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</si>
  <si>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</si>
  <si>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</si>
  <si>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</si>
  <si>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</si>
  <si>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</si>
  <si>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</si>
  <si>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</si>
  <si>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</si>
  <si>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</si>
  <si>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</si>
  <si>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</si>
  <si>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</si>
  <si>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</si>
  <si>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</si>
  <si>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</si>
  <si>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</si>
  <si>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</si>
  <si>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</si>
  <si>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</si>
  <si>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</si>
  <si>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</si>
  <si>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</si>
  <si>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</si>
  <si>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</si>
  <si>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</si>
  <si>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</si>
  <si>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</si>
  <si>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</si>
  <si>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</si>
  <si>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</si>
  <si>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</si>
  <si>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</si>
  <si>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</si>
  <si>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</si>
  <si>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</si>
  <si>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</si>
  <si>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</si>
  <si>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</si>
  <si>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</si>
  <si>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</si>
  <si>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</si>
  <si>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</si>
  <si>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</si>
  <si>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</si>
  <si>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</si>
  <si>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</si>
  <si>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</si>
  <si>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</si>
  <si>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</si>
  <si>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</si>
  <si>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</si>
  <si>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</si>
  <si>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</si>
  <si>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</si>
  <si>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</si>
  <si>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</si>
  <si>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</si>
  <si>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</si>
  <si>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</si>
  <si>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</si>
  <si>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</si>
  <si>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</si>
  <si>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</si>
  <si>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</si>
  <si>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</si>
  <si>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</si>
  <si>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</si>
  <si>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</si>
  <si>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</si>
  <si>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</si>
  <si>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</si>
  <si>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</si>
  <si>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</si>
  <si>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</si>
  <si>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</si>
  <si>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</si>
  <si>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</si>
  <si>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</si>
  <si>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</si>
  <si>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</si>
  <si>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</si>
  <si>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</si>
  <si>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</si>
  <si>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</si>
  <si>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</si>
  <si>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</si>
  <si>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</si>
  <si>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</si>
  <si>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</si>
  <si>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</si>
  <si>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</si>
  <si>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</si>
  <si>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</si>
  <si>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</si>
  <si>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</si>
  <si>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</si>
  <si>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</si>
  <si>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</si>
  <si>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</si>
  <si>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</si>
  <si>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</si>
  <si>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</si>
  <si>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</si>
  <si>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</si>
  <si>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</si>
  <si>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</si>
  <si>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</si>
  <si>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</si>
  <si>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</si>
  <si>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</si>
  <si>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</si>
  <si>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</si>
  <si>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</si>
  <si>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</si>
  <si>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</si>
  <si>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</si>
  <si>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</si>
  <si>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</si>
  <si>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</si>
  <si>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</si>
  <si>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</si>
  <si>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</si>
  <si>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</si>
  <si>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</si>
  <si>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</si>
  <si>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</si>
  <si>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</si>
  <si>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</si>
  <si>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</si>
  <si>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</si>
  <si>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</si>
  <si>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</si>
  <si>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</si>
  <si>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</si>
  <si>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</si>
  <si>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</si>
  <si>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</si>
  <si>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</si>
  <si>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</si>
  <si>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</si>
  <si>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</si>
  <si>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</si>
  <si>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</si>
  <si>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</si>
  <si>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</si>
  <si>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</si>
  <si>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</si>
  <si>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</si>
  <si>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</si>
  <si>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</si>
  <si>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</si>
  <si>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</si>
  <si>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</si>
  <si>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</si>
  <si>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</si>
  <si>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</si>
  <si>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</si>
  <si>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</si>
  <si>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</si>
  <si>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</si>
  <si>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</si>
  <si>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</si>
  <si>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</si>
  <si>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</si>
  <si>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</si>
  <si>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</si>
  <si>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</si>
  <si>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</si>
  <si>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</si>
  <si>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</si>
  <si>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</si>
  <si>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</si>
  <si>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</si>
  <si>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</si>
  <si>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</si>
  <si>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</si>
  <si>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</si>
  <si>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</si>
  <si>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</si>
  <si>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</si>
  <si>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</si>
  <si>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</si>
  <si>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</si>
  <si>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</si>
  <si>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</si>
  <si>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</si>
  <si>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</si>
  <si>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</si>
  <si>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</si>
  <si>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</si>
  <si>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</si>
  <si>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</si>
  <si>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</si>
  <si>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</si>
  <si>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</si>
  <si>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</si>
  <si>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</si>
  <si>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</si>
  <si>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</si>
  <si>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</si>
  <si>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</si>
  <si>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</si>
  <si>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</si>
  <si>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</si>
  <si>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</si>
  <si>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</si>
  <si>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</si>
  <si>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</si>
  <si>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</si>
  <si>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</si>
  <si>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</si>
  <si>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</si>
  <si>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</si>
  <si>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</si>
  <si>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</si>
  <si>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</si>
  <si>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</si>
  <si>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</si>
  <si>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</si>
  <si>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</si>
  <si>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</si>
  <si>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</si>
  <si>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</si>
  <si>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</si>
  <si>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</si>
  <si>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</si>
  <si>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</si>
  <si>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</si>
  <si>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</si>
  <si>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</si>
  <si>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</si>
  <si>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</si>
  <si>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</si>
  <si>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</si>
  <si>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</si>
  <si>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</si>
  <si>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</si>
  <si>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</si>
  <si>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</si>
  <si>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</si>
  <si>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</si>
  <si>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</si>
  <si>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</si>
  <si>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</si>
  <si>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</si>
  <si>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</si>
  <si>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</si>
  <si>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</si>
  <si>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</si>
  <si>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</si>
  <si>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</si>
  <si>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</si>
  <si>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</si>
  <si>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</si>
  <si>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</si>
  <si>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</si>
  <si>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</si>
  <si>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</si>
  <si>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</si>
  <si>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</si>
  <si>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</si>
  <si>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</si>
  <si>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</si>
  <si>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</si>
  <si>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</si>
  <si>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</si>
  <si>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</si>
  <si>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</si>
  <si>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</si>
  <si>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</si>
  <si>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</si>
  <si>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</si>
  <si>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</si>
  <si>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</si>
  <si>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</si>
  <si>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</si>
  <si>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</si>
  <si>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</si>
  <si>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</si>
  <si>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</si>
  <si>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</si>
  <si>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</si>
  <si>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</si>
  <si>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</si>
  <si>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</si>
  <si>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</si>
  <si>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</si>
  <si>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</si>
  <si>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</si>
  <si>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</si>
  <si>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</si>
  <si>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</si>
  <si>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</si>
  <si>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</si>
  <si>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</si>
  <si>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</si>
  <si>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</si>
  <si>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</si>
  <si>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</si>
  <si>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</si>
  <si>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</si>
  <si>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</si>
  <si>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</si>
  <si>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</si>
  <si>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</si>
  <si>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</si>
  <si>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</si>
  <si>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</si>
  <si>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</si>
  <si>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</si>
  <si>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</si>
  <si>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</si>
  <si>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</si>
  <si>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</si>
  <si>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</si>
  <si>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</si>
  <si>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</si>
  <si>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</si>
  <si>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</si>
  <si>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</si>
  <si>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</si>
  <si>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</si>
  <si>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</si>
  <si>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</si>
  <si>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</si>
  <si>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</si>
  <si>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</si>
  <si>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</si>
  <si>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</si>
  <si>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</si>
  <si>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</si>
  <si>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</si>
  <si>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</si>
  <si>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</si>
  <si>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</si>
  <si>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</si>
  <si>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</si>
  <si>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</si>
  <si>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</si>
  <si>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</si>
  <si>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</si>
  <si>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</si>
  <si>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</si>
  <si>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</si>
  <si>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</si>
  <si>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</si>
  <si>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</si>
  <si>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</si>
  <si>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</si>
  <si>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</si>
  <si>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</si>
  <si>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</si>
  <si>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</si>
  <si>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</si>
  <si>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</si>
  <si>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</si>
  <si>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</si>
  <si>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</si>
  <si>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</si>
  <si>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</si>
  <si>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</si>
  <si>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</si>
  <si>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</si>
  <si>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</si>
  <si>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</si>
  <si>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</si>
  <si>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</si>
  <si>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</si>
  <si>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</si>
  <si>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</si>
  <si>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</si>
  <si>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</si>
  <si>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</si>
  <si>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</si>
  <si>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</si>
  <si>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</si>
  <si>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</si>
  <si>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</si>
  <si>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</si>
  <si>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</si>
  <si>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</si>
  <si>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</si>
  <si>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</si>
  <si>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</si>
  <si>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</si>
  <si>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</si>
  <si>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</si>
  <si>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</si>
  <si>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</si>
  <si>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</si>
  <si>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</si>
  <si>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</si>
  <si>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</si>
  <si>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</si>
  <si>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</si>
  <si>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</si>
  <si>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</si>
  <si>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</si>
  <si>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</si>
  <si>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</si>
  <si>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</si>
  <si>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</si>
  <si>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</si>
  <si>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</si>
  <si>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</si>
  <si>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</si>
  <si>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</si>
  <si>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</si>
  <si>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</si>
  <si>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</si>
  <si>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</si>
  <si>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</si>
  <si>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</si>
  <si>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</si>
  <si>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</si>
  <si>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</si>
  <si>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</si>
  <si>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</si>
  <si>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</si>
  <si>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</si>
  <si>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</si>
  <si>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</si>
  <si>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</si>
  <si>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</si>
  <si>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</si>
  <si>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</si>
  <si>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</si>
  <si>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</si>
  <si>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</si>
  <si>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</si>
  <si>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</si>
  <si>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</si>
  <si>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</si>
  <si>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</si>
  <si>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</si>
  <si>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</si>
  <si>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</si>
  <si>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</si>
  <si>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</si>
  <si>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</si>
  <si>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</si>
  <si>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</si>
  <si>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</si>
  <si>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</si>
  <si>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</si>
  <si>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</si>
  <si>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</si>
  <si>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</si>
  <si>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</si>
  <si>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</si>
  <si>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</si>
  <si>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</si>
  <si>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</si>
  <si>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</si>
  <si>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</si>
  <si>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</si>
  <si>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</si>
  <si>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</si>
  <si>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</si>
  <si>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</si>
  <si>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</si>
  <si>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</si>
  <si>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</si>
  <si>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</si>
  <si>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</si>
  <si>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</si>
  <si>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</si>
  <si>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</si>
  <si>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</si>
  <si>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</si>
  <si>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</si>
  <si>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</si>
  <si>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</si>
  <si>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</si>
  <si>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</si>
  <si>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</si>
  <si>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</si>
  <si>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</si>
  <si>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</si>
  <si>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</si>
  <si>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</si>
  <si>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</si>
  <si>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</si>
  <si>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</si>
  <si>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</si>
  <si>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</si>
  <si>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</si>
  <si>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</si>
  <si>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</si>
  <si>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</si>
  <si>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</si>
  <si>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</si>
  <si>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</si>
  <si>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</si>
  <si>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</si>
  <si>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</si>
  <si>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</si>
  <si>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</si>
  <si>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</si>
  <si>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</si>
  <si>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</si>
  <si>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</si>
  <si>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</si>
  <si>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</si>
  <si>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</si>
  <si>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</si>
  <si>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</si>
  <si>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</si>
  <si>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</si>
  <si>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</si>
  <si>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</si>
  <si>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</si>
  <si>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</si>
  <si>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</si>
  <si>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</si>
  <si>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</si>
  <si>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</si>
  <si>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</si>
  <si>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</si>
  <si>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</si>
  <si>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</si>
  <si>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</si>
  <si>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</si>
  <si>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</si>
  <si>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</si>
  <si>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</si>
  <si>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</si>
  <si>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</si>
  <si>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</si>
  <si>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</si>
  <si>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</si>
  <si>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</si>
  <si>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</si>
  <si>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</si>
  <si>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</si>
  <si>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</si>
  <si>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</si>
  <si>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</si>
  <si>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</si>
  <si>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</si>
  <si>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</si>
  <si>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</si>
  <si>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</si>
  <si>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</si>
  <si>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</si>
  <si>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</si>
  <si>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</si>
  <si>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</si>
  <si>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</si>
  <si>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</si>
  <si>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</si>
  <si>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</si>
  <si>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</si>
  <si>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</si>
  <si>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</si>
  <si>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</si>
  <si>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</si>
  <si>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</si>
  <si>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</si>
  <si>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</si>
  <si>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</si>
  <si>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</si>
  <si>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</si>
  <si>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</si>
  <si>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</si>
  <si>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</si>
  <si>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</si>
  <si>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</si>
  <si>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</si>
  <si>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</si>
  <si>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</si>
  <si>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</si>
  <si>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</si>
  <si>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</si>
  <si>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</si>
  <si>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</si>
  <si>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</si>
  <si>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</si>
  <si>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</si>
  <si>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</si>
  <si>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</si>
  <si>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</si>
  <si>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</si>
  <si>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</si>
  <si>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</si>
  <si>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</si>
  <si>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</si>
  <si>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</si>
  <si>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</si>
  <si>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</si>
  <si>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</si>
  <si>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</si>
  <si>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</si>
  <si>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</si>
  <si>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</si>
  <si>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</si>
  <si>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</si>
  <si>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</si>
  <si>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</si>
  <si>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</si>
  <si>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</si>
  <si>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</si>
  <si>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</si>
  <si>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</si>
  <si>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</si>
  <si>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</si>
  <si>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</si>
  <si>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</si>
  <si>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</si>
  <si>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</si>
  <si>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</si>
  <si>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</si>
  <si>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</si>
  <si>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</si>
  <si>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</si>
  <si>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</si>
  <si>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</si>
  <si>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</si>
  <si>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</si>
  <si>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</si>
  <si>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</si>
  <si>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</si>
  <si>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</si>
  <si>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</si>
  <si>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</si>
  <si>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</si>
  <si>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</si>
  <si>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</si>
  <si>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</si>
  <si>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</si>
  <si>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</si>
  <si>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</si>
  <si>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</si>
  <si>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</si>
  <si>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</si>
  <si>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</si>
  <si>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</si>
  <si>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</si>
  <si>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</si>
  <si>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</si>
  <si>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</si>
  <si>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</si>
  <si>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</si>
  <si>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</si>
  <si>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</si>
  <si>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</si>
  <si>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</si>
  <si>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</si>
  <si>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</si>
  <si>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</si>
  <si>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</si>
  <si>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</si>
  <si>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</si>
  <si>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</si>
  <si>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</si>
  <si>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</si>
  <si>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</si>
  <si>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</si>
  <si>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</si>
  <si>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</si>
  <si>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</si>
  <si>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</si>
  <si>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</si>
  <si>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</si>
  <si>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</si>
  <si>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</si>
  <si>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</si>
  <si>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</si>
  <si>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</si>
  <si>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</si>
  <si>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</si>
  <si>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</si>
  <si>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</si>
  <si>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</si>
  <si>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</si>
  <si>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</si>
  <si>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</si>
  <si>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</si>
  <si>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</si>
  <si>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</si>
  <si>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</si>
  <si>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</si>
  <si>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</si>
  <si>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</si>
  <si>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</si>
  <si>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</si>
  <si>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</si>
  <si>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</si>
  <si>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</si>
  <si>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</si>
  <si>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</si>
  <si>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</si>
  <si>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</si>
  <si>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</si>
  <si>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</si>
  <si>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</si>
  <si>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</si>
  <si>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</si>
  <si>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</si>
  <si>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</si>
  <si>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</si>
  <si>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</si>
  <si>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</si>
  <si>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</si>
  <si>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</si>
  <si>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</si>
  <si>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</si>
  <si>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</si>
  <si>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</si>
  <si>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</si>
  <si>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</si>
  <si>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</si>
  <si>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</si>
  <si>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</si>
  <si>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</si>
  <si>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</si>
  <si>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</si>
  <si>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</si>
  <si>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</si>
  <si>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</si>
  <si>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</si>
  <si>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</si>
  <si>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</si>
  <si>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</si>
  <si>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</si>
  <si>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</si>
  <si>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</si>
  <si>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</si>
  <si>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</si>
  <si>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</si>
  <si>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</si>
  <si>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</si>
  <si>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</si>
  <si>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</si>
  <si>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</si>
  <si>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</si>
  <si>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</si>
  <si>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</si>
  <si>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</si>
  <si>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</si>
  <si>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</si>
  <si>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</si>
  <si>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</si>
  <si>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</si>
  <si>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</si>
  <si>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</si>
  <si>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</si>
  <si>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</si>
  <si>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</si>
  <si>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</si>
  <si>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</si>
  <si>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</si>
  <si>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</si>
  <si>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</si>
  <si>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</si>
  <si>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</si>
  <si>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</si>
  <si>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</si>
  <si>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</si>
  <si>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</si>
  <si>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</si>
  <si>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</si>
  <si>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</si>
  <si>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</si>
  <si>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</si>
  <si>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</si>
  <si>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</si>
  <si>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</si>
  <si>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</si>
  <si>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</si>
  <si>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</si>
  <si>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</si>
  <si>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</si>
  <si>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</si>
  <si>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</si>
  <si>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</si>
  <si>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</si>
  <si>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</si>
  <si>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</si>
  <si>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</si>
  <si>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</si>
  <si>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</si>
  <si>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</si>
  <si>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</si>
  <si>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</si>
  <si>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</si>
  <si>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</si>
  <si>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</si>
  <si>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</si>
  <si>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</si>
  <si>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</si>
  <si>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</si>
  <si>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</si>
  <si>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</si>
  <si>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</si>
  <si>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</si>
  <si>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</si>
  <si>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</si>
  <si>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</si>
  <si>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</si>
  <si>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</si>
  <si>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</si>
  <si>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</si>
  <si>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</si>
  <si>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</si>
  <si>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</si>
  <si>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</si>
  <si>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</si>
  <si>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</si>
  <si>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</si>
  <si>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</si>
  <si>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</si>
  <si>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</si>
  <si>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</si>
  <si>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</si>
  <si>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</si>
  <si>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</si>
  <si>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</si>
  <si>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</si>
  <si>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</si>
  <si>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</si>
  <si>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</si>
  <si>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</si>
  <si>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</si>
  <si>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</si>
  <si>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</si>
  <si>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</si>
  <si>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</si>
  <si>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</si>
  <si>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</si>
  <si>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</si>
  <si>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</si>
  <si>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</si>
  <si>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</si>
  <si>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</si>
  <si>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</si>
  <si>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</si>
  <si>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</si>
  <si>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</si>
  <si>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</si>
  <si>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</si>
  <si>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</si>
  <si>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</si>
  <si>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</si>
  <si>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</si>
  <si>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</si>
  <si>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</si>
  <si>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</si>
  <si>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</si>
  <si>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</si>
  <si>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</si>
  <si>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</si>
  <si>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</si>
  <si>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</si>
  <si>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</si>
  <si>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</si>
  <si>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</si>
  <si>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</si>
  <si>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</si>
  <si>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</si>
  <si>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</si>
  <si>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</si>
  <si>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</si>
  <si>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</si>
  <si>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</si>
  <si>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</si>
  <si>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</si>
  <si>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</si>
  <si>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</si>
  <si>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</si>
  <si>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</si>
  <si>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</si>
  <si>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</si>
  <si>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</si>
  <si>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</si>
  <si>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</si>
  <si>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</si>
  <si>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</si>
  <si>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</si>
  <si>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</si>
  <si>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</si>
  <si>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</si>
  <si>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</si>
  <si>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</si>
  <si>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</si>
  <si>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</si>
  <si>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</si>
  <si>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</si>
  <si>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</si>
  <si>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</si>
  <si>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</si>
  <si>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</si>
  <si>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</si>
  <si>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</si>
  <si>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</si>
  <si>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</si>
  <si>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</si>
  <si>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</si>
  <si>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</si>
  <si>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</si>
  <si>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</si>
  <si>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</si>
  <si>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</si>
  <si>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</si>
  <si>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</si>
  <si>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</si>
  <si>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</si>
  <si>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</si>
  <si>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</si>
  <si>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</si>
  <si>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</si>
  <si>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</si>
  <si>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</si>
  <si>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</si>
  <si>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</si>
  <si>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</si>
  <si>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</si>
  <si>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</si>
  <si>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</si>
  <si>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</si>
  <si>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</si>
  <si>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</si>
  <si>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</si>
  <si>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</si>
  <si>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</si>
  <si>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</si>
  <si>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</si>
  <si>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</si>
  <si>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</si>
  <si>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</si>
  <si>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</si>
  <si>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</si>
  <si>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</si>
  <si>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</si>
  <si>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</si>
  <si>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</si>
  <si>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</si>
  <si>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</si>
  <si>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</si>
  <si>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</si>
  <si>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</si>
  <si>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</si>
  <si>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</si>
  <si>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</si>
  <si>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</si>
  <si>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</si>
  <si>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</si>
  <si>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</si>
  <si>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</si>
  <si>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</si>
  <si>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</si>
  <si>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</si>
  <si>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</si>
  <si>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</si>
  <si>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</si>
  <si>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</si>
  <si>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</si>
  <si>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</si>
  <si>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</si>
  <si>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</si>
  <si>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</si>
  <si>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</si>
  <si>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</si>
  <si>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</si>
  <si>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</si>
  <si>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</si>
  <si>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</si>
  <si>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</si>
  <si>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</si>
  <si>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</si>
  <si>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</si>
  <si>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</si>
  <si>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</si>
  <si>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</si>
  <si>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</si>
  <si>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</si>
  <si>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</si>
  <si>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</si>
  <si>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</si>
  <si>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</si>
  <si>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</si>
  <si>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</si>
  <si>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</si>
  <si>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</si>
  <si>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</si>
  <si>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</si>
  <si>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</si>
  <si>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</si>
  <si>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</si>
  <si>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</si>
  <si>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</si>
  <si>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</si>
  <si>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</si>
  <si>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</si>
  <si>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</si>
  <si>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</si>
  <si>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</si>
  <si>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</si>
  <si>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</si>
  <si>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</si>
  <si>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</si>
  <si>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</si>
  <si>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</si>
  <si>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</si>
  <si>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</si>
  <si>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</si>
  <si>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</si>
  <si>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</si>
  <si>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</si>
  <si>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</si>
  <si>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</si>
  <si>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</si>
  <si>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</si>
  <si>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</si>
  <si>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</si>
  <si>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</si>
  <si>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</si>
  <si>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</si>
  <si>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</si>
  <si>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</si>
  <si>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</si>
  <si>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</si>
  <si>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</si>
  <si>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</si>
  <si>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</si>
  <si>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</si>
  <si>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</si>
  <si>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</si>
  <si>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</si>
  <si>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</si>
  <si>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</si>
  <si>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</si>
  <si>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</si>
  <si>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</si>
  <si>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</si>
  <si>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</si>
  <si>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</si>
  <si>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</si>
  <si>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</si>
  <si>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</si>
  <si>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</si>
  <si>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</si>
  <si>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</si>
  <si>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</si>
  <si>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</si>
  <si>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</si>
  <si>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</si>
  <si>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</si>
  <si>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</si>
  <si>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</si>
  <si>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</si>
  <si>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</si>
  <si>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</si>
  <si>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</si>
  <si>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</si>
  <si>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</si>
  <si>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</si>
  <si>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</si>
  <si>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</si>
  <si>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</si>
  <si>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</si>
  <si>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</si>
  <si>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</si>
  <si>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</si>
  <si>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</si>
  <si>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</si>
  <si>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</si>
  <si>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</si>
  <si>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</si>
  <si>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</si>
  <si>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</si>
  <si>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</si>
  <si>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</si>
  <si>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</si>
  <si>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</si>
  <si>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</si>
  <si>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</si>
  <si>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</si>
  <si>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</si>
  <si>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</si>
  <si>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</si>
  <si>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</si>
  <si>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</si>
  <si>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</si>
  <si>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</si>
  <si>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</si>
  <si>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</si>
  <si>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</si>
  <si>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</si>
  <si>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</si>
  <si>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</si>
  <si>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</si>
  <si>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</si>
  <si>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</si>
  <si>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</si>
  <si>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</si>
  <si>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</si>
  <si>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</si>
  <si>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</si>
  <si>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</si>
  <si>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</si>
  <si>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</si>
  <si>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</si>
  <si>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</si>
  <si>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</si>
  <si>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</si>
  <si>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</si>
  <si>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</si>
  <si>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</si>
  <si>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</si>
  <si>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</si>
  <si>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</si>
  <si>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</si>
  <si>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</si>
  <si>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</si>
  <si>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</si>
  <si>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</si>
  <si>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</si>
  <si>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</si>
  <si>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</si>
  <si>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</si>
  <si>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</si>
  <si>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</si>
  <si>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</si>
  <si>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</si>
  <si>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</si>
  <si>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</si>
  <si>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</si>
  <si>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</si>
  <si>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</si>
  <si>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</si>
  <si>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</si>
  <si>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</si>
  <si>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</si>
  <si>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</si>
  <si>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</si>
  <si>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</si>
  <si>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</si>
  <si>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</si>
  <si>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</si>
  <si>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</si>
  <si>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</si>
  <si>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</si>
  <si>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</si>
  <si>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</si>
  <si>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</si>
  <si>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</si>
  <si>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</si>
  <si>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</si>
  <si>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</si>
  <si>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</si>
  <si>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</si>
  <si>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</si>
  <si>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</si>
  <si>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</si>
  <si>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</si>
  <si>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</si>
  <si>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</si>
  <si>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</si>
  <si>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</si>
  <si>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</si>
  <si>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</si>
  <si>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</si>
  <si>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</si>
  <si>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</si>
  <si>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</si>
  <si>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</si>
  <si>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</si>
  <si>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</si>
  <si>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</si>
  <si>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</si>
  <si>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</si>
  <si>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</si>
  <si>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</si>
  <si>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</si>
  <si>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</si>
  <si>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</si>
  <si>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</si>
  <si>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</si>
  <si>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</si>
  <si>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</si>
  <si>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</si>
  <si>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</si>
  <si>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</si>
  <si>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</si>
  <si>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</si>
  <si>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</si>
  <si>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</si>
  <si>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</si>
  <si>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</si>
  <si>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</si>
  <si>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</si>
  <si>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</si>
  <si>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</si>
  <si>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</si>
  <si>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</si>
  <si>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</si>
  <si>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</si>
  <si>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</si>
  <si>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</si>
  <si>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</si>
  <si>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</si>
  <si>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</si>
  <si>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</si>
  <si>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</si>
  <si>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</si>
  <si>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</si>
  <si>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</si>
  <si>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</si>
  <si>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</si>
  <si>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</si>
  <si>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</si>
  <si>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</si>
  <si>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</si>
  <si>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</si>
  <si>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</si>
  <si>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</si>
  <si>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</si>
  <si>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</si>
  <si>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</si>
  <si>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</si>
  <si>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</si>
  <si>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</si>
  <si>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</si>
  <si>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</si>
  <si>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</si>
  <si>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</si>
  <si>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</si>
  <si>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</si>
  <si>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</si>
  <si>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</si>
  <si>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</si>
  <si>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</si>
  <si>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</si>
  <si>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</si>
  <si>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</si>
  <si>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</si>
  <si>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</si>
  <si>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</si>
  <si>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</si>
  <si>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</si>
  <si>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</si>
  <si>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</si>
  <si>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</si>
  <si>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</si>
  <si>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</si>
  <si>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</si>
  <si>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</si>
  <si>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</si>
  <si>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</si>
  <si>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</si>
  <si>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</si>
  <si>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</si>
  <si>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</si>
  <si>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</si>
  <si>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</si>
  <si>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</si>
  <si>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</si>
  <si>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</si>
  <si>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</si>
  <si>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</si>
  <si>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</si>
  <si>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</si>
  <si>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</si>
  <si>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</si>
  <si>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</si>
  <si>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</si>
  <si>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</si>
  <si>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</si>
  <si>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</si>
  <si>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</si>
  <si>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</si>
  <si>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</si>
  <si>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</si>
  <si>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</si>
  <si>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</si>
  <si>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</si>
  <si>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</si>
  <si>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</si>
  <si>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</si>
  <si>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</si>
  <si>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</si>
  <si>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</si>
  <si>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</si>
  <si>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</si>
  <si>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</si>
  <si>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</si>
  <si>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</si>
  <si>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</si>
  <si>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</si>
  <si>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</si>
  <si>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</si>
  <si>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</si>
  <si>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</si>
  <si>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</si>
  <si>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</si>
  <si>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</si>
  <si>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</si>
  <si>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</si>
  <si>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</si>
  <si>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</si>
  <si>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</si>
  <si>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</si>
  <si>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</si>
  <si>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</si>
  <si>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</si>
  <si>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</si>
  <si>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</si>
  <si>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</si>
  <si>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</si>
  <si>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</si>
  <si>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</si>
  <si>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</si>
  <si>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</si>
  <si>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</si>
  <si>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</si>
  <si>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</si>
  <si>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</si>
  <si>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</si>
  <si>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</si>
  <si>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</si>
  <si>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</si>
  <si>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</si>
  <si>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</si>
  <si>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</si>
  <si>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</si>
  <si>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</si>
  <si>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</si>
  <si>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</si>
  <si>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</si>
  <si>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</si>
  <si>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</si>
  <si>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</si>
  <si>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</si>
  <si>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</si>
  <si>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</si>
  <si>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</si>
  <si>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</si>
  <si>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</si>
  <si>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</si>
  <si>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</si>
  <si>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</si>
  <si>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</si>
  <si>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</si>
  <si>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</si>
  <si>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</si>
  <si>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</si>
  <si>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</si>
  <si>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</si>
  <si>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</si>
  <si>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</si>
  <si>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</si>
  <si>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</si>
  <si>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</si>
  <si>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</si>
  <si>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</si>
  <si>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</si>
  <si>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</si>
  <si>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</si>
  <si>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</si>
  <si>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</si>
  <si>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</si>
  <si>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</si>
  <si>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</si>
  <si>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</si>
  <si>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</si>
  <si>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</si>
  <si>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</si>
  <si>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</si>
  <si>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</si>
  <si>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</si>
  <si>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</si>
  <si>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</si>
  <si>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</si>
  <si>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</si>
  <si>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</si>
  <si>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</si>
  <si>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</si>
  <si>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</si>
  <si>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</si>
  <si>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</si>
  <si>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</si>
  <si>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</si>
  <si>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</si>
  <si>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</si>
  <si>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</si>
  <si>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</si>
  <si>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</si>
  <si>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</si>
  <si>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</si>
  <si>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</si>
  <si>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</si>
  <si>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</si>
  <si>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</si>
  <si>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</si>
  <si>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</si>
  <si>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</si>
  <si>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</si>
  <si>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</si>
  <si>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</si>
  <si>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</si>
  <si>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</si>
  <si>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</si>
  <si>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</si>
  <si>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</si>
  <si>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</si>
  <si>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</si>
  <si>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</si>
  <si>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</si>
  <si>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</si>
  <si>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</si>
  <si>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</si>
  <si>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</si>
  <si>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</si>
  <si>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</si>
  <si>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</si>
  <si>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</si>
  <si>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</si>
  <si>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</si>
  <si>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</si>
  <si>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</si>
  <si>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</si>
  <si>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</si>
  <si>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</si>
  <si>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</si>
  <si>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</si>
  <si>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</si>
  <si>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</si>
  <si>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</si>
  <si>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</si>
  <si>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</si>
  <si>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</si>
  <si>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</si>
  <si>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</si>
  <si>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</si>
  <si>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</si>
  <si>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</si>
  <si>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</si>
  <si>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</si>
  <si>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</si>
  <si>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</si>
  <si>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</si>
  <si>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</si>
  <si>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</si>
  <si>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</si>
  <si>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</si>
  <si>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</si>
  <si>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</si>
  <si>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</si>
  <si>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</si>
  <si>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</si>
  <si>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</si>
  <si>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</si>
  <si>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</si>
  <si>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</si>
  <si>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</si>
  <si>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</si>
  <si>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</si>
  <si>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</si>
  <si>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</si>
  <si>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</si>
  <si>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</si>
  <si>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</si>
  <si>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</si>
  <si>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</si>
  <si>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</si>
  <si>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</si>
  <si>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</si>
  <si>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</si>
  <si>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</si>
  <si>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</si>
  <si>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</si>
  <si>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</si>
  <si>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</si>
  <si>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</si>
  <si>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</si>
  <si>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</si>
  <si>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</si>
  <si>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</si>
  <si>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</si>
  <si>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</si>
  <si>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</si>
  <si>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</si>
  <si>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</si>
  <si>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</si>
  <si>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</si>
  <si>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</si>
  <si>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</si>
  <si>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</si>
  <si>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</si>
  <si>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</si>
  <si>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</si>
  <si>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</si>
  <si>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</si>
  <si>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</si>
  <si>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</si>
  <si>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</si>
  <si>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</si>
  <si>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</si>
  <si>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</si>
  <si>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</si>
  <si>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</si>
  <si>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</si>
  <si>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</si>
  <si>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</si>
  <si>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</si>
  <si>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</si>
  <si>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</si>
  <si>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</si>
  <si>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</si>
  <si>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</si>
  <si>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</si>
  <si>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</si>
  <si>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</si>
  <si>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</si>
  <si>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</si>
  <si>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</si>
  <si>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</si>
  <si>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</si>
  <si>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</si>
  <si>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</si>
  <si>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</si>
  <si>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</si>
  <si>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</si>
  <si>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</si>
  <si>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</si>
  <si>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</si>
  <si>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</si>
  <si>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</si>
  <si>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</si>
  <si>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</si>
  <si>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</si>
  <si>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</si>
  <si>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</si>
  <si>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</si>
  <si>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</si>
  <si>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</si>
  <si>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</si>
  <si>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</si>
  <si>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</si>
  <si>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</si>
  <si>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</si>
  <si>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</si>
  <si>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</si>
  <si>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</si>
  <si>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</si>
  <si>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</si>
  <si>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</si>
  <si>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</si>
  <si>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</si>
  <si>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</si>
  <si>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</si>
  <si>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</si>
  <si>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</si>
  <si>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</si>
  <si>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</si>
  <si>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</si>
  <si>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</si>
  <si>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</si>
  <si>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</si>
  <si>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</si>
  <si>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</si>
  <si>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</si>
  <si>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</si>
  <si>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</si>
  <si>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</si>
  <si>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</si>
  <si>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</si>
  <si>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</si>
  <si>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</si>
  <si>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</si>
  <si>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</si>
  <si>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</si>
  <si>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</si>
  <si>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</si>
  <si>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</si>
  <si>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</si>
  <si>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</si>
  <si>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</si>
  <si>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</si>
  <si>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</si>
  <si>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</si>
  <si>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</si>
  <si>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</si>
  <si>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</si>
  <si>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</si>
  <si>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</si>
  <si>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</si>
  <si>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</si>
  <si>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</si>
  <si>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</si>
  <si>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</si>
  <si>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</si>
  <si>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</si>
  <si>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</si>
  <si>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</si>
  <si>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</si>
  <si>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</si>
  <si>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</si>
  <si>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</si>
  <si>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</si>
  <si>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</si>
  <si>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</si>
  <si>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</si>
  <si>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</si>
  <si>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</si>
  <si>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</si>
  <si>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</si>
  <si>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</si>
  <si>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</si>
  <si>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</si>
  <si>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</si>
  <si>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</si>
  <si>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</si>
  <si>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</si>
  <si>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</si>
  <si>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</si>
  <si>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</si>
  <si>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</si>
  <si>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</si>
  <si>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</si>
  <si>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</si>
  <si>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</si>
  <si>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</si>
  <si>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</si>
  <si>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</si>
  <si>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</si>
  <si>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</si>
  <si>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</si>
  <si>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</si>
  <si>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</si>
  <si>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</si>
  <si>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</si>
  <si>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</si>
  <si>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</si>
  <si>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</si>
  <si>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</si>
  <si>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</si>
  <si>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</si>
  <si>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</si>
  <si>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</si>
  <si>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</si>
  <si>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</si>
  <si>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</si>
  <si>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</si>
  <si>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</si>
  <si>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</si>
  <si>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</si>
  <si>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</si>
  <si>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</si>
  <si>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</si>
  <si>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</si>
  <si>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</si>
  <si>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</si>
  <si>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</si>
  <si>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</si>
  <si>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</si>
  <si>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</si>
  <si>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</si>
  <si>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</si>
  <si>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</si>
  <si>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</si>
  <si>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</si>
  <si>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</si>
  <si>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</si>
  <si>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</si>
  <si>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</si>
  <si>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</si>
  <si>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</si>
  <si>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</si>
  <si>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</si>
  <si>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</si>
  <si>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</si>
  <si>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</si>
  <si>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</si>
  <si>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</si>
  <si>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</si>
  <si>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</si>
  <si>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</si>
  <si>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</si>
  <si>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</si>
  <si>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</si>
  <si>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</si>
  <si>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</si>
  <si>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</si>
  <si>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</si>
  <si>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</si>
  <si>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</si>
  <si>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</si>
  <si>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</si>
  <si>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</si>
  <si>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</si>
  <si>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</si>
  <si>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</si>
  <si>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</si>
  <si>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</si>
  <si>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</si>
  <si>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</si>
  <si>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</si>
  <si>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</si>
  <si>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</si>
  <si>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</si>
  <si>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</si>
  <si>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</si>
  <si>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</si>
  <si>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</si>
  <si>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</si>
  <si>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</si>
  <si>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</si>
  <si>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</si>
  <si>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</si>
  <si>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</si>
  <si>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</si>
  <si>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</si>
  <si>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</si>
  <si>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</si>
  <si>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</si>
  <si>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</si>
  <si>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</si>
  <si>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</si>
  <si>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</si>
  <si>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</si>
  <si>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</si>
  <si>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</si>
  <si>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</si>
  <si>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</si>
  <si>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</si>
  <si>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</si>
  <si>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</si>
  <si>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</si>
  <si>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</si>
  <si>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</si>
  <si>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</si>
  <si>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</si>
  <si>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</si>
  <si>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</si>
  <si>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</si>
  <si>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</si>
  <si>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</si>
  <si>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</si>
  <si>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</si>
  <si>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</si>
  <si>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</si>
  <si>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</si>
  <si>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</si>
  <si>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</si>
  <si>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</si>
  <si>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</si>
  <si>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</si>
  <si>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</si>
  <si>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</si>
  <si>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</si>
  <si>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</si>
  <si>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</si>
  <si>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</si>
  <si>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</si>
  <si>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</si>
  <si>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</si>
  <si>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</si>
  <si>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</si>
  <si>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</si>
  <si>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</si>
  <si>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</si>
  <si>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</si>
  <si>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</si>
  <si>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</si>
  <si>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</si>
  <si>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</si>
  <si>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</si>
  <si>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</si>
  <si>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</si>
  <si>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</si>
  <si>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</si>
  <si>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</si>
  <si>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</si>
  <si>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</si>
  <si>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</si>
  <si>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</si>
  <si>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</si>
  <si>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</si>
  <si>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</si>
  <si>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</si>
  <si>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</si>
  <si>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</si>
  <si>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</si>
  <si>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</si>
  <si>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</si>
  <si>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</si>
  <si>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</si>
  <si>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</si>
  <si>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</si>
  <si>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</si>
  <si>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</si>
  <si>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</si>
  <si>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</si>
  <si>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</si>
  <si>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</si>
  <si>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</si>
  <si>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</si>
  <si>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</si>
  <si>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</si>
  <si>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</si>
  <si>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</si>
  <si>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</si>
  <si>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</si>
  <si>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</si>
  <si>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</si>
  <si>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</si>
  <si>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</si>
  <si>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</si>
  <si>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</si>
  <si>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</si>
  <si>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</si>
  <si>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</si>
  <si>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</si>
  <si>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</si>
  <si>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</si>
  <si>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</si>
  <si>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</si>
  <si>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</si>
  <si>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</si>
  <si>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</si>
  <si>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</si>
  <si>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</si>
  <si>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</si>
  <si>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</si>
  <si>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</si>
  <si>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</si>
  <si>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</si>
  <si>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</si>
  <si>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</si>
  <si>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</si>
  <si>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</si>
  <si>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</si>
  <si>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</si>
  <si>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</si>
  <si>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</si>
  <si>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</si>
  <si>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</si>
  <si>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</si>
  <si>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</si>
  <si>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</si>
  <si>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</si>
  <si>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</si>
  <si>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</si>
  <si>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</si>
  <si>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</si>
  <si>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</si>
  <si>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</si>
  <si>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</si>
  <si>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</si>
  <si>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</si>
  <si>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</si>
  <si>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</si>
  <si>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</si>
  <si>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</si>
  <si>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</si>
  <si>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</si>
  <si>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</si>
  <si>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</si>
  <si>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</si>
  <si>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</si>
  <si>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</si>
  <si>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</si>
  <si>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</si>
  <si>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</si>
  <si>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</si>
  <si>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</si>
  <si>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</si>
  <si>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</si>
  <si>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</si>
  <si>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</si>
  <si>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</si>
  <si>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</si>
  <si>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</si>
  <si>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</si>
  <si>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</si>
  <si>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</si>
  <si>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</si>
  <si>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</si>
  <si>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</si>
  <si>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</si>
  <si>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</si>
  <si>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</si>
  <si>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</si>
  <si>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</si>
  <si>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</si>
  <si>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</si>
  <si>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</si>
  <si>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</si>
  <si>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</si>
  <si>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</si>
  <si>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</si>
  <si>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</si>
  <si>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</si>
  <si>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</si>
  <si>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</si>
  <si>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</si>
  <si>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</si>
  <si>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</si>
  <si>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</si>
  <si>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</si>
  <si>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</si>
  <si>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</si>
  <si>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</si>
  <si>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</si>
  <si>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</si>
  <si>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</si>
  <si>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</si>
  <si>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</si>
  <si>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</si>
  <si>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</si>
  <si>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</si>
  <si>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</si>
  <si>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</si>
  <si>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</si>
  <si>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</si>
  <si>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</si>
  <si>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</si>
  <si>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</si>
  <si>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</si>
  <si>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</si>
  <si>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</si>
  <si>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</si>
  <si>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</si>
  <si>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</si>
  <si>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</si>
  <si>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</si>
  <si>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</si>
  <si>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</si>
  <si>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</si>
  <si>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</si>
  <si>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</si>
  <si>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</si>
  <si>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</si>
  <si>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</si>
  <si>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</si>
  <si>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</si>
  <si>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</si>
  <si>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</si>
  <si>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</si>
  <si>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</si>
  <si>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</si>
  <si>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</si>
  <si>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</si>
  <si>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</si>
  <si>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</si>
  <si>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</si>
  <si>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</si>
  <si>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</si>
  <si>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</si>
  <si>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</si>
  <si>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</si>
  <si>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</si>
  <si>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</si>
  <si>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</si>
  <si>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</si>
  <si>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</si>
  <si>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</si>
  <si>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</si>
  <si>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</si>
  <si>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</si>
  <si>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</si>
  <si>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</si>
  <si>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</si>
  <si>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</si>
  <si>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</si>
  <si>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</si>
  <si>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</si>
  <si>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</si>
  <si>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</si>
  <si>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</si>
  <si>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</si>
  <si>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</si>
  <si>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</si>
  <si>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</si>
  <si>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</si>
  <si>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</si>
  <si>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</si>
  <si>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</si>
  <si>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</si>
  <si>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</si>
  <si>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</si>
  <si>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</si>
  <si>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</si>
  <si>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</si>
  <si>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</si>
  <si>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</si>
  <si>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</si>
  <si>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</si>
  <si>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</si>
  <si>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</si>
  <si>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</si>
  <si>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</si>
  <si>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</si>
  <si>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</si>
  <si>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</si>
  <si>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</si>
  <si>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</si>
  <si>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</si>
  <si>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</si>
  <si>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</si>
  <si>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</si>
  <si>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</si>
  <si>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</si>
  <si>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</si>
  <si>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</si>
  <si>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</si>
  <si>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</si>
  <si>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</si>
  <si>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</si>
  <si>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</si>
  <si>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</si>
  <si>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</si>
  <si>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</si>
  <si>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</si>
  <si>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</si>
  <si>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</si>
  <si>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</si>
  <si>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</si>
  <si>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</si>
  <si>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</si>
  <si>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</si>
  <si>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</si>
  <si>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</si>
  <si>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</si>
  <si>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</si>
  <si>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</si>
  <si>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</si>
  <si>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</si>
  <si>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</si>
  <si>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</si>
  <si>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</si>
  <si>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</si>
  <si>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</si>
  <si>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</si>
  <si>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</si>
  <si>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</si>
  <si>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</si>
  <si>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</si>
  <si>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</si>
  <si>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</si>
  <si>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</si>
  <si>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</si>
  <si>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</si>
  <si>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</si>
  <si>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</si>
  <si>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</si>
  <si>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</si>
  <si>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</si>
  <si>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</si>
  <si>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</si>
  <si>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</si>
  <si>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</si>
  <si>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</si>
  <si>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</si>
  <si>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</si>
  <si>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</si>
  <si>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</si>
  <si>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</si>
  <si>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</si>
  <si>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</si>
  <si>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</si>
  <si>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</si>
  <si>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</si>
  <si>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</si>
  <si>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</si>
  <si>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</si>
  <si>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</si>
  <si>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</si>
  <si>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</si>
  <si>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</si>
  <si>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</si>
  <si>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</si>
  <si>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</si>
  <si>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</si>
  <si>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</si>
  <si>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</si>
  <si>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</si>
  <si>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</si>
  <si>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</si>
  <si>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</si>
  <si>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</si>
  <si>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</si>
  <si>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</si>
  <si>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</si>
  <si>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</si>
  <si>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</si>
  <si>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</si>
  <si>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</si>
  <si>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</si>
  <si>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</si>
  <si>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</si>
  <si>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</si>
  <si>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</si>
  <si>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</si>
  <si>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</si>
  <si>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</si>
  <si>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</si>
  <si>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</si>
  <si>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</si>
  <si>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</si>
  <si>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</si>
  <si>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</si>
  <si>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</si>
  <si>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</si>
  <si>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</si>
  <si>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</si>
  <si>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</si>
  <si>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</si>
  <si>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</si>
  <si>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</si>
  <si>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</si>
  <si>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</si>
  <si>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</si>
  <si>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</si>
  <si>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</si>
  <si>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</si>
  <si>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</si>
  <si>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</si>
  <si>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</si>
  <si>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</si>
  <si>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</si>
  <si>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</si>
  <si>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</si>
  <si>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</si>
  <si>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</si>
  <si>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</si>
  <si>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</si>
  <si>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</si>
  <si>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</si>
  <si>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</si>
  <si>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</si>
  <si>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</si>
  <si>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</si>
  <si>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</si>
  <si>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</si>
  <si>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</si>
  <si>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</si>
  <si>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</si>
  <si>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</si>
  <si>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</si>
  <si>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</si>
  <si>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</si>
  <si>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</si>
  <si>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</si>
  <si>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</si>
  <si>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</si>
  <si>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</si>
  <si>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</si>
  <si>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</si>
  <si>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</si>
  <si>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</si>
  <si>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</si>
  <si>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</si>
  <si>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</si>
  <si>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</si>
  <si>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</si>
  <si>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</si>
  <si>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</si>
  <si>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</si>
  <si>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</si>
  <si>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</si>
  <si>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</si>
  <si>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</si>
  <si>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</si>
  <si>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</si>
  <si>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</si>
  <si>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</si>
  <si>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</si>
  <si>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</si>
  <si>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</si>
  <si>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</si>
  <si>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</si>
  <si>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</si>
  <si>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</si>
  <si>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</si>
  <si>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</si>
  <si>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</si>
  <si>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</si>
  <si>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</si>
  <si>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</si>
  <si>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</si>
  <si>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</si>
  <si>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</si>
  <si>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</si>
  <si>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</si>
  <si>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</si>
  <si>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</si>
  <si>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</si>
  <si>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</si>
  <si>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</si>
  <si>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</si>
  <si>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</si>
  <si>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</si>
  <si>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</si>
  <si>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</si>
  <si>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</si>
  <si>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</si>
  <si>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</si>
  <si>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</si>
  <si>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</si>
  <si>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</si>
  <si>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</si>
  <si>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</si>
  <si>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</si>
  <si>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</si>
  <si>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</si>
  <si>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</si>
  <si>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</si>
  <si>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</si>
  <si>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</si>
  <si>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</si>
  <si>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</si>
  <si>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</si>
  <si>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</si>
  <si>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</si>
  <si>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</si>
  <si>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</si>
  <si>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</si>
  <si>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</si>
  <si>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</si>
  <si>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</si>
  <si>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</si>
  <si>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</si>
  <si>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</si>
  <si>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</si>
  <si>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</si>
  <si>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</si>
  <si>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</si>
  <si>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</si>
  <si>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</si>
  <si>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</si>
  <si>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</si>
  <si>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</si>
  <si>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</si>
  <si>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</si>
  <si>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</si>
  <si>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</si>
  <si>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</si>
  <si>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</si>
  <si>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</si>
  <si>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</si>
  <si>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</si>
  <si>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</si>
  <si>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</si>
  <si>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</si>
  <si>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</si>
  <si>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</si>
  <si>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</si>
  <si>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</si>
  <si>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</si>
  <si>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</si>
  <si>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</si>
  <si>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</si>
  <si>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</si>
  <si>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</si>
  <si>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</si>
  <si>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</si>
  <si>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</si>
  <si>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</si>
  <si>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</si>
  <si>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</si>
  <si>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</si>
  <si>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</si>
  <si>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</si>
  <si>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</si>
  <si>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</si>
  <si>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</si>
  <si>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</si>
  <si>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</si>
  <si>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</si>
  <si>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</si>
  <si>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</si>
  <si>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</si>
  <si>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</si>
  <si>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</si>
  <si>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</si>
  <si>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</si>
  <si>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</si>
  <si>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</si>
  <si>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</si>
  <si>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</si>
  <si>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</si>
  <si>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</si>
  <si>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</si>
  <si>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</si>
  <si>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</si>
  <si>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</si>
  <si>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</si>
  <si>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</si>
  <si>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</si>
  <si>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</si>
  <si>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</si>
  <si>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</si>
  <si>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</si>
  <si>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</si>
  <si>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</si>
  <si>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</si>
  <si>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</si>
  <si>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</si>
  <si>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</si>
  <si>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</si>
  <si>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</si>
  <si>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</si>
  <si>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</si>
  <si>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</si>
  <si>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</si>
  <si>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</si>
  <si>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</si>
  <si>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</si>
  <si>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</si>
  <si>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</si>
  <si>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</si>
  <si>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</si>
  <si>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</si>
  <si>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</si>
  <si>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</si>
  <si>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</si>
  <si>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</si>
  <si>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</si>
  <si>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</si>
  <si>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</si>
  <si>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</si>
  <si>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</si>
  <si>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</si>
  <si>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</si>
  <si>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</si>
  <si>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</si>
  <si>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</si>
  <si>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</si>
  <si>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</si>
  <si>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</si>
  <si>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</si>
  <si>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</si>
  <si>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</si>
  <si>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</si>
  <si>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</si>
  <si>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</si>
  <si>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</si>
  <si>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</si>
  <si>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</si>
  <si>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</si>
  <si>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</si>
  <si>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</si>
  <si>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</si>
  <si>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</si>
  <si>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</si>
  <si>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</si>
  <si>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</si>
  <si>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</si>
  <si>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</si>
  <si>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</si>
  <si>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</si>
  <si>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</si>
  <si>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</si>
  <si>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</si>
  <si>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</si>
  <si>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</si>
  <si>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</si>
  <si>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</si>
  <si>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</si>
  <si>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</si>
  <si>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</si>
  <si>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</si>
  <si>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</si>
  <si>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</si>
  <si>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</si>
  <si>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</si>
  <si>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</si>
  <si>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</si>
  <si>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</si>
  <si>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</si>
  <si>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</si>
  <si>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</si>
  <si>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</si>
  <si>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</si>
  <si>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</si>
  <si>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</si>
  <si>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</si>
  <si>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</si>
  <si>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</si>
  <si>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</si>
  <si>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</si>
  <si>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</si>
  <si>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</si>
  <si>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</si>
  <si>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</si>
  <si>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</si>
  <si>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</si>
  <si>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</si>
  <si>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</si>
  <si>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</si>
  <si>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</si>
  <si>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</si>
  <si>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</si>
  <si>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</si>
  <si>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</si>
  <si>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</si>
  <si>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</si>
  <si>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</si>
  <si>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</si>
  <si>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</si>
  <si>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</si>
  <si>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</si>
  <si>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</si>
  <si>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</si>
  <si>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</si>
  <si>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</si>
  <si>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</si>
  <si>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</si>
  <si>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</si>
  <si>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</si>
  <si>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</si>
  <si>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</si>
  <si>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</si>
  <si>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</si>
  <si>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</si>
  <si>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</si>
  <si>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</si>
  <si>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</si>
  <si>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</si>
  <si>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</si>
  <si>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</si>
  <si>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</si>
  <si>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</si>
  <si>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</si>
  <si>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</si>
  <si>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</si>
  <si>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</si>
  <si>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</si>
  <si>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</si>
  <si>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</si>
  <si>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</si>
  <si>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</si>
  <si>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</si>
  <si>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</si>
  <si>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</si>
  <si>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</si>
  <si>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</si>
  <si>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</si>
  <si>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</si>
  <si>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</si>
  <si>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</si>
  <si>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</si>
  <si>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</si>
  <si>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</si>
  <si>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</si>
  <si>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</si>
  <si>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</si>
  <si>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</si>
  <si>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</si>
  <si>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</si>
  <si>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</si>
  <si>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</si>
  <si>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</si>
  <si>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</si>
  <si>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</si>
  <si>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</si>
  <si>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</si>
  <si>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</si>
  <si>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</si>
  <si>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</si>
  <si>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</si>
  <si>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</si>
  <si>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</si>
  <si>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</si>
  <si>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</si>
  <si>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</si>
  <si>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</si>
  <si>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</si>
  <si>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</si>
  <si>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</si>
  <si>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</si>
  <si>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</si>
  <si>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</si>
  <si>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</si>
  <si>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</si>
  <si>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</si>
  <si>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</si>
  <si>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</si>
  <si>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</si>
  <si>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</si>
  <si>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</si>
  <si>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</si>
  <si>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</si>
  <si>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</si>
  <si>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</si>
  <si>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</si>
  <si>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</si>
  <si>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</si>
  <si>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</si>
  <si>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</si>
  <si>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</si>
  <si>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</si>
  <si>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</si>
  <si>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</si>
  <si>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</si>
  <si>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</si>
  <si>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</si>
  <si>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</si>
  <si>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</si>
  <si>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</si>
  <si>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</si>
  <si>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</si>
  <si>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</si>
  <si>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</si>
  <si>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</si>
  <si>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</si>
  <si>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</si>
  <si>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</si>
  <si>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</si>
  <si>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</si>
  <si>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</si>
  <si>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</si>
  <si>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</si>
  <si>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</si>
  <si>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</si>
  <si>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</si>
  <si>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</si>
  <si>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</si>
  <si>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</si>
  <si>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</si>
  <si>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</si>
  <si>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</si>
  <si>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</si>
  <si>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</si>
  <si>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</si>
  <si>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</si>
  <si>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</si>
  <si>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</si>
  <si>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</si>
  <si>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</si>
  <si>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</si>
  <si>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</si>
  <si>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</si>
  <si>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</si>
  <si>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</si>
  <si>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</si>
  <si>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</si>
  <si>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</si>
  <si>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</si>
  <si>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</si>
  <si>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</si>
  <si>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</si>
  <si>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</si>
  <si>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</si>
  <si>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</si>
  <si>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</si>
  <si>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</si>
  <si>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</si>
  <si>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</si>
  <si>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</si>
  <si>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</si>
  <si>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</si>
  <si>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</si>
  <si>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</si>
  <si>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</si>
  <si>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</si>
  <si>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</si>
  <si>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</si>
  <si>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</si>
  <si>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</si>
  <si>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</si>
  <si>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</si>
  <si>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</si>
  <si>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</si>
  <si>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</si>
  <si>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</si>
  <si>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</si>
  <si>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</si>
  <si>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</si>
  <si>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</si>
  <si>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</si>
  <si>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</si>
  <si>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</si>
  <si>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</si>
  <si>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</si>
  <si>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</si>
  <si>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</si>
  <si>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</si>
  <si>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</si>
  <si>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</si>
  <si>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</si>
  <si>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</si>
  <si>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</si>
  <si>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</si>
  <si>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</si>
  <si>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</si>
  <si>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</si>
  <si>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</si>
  <si>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</si>
  <si>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</si>
  <si>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</si>
  <si>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</si>
  <si>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</si>
  <si>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</si>
  <si>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</si>
  <si>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</si>
  <si>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</si>
  <si>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</si>
  <si>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</si>
  <si>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</si>
  <si>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</si>
  <si>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</si>
  <si>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</si>
  <si>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</si>
  <si>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</si>
  <si>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</si>
  <si>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</si>
  <si>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</si>
  <si>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</si>
  <si>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</si>
  <si>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</si>
  <si>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</si>
  <si>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</si>
  <si>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</si>
  <si>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</si>
  <si>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</si>
  <si>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</si>
  <si>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</si>
  <si>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</si>
  <si>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</si>
  <si>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</si>
  <si>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</si>
  <si>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</si>
  <si>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</si>
  <si>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</si>
  <si>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</si>
  <si>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</si>
  <si>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</si>
  <si>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</si>
  <si>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</si>
  <si>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</si>
  <si>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</si>
  <si>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</si>
  <si>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</si>
  <si>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</si>
  <si>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</si>
  <si>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</si>
  <si>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</si>
  <si>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</si>
  <si>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</si>
  <si>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</si>
  <si>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</si>
  <si>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</si>
  <si>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</si>
  <si>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</si>
  <si>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</si>
  <si>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</si>
  <si>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</si>
  <si>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</si>
  <si>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</si>
  <si>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</si>
  <si>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</si>
  <si>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</si>
  <si>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</si>
  <si>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</si>
  <si>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</si>
  <si>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</si>
  <si>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</si>
  <si>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</si>
  <si>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</si>
  <si>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</si>
  <si>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</si>
  <si>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</si>
  <si>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</si>
  <si>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</si>
  <si>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</si>
  <si>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</si>
  <si>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</si>
  <si>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</si>
  <si>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</si>
  <si>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</si>
  <si>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</si>
  <si>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</si>
  <si>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</si>
  <si>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</si>
  <si>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</si>
  <si>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</si>
  <si>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</si>
  <si>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</si>
  <si>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</si>
  <si>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</si>
  <si>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</si>
  <si>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</si>
  <si>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</si>
  <si>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</si>
  <si>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</si>
  <si>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</si>
  <si>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</si>
  <si>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</si>
  <si>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</si>
  <si>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</si>
  <si>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</si>
  <si>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</si>
  <si>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</si>
  <si>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</si>
  <si>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</si>
  <si>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</si>
  <si>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</si>
  <si>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</si>
  <si>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</si>
  <si>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</si>
  <si>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</si>
  <si>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</si>
  <si>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</si>
  <si>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</si>
  <si>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</si>
  <si>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</si>
  <si>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</si>
  <si>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</si>
  <si>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</si>
  <si>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</si>
  <si>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</si>
  <si>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</si>
  <si>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</si>
  <si>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</si>
  <si>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</si>
  <si>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</si>
  <si>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</si>
  <si>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</si>
  <si>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</si>
  <si>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</si>
  <si>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</si>
  <si>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</si>
  <si>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</si>
  <si>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</si>
  <si>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</si>
  <si>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</si>
  <si>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</si>
  <si>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</si>
  <si>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</si>
  <si>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</si>
  <si>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</si>
  <si>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</si>
  <si>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</si>
  <si>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</si>
  <si>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</si>
  <si>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</si>
  <si>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</si>
  <si>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</si>
  <si>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</si>
  <si>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</si>
  <si>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</si>
  <si>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</si>
  <si>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</si>
  <si>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</si>
  <si>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</si>
  <si>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</si>
  <si>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</si>
  <si>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</si>
  <si>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</si>
  <si>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</si>
  <si>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</si>
  <si>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</si>
  <si>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</si>
  <si>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</si>
  <si>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</si>
  <si>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</si>
  <si>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</si>
  <si>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</si>
  <si>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</si>
  <si>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</si>
  <si>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</si>
  <si>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</si>
  <si>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</si>
  <si>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</si>
  <si>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</si>
  <si>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</si>
  <si>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</si>
  <si>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</si>
  <si>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</si>
  <si>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</si>
  <si>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</si>
  <si>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</si>
  <si>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</si>
  <si>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</si>
  <si>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</si>
  <si>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</si>
  <si>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</si>
  <si>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</si>
  <si>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</si>
  <si>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</si>
  <si>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</si>
  <si>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</si>
  <si>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</si>
  <si>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</si>
  <si>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</si>
  <si>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</si>
  <si>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</si>
  <si>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</si>
  <si>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</si>
  <si>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</si>
  <si>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</si>
  <si>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</si>
  <si>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</si>
  <si>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</si>
  <si>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</si>
  <si>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</si>
  <si>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</si>
  <si>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</si>
  <si>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</si>
  <si>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</si>
  <si>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</si>
  <si>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</si>
  <si>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</si>
  <si>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</si>
  <si>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</si>
  <si>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</si>
  <si>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</si>
  <si>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</si>
  <si>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</si>
  <si>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</si>
  <si>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</si>
  <si>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</si>
  <si>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</si>
  <si>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</si>
  <si>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</si>
  <si>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</si>
  <si>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</si>
  <si>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</si>
  <si>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</si>
  <si>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</si>
  <si>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</si>
  <si>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</si>
  <si>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</si>
  <si>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</si>
  <si>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</si>
  <si>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</si>
  <si>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</si>
  <si>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</si>
  <si>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</si>
  <si>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</si>
  <si>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</si>
  <si>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</si>
  <si>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</si>
  <si>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</si>
  <si>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</si>
  <si>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</si>
  <si>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</si>
  <si>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</si>
  <si>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</si>
  <si>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</si>
  <si>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</si>
  <si>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</si>
  <si>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</si>
  <si>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</si>
  <si>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</si>
  <si>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</si>
  <si>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</si>
  <si>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</si>
  <si>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</si>
  <si>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</si>
  <si>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</si>
  <si>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</si>
  <si>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</si>
  <si>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</si>
  <si>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</si>
  <si>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</si>
  <si>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</si>
  <si>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</si>
  <si>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</si>
  <si>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</si>
  <si>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</si>
  <si>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</si>
  <si>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</si>
  <si>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</si>
  <si>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</si>
  <si>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</si>
  <si>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</si>
  <si>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</si>
  <si>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</si>
  <si>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</si>
  <si>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</si>
  <si>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</si>
  <si>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</si>
  <si>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</si>
  <si>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</si>
  <si>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</si>
  <si>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</si>
  <si>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</si>
  <si>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</si>
  <si>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</si>
  <si>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</si>
  <si>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</si>
  <si>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</si>
  <si>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</si>
  <si>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</si>
  <si>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</si>
  <si>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</si>
  <si>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</si>
  <si>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</si>
  <si>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</si>
  <si>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</si>
  <si>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</si>
  <si>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</si>
  <si>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</si>
  <si>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</si>
  <si>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</si>
  <si>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</si>
  <si>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</si>
  <si>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</si>
  <si>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</si>
  <si>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</si>
  <si>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</si>
  <si>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</si>
  <si>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</si>
  <si>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</si>
  <si>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</si>
  <si>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</si>
  <si>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</si>
  <si>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</si>
  <si>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</si>
  <si>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</si>
  <si>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</si>
  <si>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</si>
  <si>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</si>
  <si>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</si>
  <si>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</si>
  <si>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</si>
  <si>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</si>
  <si>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</si>
  <si>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</si>
  <si>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</si>
  <si>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</si>
  <si>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</si>
  <si>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</si>
  <si>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</si>
  <si>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</si>
  <si>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</si>
  <si>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</si>
  <si>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</si>
  <si>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</si>
  <si>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</si>
  <si>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</si>
  <si>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</si>
  <si>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</si>
  <si>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</si>
  <si>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</si>
  <si>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</si>
  <si>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</si>
  <si>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</si>
  <si>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</si>
  <si>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</si>
  <si>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</si>
  <si>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</si>
  <si>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</si>
  <si>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</si>
  <si>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</si>
  <si>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</si>
  <si>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</si>
  <si>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</si>
  <si>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</si>
  <si>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</si>
  <si>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</si>
  <si>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</si>
  <si>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</si>
  <si>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</si>
  <si>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</si>
  <si>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</si>
  <si>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</si>
  <si>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</si>
  <si>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</si>
  <si>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</si>
  <si>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</si>
  <si>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</si>
  <si>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</si>
  <si>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</si>
  <si>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</si>
  <si>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</si>
  <si>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</si>
  <si>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</si>
  <si>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</si>
  <si>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</si>
  <si>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</si>
  <si>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</si>
  <si>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</si>
  <si>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</si>
  <si>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</si>
  <si>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</si>
  <si>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</si>
  <si>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</si>
  <si>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</si>
  <si>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</si>
  <si>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</si>
  <si>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</si>
  <si>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</si>
  <si>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</si>
  <si>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</si>
  <si>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</si>
  <si>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</si>
  <si>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</si>
  <si>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</si>
  <si>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</si>
  <si>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</si>
  <si>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</si>
  <si>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</si>
  <si>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</si>
  <si>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</si>
  <si>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</si>
  <si>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</si>
  <si>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</si>
  <si>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</si>
  <si>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</si>
  <si>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</si>
  <si>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</si>
  <si>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</si>
  <si>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</si>
  <si>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</si>
  <si>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</si>
  <si>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</si>
  <si>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</si>
  <si>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</si>
  <si>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</si>
  <si>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</si>
  <si>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</si>
  <si>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</si>
  <si>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</si>
  <si>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</si>
  <si>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</si>
  <si>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</si>
  <si>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</si>
  <si>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</si>
  <si>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</si>
  <si>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</si>
  <si>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</si>
  <si>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</si>
  <si>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</si>
  <si>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</si>
  <si>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</si>
  <si>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</si>
  <si>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</si>
  <si>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</si>
  <si>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</si>
  <si>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</si>
  <si>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</si>
  <si>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</si>
  <si>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</si>
  <si>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</si>
  <si>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</si>
  <si>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</si>
  <si>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</si>
  <si>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</si>
  <si>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</si>
  <si>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</si>
  <si>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</si>
  <si>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</si>
  <si>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</si>
  <si>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</si>
  <si>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</si>
  <si>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</si>
  <si>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</si>
  <si>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</si>
  <si>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</si>
  <si>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</si>
  <si>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</si>
  <si>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</si>
  <si>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</si>
  <si>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</si>
  <si>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</si>
  <si>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</si>
  <si>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</si>
  <si>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</si>
  <si>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</si>
  <si>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</si>
  <si>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</si>
  <si>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</si>
  <si>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</si>
  <si>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</si>
  <si>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</si>
  <si>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</si>
  <si>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</si>
  <si>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</si>
  <si>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</si>
  <si>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</si>
  <si>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</si>
  <si>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</si>
  <si>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</si>
  <si>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</si>
  <si>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</si>
  <si>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</si>
  <si>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</si>
  <si>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</si>
  <si>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</si>
  <si>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</si>
  <si>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</si>
  <si>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</si>
  <si>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</si>
  <si>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</si>
  <si>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</si>
  <si>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</si>
  <si>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</si>
  <si>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</si>
  <si>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</si>
  <si>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</si>
  <si>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</si>
  <si>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</si>
  <si>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</si>
  <si>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</si>
  <si>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</si>
  <si>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</si>
  <si>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</si>
  <si>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</si>
  <si>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</si>
  <si>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</si>
  <si>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</si>
  <si>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</si>
  <si>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</si>
  <si>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</si>
  <si>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</si>
  <si>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</si>
  <si>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</si>
  <si>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</si>
  <si>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</si>
  <si>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</si>
  <si>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</si>
  <si>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</si>
  <si>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</si>
  <si>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</si>
  <si>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</si>
  <si>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</si>
  <si>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</si>
  <si>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</si>
  <si>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</si>
  <si>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</si>
  <si>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</si>
  <si>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</si>
  <si>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</si>
  <si>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</si>
  <si>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</si>
  <si>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</si>
  <si>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</si>
  <si>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</si>
  <si>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</si>
  <si>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</si>
  <si>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</si>
  <si>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</si>
  <si>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</si>
  <si>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</si>
  <si>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</si>
  <si>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</si>
  <si>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</si>
  <si>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</si>
  <si>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</si>
  <si>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</si>
  <si>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</si>
  <si>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</si>
  <si>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</si>
  <si>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</si>
  <si>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</si>
  <si>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</si>
  <si>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</si>
  <si>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</si>
  <si>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</si>
  <si>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</si>
  <si>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</si>
  <si>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</si>
  <si>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</si>
  <si>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</si>
  <si>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</si>
  <si>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</si>
  <si>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</si>
  <si>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</si>
  <si>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</si>
  <si>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</si>
  <si>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</si>
  <si>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</si>
  <si>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</si>
  <si>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</si>
  <si>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</si>
  <si>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</si>
  <si>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</si>
  <si>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</si>
  <si>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</si>
  <si>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</si>
  <si>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</si>
  <si>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</si>
  <si>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</si>
  <si>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</si>
  <si>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</si>
  <si>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</si>
  <si>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</si>
  <si>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</si>
  <si>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</si>
  <si>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</si>
  <si>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</si>
  <si>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</si>
  <si>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</si>
  <si>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</si>
  <si>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</si>
  <si>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</si>
  <si>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</si>
  <si>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</si>
  <si>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</si>
  <si>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</si>
  <si>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</si>
  <si>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</si>
  <si>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</si>
  <si>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</si>
  <si>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</si>
  <si>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</si>
  <si>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</si>
  <si>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</si>
  <si>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</si>
  <si>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</si>
  <si>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</si>
  <si>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</si>
  <si>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</si>
  <si>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</si>
  <si>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</si>
  <si>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</si>
  <si>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</si>
  <si>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</si>
  <si>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</si>
  <si>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</si>
  <si>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</si>
  <si>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</si>
  <si>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</si>
  <si>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</si>
  <si>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</si>
  <si>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</si>
  <si>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</si>
  <si>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</si>
  <si>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</si>
  <si>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</si>
  <si>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</si>
  <si>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</si>
  <si>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</si>
  <si>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</si>
  <si>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</si>
  <si>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</si>
  <si>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</si>
  <si>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</si>
  <si>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</si>
  <si>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</si>
  <si>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</si>
  <si>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</si>
  <si>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</si>
  <si>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</si>
  <si>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</si>
  <si>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</si>
  <si>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</si>
  <si>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</si>
  <si>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</si>
  <si>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</si>
  <si>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</si>
  <si>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</si>
  <si>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</si>
  <si>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</si>
  <si>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</si>
  <si>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</si>
  <si>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</si>
  <si>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</si>
  <si>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</si>
  <si>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</si>
  <si>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</si>
  <si>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</si>
  <si>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</si>
  <si>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</si>
  <si>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</si>
  <si>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</si>
  <si>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</si>
  <si>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</si>
  <si>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</si>
  <si>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</si>
  <si>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</si>
  <si>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</si>
  <si>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</si>
  <si>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</si>
  <si>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</si>
  <si>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</si>
  <si>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</si>
  <si>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</si>
  <si>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</si>
  <si>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</si>
  <si>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</si>
  <si>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</si>
  <si>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</si>
  <si>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</si>
  <si>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</si>
  <si>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</si>
  <si>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</si>
  <si>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</si>
  <si>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</si>
  <si>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</si>
  <si>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</si>
  <si>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</si>
  <si>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</si>
  <si>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</si>
  <si>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</si>
  <si>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</si>
  <si>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</si>
  <si>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</si>
  <si>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</si>
  <si>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</si>
  <si>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</si>
  <si>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</si>
  <si>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</si>
  <si>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</si>
  <si>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</si>
  <si>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</si>
  <si>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</si>
  <si>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</si>
  <si>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</si>
  <si>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</si>
  <si>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</si>
  <si>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</si>
  <si>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</si>
  <si>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</si>
  <si>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</si>
  <si>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</si>
  <si>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</si>
  <si>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</si>
  <si>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</si>
  <si>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</si>
  <si>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</si>
  <si>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</si>
  <si>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</si>
  <si>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</si>
  <si>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</si>
  <si>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</si>
  <si>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</si>
  <si>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</si>
  <si>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</si>
  <si>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</si>
  <si>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</si>
  <si>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</si>
  <si>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</si>
  <si>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</si>
  <si>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</si>
  <si>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</si>
  <si>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</si>
  <si>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</si>
  <si>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</si>
  <si>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</si>
  <si>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</si>
  <si>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</si>
  <si>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</si>
  <si>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</si>
  <si>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</si>
  <si>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</si>
  <si>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</si>
  <si>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</si>
  <si>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</si>
  <si>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</si>
  <si>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</si>
  <si>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</si>
  <si>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</si>
  <si>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</si>
  <si>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</si>
  <si>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</si>
  <si>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</si>
  <si>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</si>
  <si>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</si>
  <si>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</si>
  <si>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</si>
  <si>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</si>
  <si>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</si>
  <si>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</si>
  <si>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</si>
  <si>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</si>
  <si>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</si>
  <si>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</si>
  <si>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</si>
  <si>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</si>
  <si>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</si>
  <si>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</si>
  <si>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</si>
  <si>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</si>
  <si>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</si>
  <si>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</si>
  <si>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</si>
  <si>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</si>
  <si>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</si>
  <si>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</si>
  <si>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</si>
  <si>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</si>
  <si>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</si>
  <si>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</si>
  <si>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</si>
  <si>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</si>
  <si>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</si>
  <si>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</si>
  <si>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</si>
  <si>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</si>
  <si>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</si>
  <si>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</si>
  <si>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</si>
  <si>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</si>
  <si>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</si>
  <si>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</si>
  <si>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</si>
  <si>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</si>
  <si>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</si>
  <si>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</si>
  <si>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</si>
  <si>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</si>
  <si>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</si>
  <si>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</si>
  <si>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</si>
  <si>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</si>
  <si>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</si>
  <si>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</si>
  <si>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</si>
  <si>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</si>
  <si>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</si>
  <si>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</si>
  <si>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</si>
  <si>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</si>
  <si>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</si>
  <si>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</si>
  <si>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</si>
  <si>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</si>
  <si>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</si>
  <si>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</si>
  <si>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</si>
  <si>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</si>
  <si>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</si>
  <si>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</si>
  <si>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</si>
  <si>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</si>
  <si>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</si>
  <si>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</si>
  <si>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</si>
  <si>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</si>
  <si>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</si>
  <si>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</si>
  <si>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</si>
  <si>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</si>
  <si>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</si>
  <si>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</si>
  <si>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</si>
  <si>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</si>
  <si>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</si>
  <si>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</si>
  <si>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</si>
  <si>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</si>
  <si>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</si>
  <si>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</si>
  <si>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</si>
  <si>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</si>
  <si>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</si>
  <si>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</si>
  <si>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</si>
  <si>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</si>
  <si>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</si>
  <si>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</si>
  <si>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</si>
  <si>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</si>
  <si>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</si>
  <si>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</si>
  <si>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</si>
  <si>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</si>
  <si>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</si>
  <si>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</si>
  <si>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</si>
  <si>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</si>
  <si>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</si>
  <si>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</si>
  <si>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</si>
  <si>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</si>
  <si>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</si>
  <si>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</si>
  <si>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</si>
  <si>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</si>
  <si>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</si>
  <si>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</si>
  <si>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</si>
  <si>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</si>
  <si>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</si>
  <si>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</si>
  <si>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</si>
  <si>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</si>
  <si>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</si>
  <si>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</si>
  <si>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</si>
  <si>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</si>
  <si>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</si>
  <si>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</si>
  <si>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</si>
  <si>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</si>
  <si>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</si>
  <si>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</si>
  <si>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</si>
  <si>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</si>
  <si>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</si>
  <si>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</si>
  <si>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</si>
  <si>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</si>
  <si>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</si>
  <si>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</si>
  <si>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</si>
  <si>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</si>
  <si>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</si>
  <si>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</si>
  <si>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</si>
  <si>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</si>
  <si>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</si>
  <si>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</si>
  <si>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</si>
  <si>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</si>
  <si>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</si>
  <si>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</si>
  <si>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</si>
  <si>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</si>
  <si>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</si>
  <si>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</si>
  <si>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</si>
  <si>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</si>
  <si>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</si>
  <si>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</si>
  <si>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</si>
  <si>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</si>
  <si>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</si>
  <si>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</si>
  <si>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</si>
  <si>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</si>
  <si>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</si>
  <si>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</si>
  <si>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</si>
  <si>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</si>
  <si>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</si>
  <si>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</si>
  <si>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</si>
  <si>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</si>
  <si>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</si>
  <si>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</si>
  <si>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</si>
  <si>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</si>
  <si>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</si>
  <si>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</si>
  <si>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</si>
  <si>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</si>
  <si>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</si>
  <si>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</si>
  <si>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</si>
  <si>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</si>
  <si>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</si>
  <si>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</si>
  <si>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</si>
  <si>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</si>
  <si>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</si>
  <si>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</si>
  <si>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</si>
  <si>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</si>
  <si>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</si>
  <si>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</si>
  <si>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</si>
  <si>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</si>
  <si>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</si>
  <si>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</si>
  <si>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</si>
  <si>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</si>
  <si>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</si>
  <si>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</si>
  <si>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</si>
  <si>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</si>
  <si>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</si>
  <si>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</si>
  <si>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</si>
  <si>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</si>
  <si>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</si>
  <si>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</si>
  <si>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</si>
  <si>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</si>
  <si>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</si>
  <si>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</si>
  <si>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</si>
  <si>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</si>
  <si>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</si>
  <si>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</si>
  <si>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</si>
  <si>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</si>
  <si>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</si>
  <si>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</si>
  <si>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</si>
  <si>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</si>
  <si>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</si>
  <si>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</si>
  <si>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</si>
  <si>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</si>
  <si>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</si>
  <si>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</si>
  <si>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</si>
  <si>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</si>
  <si>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</si>
  <si>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</si>
  <si>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</si>
  <si>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</si>
  <si>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</si>
  <si>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</si>
  <si>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</si>
  <si>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</si>
  <si>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</si>
  <si>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</si>
  <si>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</si>
  <si>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</si>
  <si>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</si>
  <si>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</si>
  <si>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</si>
  <si>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</si>
  <si>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</si>
  <si>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</si>
  <si>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</si>
  <si>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</si>
  <si>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</si>
  <si>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</si>
  <si>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</si>
  <si>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</si>
  <si>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</si>
  <si>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</si>
  <si>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</si>
  <si>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</si>
  <si>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</si>
  <si>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</si>
  <si>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</si>
  <si>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</si>
  <si>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</si>
  <si>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</si>
  <si>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</si>
  <si>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</si>
  <si>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</si>
  <si>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</si>
  <si>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</si>
  <si>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</si>
  <si>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</si>
  <si>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</si>
  <si>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</si>
  <si>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</si>
  <si>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</si>
  <si>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</si>
  <si>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</si>
  <si>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</si>
  <si>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</si>
  <si>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</si>
  <si>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</si>
  <si>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</si>
  <si>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</si>
  <si>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</si>
  <si>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</si>
  <si>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</si>
  <si>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</si>
  <si>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</si>
  <si>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</si>
  <si>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</si>
  <si>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</si>
  <si>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</si>
  <si>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</si>
  <si>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</si>
  <si>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</si>
  <si>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</si>
  <si>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</si>
  <si>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</si>
  <si>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</si>
  <si>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</si>
  <si>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</si>
  <si>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</si>
  <si>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</si>
  <si>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</si>
  <si>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</si>
  <si>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</si>
  <si>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</si>
  <si>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</si>
  <si>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</si>
  <si>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</si>
  <si>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</si>
  <si>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</si>
  <si>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</si>
  <si>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</si>
  <si>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</si>
  <si>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</si>
  <si>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</si>
  <si>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</si>
  <si>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</si>
  <si>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</si>
  <si>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</si>
  <si>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</si>
  <si>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</si>
  <si>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</si>
  <si>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</si>
  <si>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</si>
  <si>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</si>
  <si>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</si>
  <si>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</si>
  <si>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</si>
  <si>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</si>
  <si>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</si>
  <si>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</si>
  <si>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</si>
  <si>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</si>
  <si>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</si>
  <si>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</si>
  <si>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</si>
  <si>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</si>
  <si>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</si>
  <si>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</si>
  <si>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</si>
  <si>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</si>
  <si>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</si>
  <si>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</si>
  <si>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</si>
  <si>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</si>
  <si>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</si>
  <si>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</si>
  <si>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</si>
  <si>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</si>
  <si>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</si>
  <si>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</si>
  <si>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</si>
  <si>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</si>
  <si>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</si>
  <si>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</si>
  <si>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</si>
  <si>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</si>
  <si>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</si>
  <si>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</si>
  <si>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</si>
  <si>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</si>
  <si>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</si>
  <si>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</si>
  <si>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</si>
  <si>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</si>
  <si>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</si>
  <si>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</si>
  <si>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</si>
  <si>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</si>
  <si>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</si>
  <si>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</si>
  <si>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</si>
  <si>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</si>
  <si>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</si>
  <si>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</si>
  <si>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</si>
  <si>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</si>
  <si>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</si>
  <si>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</si>
  <si>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</si>
  <si>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</si>
  <si>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</si>
  <si>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</si>
  <si>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</si>
  <si>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</si>
  <si>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</si>
  <si>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</si>
  <si>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</si>
  <si>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</si>
  <si>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</si>
  <si>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</si>
  <si>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</si>
  <si>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</si>
  <si>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</si>
  <si>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</si>
  <si>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</si>
  <si>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</si>
  <si>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</si>
  <si>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</si>
  <si>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</si>
  <si>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</si>
  <si>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</si>
  <si>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</si>
  <si>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</si>
  <si>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</si>
  <si>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</si>
  <si>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</si>
  <si>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</si>
  <si>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</si>
  <si>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</si>
  <si>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</si>
  <si>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</si>
  <si>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</si>
  <si>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</si>
  <si>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</si>
  <si>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</si>
  <si>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</si>
  <si>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</si>
  <si>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</si>
  <si>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</si>
  <si>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</si>
  <si>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</si>
  <si>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</si>
  <si>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</si>
  <si>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</si>
  <si>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</si>
  <si>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</si>
  <si>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</si>
  <si>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</si>
  <si>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</si>
  <si>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</si>
  <si>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</si>
  <si>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</si>
  <si>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</si>
  <si>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</si>
  <si>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</si>
  <si>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</si>
  <si>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</si>
  <si>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</si>
  <si>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</si>
  <si>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</si>
  <si>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</si>
  <si>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</si>
  <si>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</si>
  <si>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</si>
  <si>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</si>
  <si>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</si>
  <si>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</si>
  <si>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</si>
  <si>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</si>
  <si>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</si>
  <si>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</si>
  <si>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</si>
  <si>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</si>
  <si>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</si>
  <si>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</si>
  <si>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</si>
  <si>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</si>
  <si>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</si>
  <si>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</si>
  <si>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</si>
  <si>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</si>
  <si>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</si>
  <si>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</si>
  <si>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</si>
  <si>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</si>
  <si>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</si>
  <si>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</si>
  <si>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</si>
  <si>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</si>
  <si>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</si>
  <si>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</si>
  <si>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</si>
  <si>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</si>
  <si>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</si>
  <si>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</si>
  <si>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</si>
  <si>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</si>
  <si>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</si>
  <si>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</si>
  <si>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</si>
  <si>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</si>
  <si>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</si>
  <si>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</si>
  <si>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</si>
  <si>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</si>
  <si>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</si>
  <si>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</si>
  <si>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</si>
  <si>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</si>
  <si>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</si>
  <si>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</si>
  <si>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</si>
  <si>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</si>
  <si>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</si>
  <si>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</si>
  <si>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</si>
  <si>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</si>
  <si>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</si>
  <si>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</si>
  <si>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</si>
  <si>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</si>
  <si>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</si>
  <si>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</si>
  <si>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</si>
  <si>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</si>
  <si>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</si>
  <si>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</si>
  <si>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</si>
  <si>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</si>
  <si>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</si>
  <si>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</si>
  <si>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</si>
  <si>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</si>
  <si>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</si>
  <si>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</si>
  <si>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</si>
  <si>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</si>
  <si>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</si>
  <si>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</si>
  <si>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</si>
  <si>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</si>
  <si>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</si>
  <si>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</si>
  <si>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</si>
  <si>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</si>
  <si>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</si>
  <si>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</si>
  <si>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</si>
  <si>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</si>
  <si>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</si>
  <si>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</si>
  <si>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</si>
  <si>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</si>
  <si>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</si>
  <si>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</si>
  <si>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</si>
  <si>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</si>
  <si>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</si>
  <si>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</si>
  <si>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</si>
  <si>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</si>
  <si>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</si>
  <si>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</si>
  <si>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</si>
  <si>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</si>
  <si>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</si>
  <si>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</si>
  <si>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</si>
  <si>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</si>
  <si>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</si>
  <si>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</si>
  <si>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</si>
  <si>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</si>
  <si>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</si>
  <si>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</si>
  <si>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</si>
  <si>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</si>
  <si>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</si>
  <si>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</si>
  <si>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</si>
  <si>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</si>
  <si>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</si>
  <si>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</si>
  <si>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</si>
  <si>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</si>
  <si>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</si>
  <si>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</si>
  <si>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</si>
  <si>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</si>
  <si>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</si>
  <si>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</si>
  <si>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</si>
  <si>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</si>
  <si>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</si>
  <si>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</si>
  <si>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</si>
  <si>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</si>
  <si>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</si>
  <si>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</si>
  <si>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</si>
  <si>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</si>
  <si>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</si>
  <si>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</si>
  <si>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</si>
  <si>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</si>
  <si>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</si>
  <si>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</si>
  <si>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</si>
  <si>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</si>
  <si>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</si>
  <si>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</si>
  <si>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</si>
  <si>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</si>
  <si>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</si>
  <si>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</si>
  <si>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</si>
  <si>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</si>
  <si>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</si>
  <si>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</si>
  <si>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</si>
  <si>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</si>
  <si>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</si>
  <si>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</si>
  <si>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</si>
  <si>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</si>
  <si>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</si>
  <si>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</si>
  <si>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</si>
  <si>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</si>
  <si>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</si>
  <si>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</si>
  <si>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</si>
  <si>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</si>
  <si>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</si>
  <si>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</si>
  <si>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</si>
  <si>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</si>
  <si>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</si>
  <si>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</si>
  <si>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</si>
  <si>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</si>
  <si>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</si>
  <si>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</si>
  <si>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</si>
  <si>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</si>
  <si>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</si>
  <si>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</si>
  <si>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</si>
  <si>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</si>
  <si>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</si>
  <si>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</si>
  <si>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</si>
  <si>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</si>
  <si>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</si>
  <si>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</si>
  <si>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</si>
  <si>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</si>
  <si>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</si>
  <si>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</si>
  <si>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</si>
  <si>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</si>
  <si>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</si>
  <si>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</si>
  <si>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</si>
  <si>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</si>
  <si>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</si>
  <si>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</si>
  <si>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</si>
  <si>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</si>
  <si>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</si>
  <si>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</si>
  <si>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</si>
  <si>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</si>
  <si>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</si>
  <si>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</si>
  <si>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</si>
  <si>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</si>
  <si>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</si>
  <si>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</si>
  <si>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</si>
  <si>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</si>
  <si>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</si>
  <si>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</si>
  <si>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</si>
  <si>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</si>
  <si>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</si>
  <si>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</si>
  <si>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</si>
  <si>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</si>
  <si>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</si>
  <si>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</si>
  <si>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</si>
  <si>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</si>
  <si>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</si>
  <si>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</si>
  <si>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</si>
  <si>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</si>
  <si>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</si>
  <si>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</si>
  <si>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</si>
  <si>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</si>
  <si>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</si>
  <si>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</si>
  <si>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</si>
  <si>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</si>
  <si>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</si>
  <si>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</si>
  <si>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</si>
  <si>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</si>
  <si>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</si>
  <si>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</si>
  <si>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</si>
  <si>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</si>
  <si>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</si>
  <si>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</si>
  <si>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</si>
  <si>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</si>
  <si>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</si>
  <si>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</si>
  <si>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</si>
  <si>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</si>
  <si>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</si>
  <si>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</si>
  <si>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</si>
  <si>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</si>
  <si>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</si>
  <si>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</si>
  <si>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</si>
  <si>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</si>
  <si>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</si>
  <si>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</si>
  <si>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</si>
  <si>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</si>
  <si>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</si>
  <si>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</si>
  <si>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</si>
  <si>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</si>
  <si>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</si>
  <si>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</si>
  <si>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</si>
  <si>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</si>
  <si>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</si>
  <si>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</si>
  <si>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</si>
  <si>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</si>
  <si>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</si>
  <si>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</si>
  <si>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</si>
  <si>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</si>
  <si>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</si>
  <si>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</si>
  <si>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</si>
  <si>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</si>
  <si>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</si>
  <si>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</si>
  <si>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</si>
  <si>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</si>
  <si>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</si>
  <si>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</si>
  <si>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</si>
  <si>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</si>
  <si>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</si>
  <si>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</si>
  <si>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</si>
  <si>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</si>
  <si>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</si>
  <si>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</si>
  <si>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</si>
  <si>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</si>
  <si>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</si>
  <si>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</si>
  <si>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</si>
  <si>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</si>
  <si>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</si>
  <si>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</si>
  <si>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</si>
  <si>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</si>
  <si>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</si>
  <si>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</si>
  <si>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</si>
  <si>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</si>
  <si>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</si>
  <si>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</si>
  <si>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</si>
  <si>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</si>
  <si>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</si>
  <si>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</si>
  <si>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</si>
  <si>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</si>
  <si>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</si>
  <si>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</si>
  <si>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</si>
  <si>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</si>
  <si>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</si>
  <si>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</si>
  <si>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</si>
  <si>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</si>
  <si>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</si>
  <si>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</si>
  <si>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</si>
  <si>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</si>
  <si>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</si>
  <si>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</si>
  <si>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</si>
  <si>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</si>
  <si>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</si>
  <si>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</si>
  <si>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</si>
  <si>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</si>
  <si>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</si>
  <si>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</si>
  <si>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</si>
  <si>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</si>
  <si>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</si>
  <si>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</si>
  <si>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</si>
  <si>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</si>
  <si>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</si>
  <si>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</si>
  <si>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</si>
  <si>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</si>
  <si>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</si>
  <si>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</si>
  <si>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</si>
  <si>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</si>
  <si>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</si>
  <si>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</si>
  <si>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</si>
  <si>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</si>
  <si>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</si>
  <si>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</si>
  <si>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</si>
  <si>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</si>
  <si>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</si>
  <si>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</si>
  <si>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</si>
  <si>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</si>
  <si>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</si>
  <si>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</si>
  <si>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</si>
  <si>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</si>
  <si>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</si>
  <si>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</si>
  <si>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</si>
  <si>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</si>
  <si>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</si>
  <si>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</si>
  <si>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</si>
  <si>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</si>
  <si>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</si>
  <si>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</si>
  <si>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</si>
  <si>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</si>
  <si>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</si>
  <si>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</si>
  <si>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</si>
  <si>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</si>
  <si>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</si>
  <si>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</si>
  <si>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</si>
  <si>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</si>
  <si>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</si>
  <si>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</si>
  <si>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</si>
  <si>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</si>
  <si>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</si>
  <si>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</si>
  <si>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</si>
  <si>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</si>
  <si>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</si>
  <si>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</si>
  <si>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</si>
  <si>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</si>
  <si>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</si>
  <si>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</si>
  <si>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</si>
  <si>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</si>
  <si>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</si>
  <si>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</si>
  <si>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</si>
  <si>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</si>
  <si>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</si>
  <si>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</si>
  <si>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</si>
  <si>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</si>
  <si>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</si>
  <si>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</si>
  <si>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</si>
  <si>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</si>
  <si>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</si>
  <si>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</si>
  <si>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</si>
  <si>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</si>
  <si>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</si>
  <si>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</si>
  <si>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</si>
  <si>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</si>
  <si>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</si>
  <si>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</si>
  <si>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</si>
  <si>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</si>
  <si>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</si>
  <si>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</si>
  <si>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</si>
  <si>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</si>
  <si>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</si>
  <si>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</si>
  <si>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</si>
  <si>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</si>
  <si>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</si>
  <si>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</si>
  <si>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</si>
  <si>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</si>
  <si>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</si>
  <si>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</si>
  <si>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</si>
  <si>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</si>
  <si>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</si>
  <si>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</si>
  <si>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</si>
  <si>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</si>
  <si>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</si>
  <si>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</si>
  <si>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</si>
  <si>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</si>
  <si>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</si>
  <si>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</si>
  <si>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</si>
  <si>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</si>
  <si>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</si>
  <si>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</si>
  <si>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</si>
  <si>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</si>
  <si>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</si>
  <si>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</si>
  <si>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</si>
  <si>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</si>
  <si>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</si>
  <si>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</si>
  <si>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</si>
  <si>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</si>
  <si>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</si>
  <si>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</si>
  <si>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</si>
  <si>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</si>
  <si>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</si>
  <si>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</si>
  <si>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</si>
  <si>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</si>
  <si>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</si>
  <si>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</si>
  <si>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</si>
  <si>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</si>
  <si>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</si>
  <si>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</si>
  <si>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</si>
  <si>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</si>
  <si>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</si>
  <si>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</si>
  <si>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</si>
  <si>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</si>
  <si>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</si>
  <si>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</si>
  <si>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</si>
  <si>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</si>
  <si>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</si>
  <si>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</si>
  <si>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</si>
  <si>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</si>
  <si>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</si>
  <si>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</si>
  <si>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</si>
  <si>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</si>
  <si>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</si>
  <si>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</si>
  <si>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</si>
  <si>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</si>
  <si>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</si>
  <si>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</si>
  <si>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</si>
  <si>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</si>
  <si>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</si>
  <si>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</si>
  <si>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</si>
  <si>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</si>
  <si>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</si>
  <si>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</si>
  <si>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</si>
  <si>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</si>
  <si>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</si>
  <si>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</si>
  <si>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</si>
  <si>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</si>
  <si>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</si>
  <si>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</si>
  <si>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</si>
  <si>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</si>
  <si>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</si>
  <si>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</si>
  <si>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</si>
  <si>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</si>
  <si>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</si>
  <si>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</si>
  <si>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</si>
  <si>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</si>
  <si>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</si>
  <si>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</si>
  <si>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</si>
  <si>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</si>
  <si>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</si>
  <si>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</si>
  <si>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</si>
  <si>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</si>
  <si>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</si>
  <si>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</si>
  <si>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</si>
  <si>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</si>
  <si>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</si>
  <si>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</si>
  <si>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</si>
  <si>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</si>
  <si>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</si>
  <si>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</si>
  <si>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</si>
  <si>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</si>
  <si>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</si>
  <si>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</si>
  <si>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</si>
  <si>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</si>
  <si>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</si>
  <si>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</si>
  <si>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</si>
  <si>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</si>
  <si>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</si>
  <si>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</si>
  <si>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</si>
  <si>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</si>
  <si>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</si>
  <si>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</si>
  <si>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</si>
  <si>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</si>
  <si>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</si>
  <si>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</si>
  <si>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</si>
  <si>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</si>
  <si>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</si>
  <si>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</si>
  <si>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</si>
  <si>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</si>
  <si>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</si>
  <si>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</si>
  <si>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</si>
  <si>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</si>
  <si>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</si>
  <si>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</si>
  <si>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</si>
  <si>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</si>
  <si>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</si>
  <si>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</si>
  <si>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</si>
  <si>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</si>
  <si>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</si>
  <si>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</si>
  <si>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</si>
  <si>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</si>
  <si>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</si>
  <si>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</si>
  <si>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</si>
  <si>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</si>
  <si>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</si>
  <si>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</si>
  <si>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</si>
  <si>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</si>
  <si>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</si>
  <si>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</si>
  <si>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</si>
  <si>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</si>
  <si>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</si>
  <si>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</si>
  <si>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</si>
  <si>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</si>
  <si>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</si>
  <si>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</si>
  <si>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</si>
  <si>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</si>
  <si>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</si>
  <si>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</si>
  <si>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</si>
  <si>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</si>
  <si>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</si>
  <si>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</si>
  <si>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</si>
  <si>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</si>
  <si>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</si>
  <si>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</si>
  <si>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</si>
  <si>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</si>
  <si>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</si>
  <si>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</si>
  <si>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</si>
  <si>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</si>
  <si>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</si>
  <si>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</si>
  <si>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</si>
  <si>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</si>
  <si>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</si>
  <si>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</si>
  <si>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</si>
  <si>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</si>
  <si>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</si>
  <si>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</si>
  <si>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</si>
  <si>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</si>
  <si>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</si>
  <si>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</si>
  <si>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</si>
  <si>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</si>
  <si>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</si>
  <si>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</si>
  <si>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</si>
  <si>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</si>
  <si>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</si>
  <si>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</si>
  <si>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</si>
  <si>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</si>
  <si>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</si>
  <si>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</si>
  <si>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</si>
  <si>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</si>
  <si>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</si>
  <si>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</si>
  <si>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</si>
  <si>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</si>
  <si>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</si>
  <si>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</si>
  <si>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</si>
  <si>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</si>
  <si>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</si>
  <si>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</si>
  <si>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</si>
  <si>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</si>
  <si>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</si>
  <si>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</si>
  <si>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</si>
  <si>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</si>
  <si>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</si>
  <si>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</si>
  <si>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</si>
  <si>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</si>
  <si>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</si>
  <si>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</si>
  <si>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</si>
  <si>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</si>
  <si>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</si>
  <si>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</si>
  <si>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</si>
  <si>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</si>
  <si>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</si>
  <si>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</si>
  <si>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</si>
  <si>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</si>
  <si>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</si>
  <si>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</si>
  <si>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</si>
  <si>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</si>
  <si>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</si>
  <si>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</si>
  <si>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</si>
  <si>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</si>
  <si>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</si>
  <si>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</si>
  <si>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</si>
  <si>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</si>
  <si>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</si>
  <si>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</si>
  <si>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</si>
  <si>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</si>
  <si>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</si>
  <si>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</si>
  <si>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</si>
  <si>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</si>
  <si>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</si>
  <si>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</si>
  <si>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</si>
  <si>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</si>
  <si>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</si>
  <si>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</si>
  <si>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</si>
  <si>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</si>
  <si>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</si>
  <si>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</si>
  <si>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</si>
  <si>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</si>
  <si>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</si>
  <si>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</si>
  <si>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</si>
  <si>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</si>
  <si>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</si>
  <si>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</si>
  <si>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</si>
  <si>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</si>
  <si>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</si>
  <si>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</si>
  <si>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</si>
  <si>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</si>
  <si>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</si>
  <si>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</si>
  <si>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</si>
  <si>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</si>
  <si>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</si>
  <si>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</si>
  <si>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</si>
  <si>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</si>
  <si>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</si>
  <si>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</si>
  <si>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</si>
  <si>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</si>
  <si>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</si>
  <si>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</si>
  <si>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</si>
  <si>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</si>
  <si>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</si>
  <si>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</si>
  <si>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</si>
  <si>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</si>
  <si>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</si>
  <si>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</si>
  <si>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</si>
  <si>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</si>
  <si>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</si>
  <si>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</si>
  <si>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</si>
  <si>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</si>
  <si>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</si>
  <si>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</si>
  <si>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</si>
  <si>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</si>
  <si>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</si>
  <si>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</si>
  <si>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</si>
  <si>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</si>
  <si>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</si>
  <si>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</si>
  <si>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</si>
  <si>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</si>
  <si>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</si>
  <si>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</si>
  <si>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</si>
  <si>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</si>
  <si>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</si>
  <si>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</si>
  <si>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</si>
  <si>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</si>
  <si>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</si>
  <si>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</si>
  <si>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</si>
  <si>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</si>
  <si>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</si>
  <si>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</si>
  <si>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</si>
  <si>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</si>
  <si>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</si>
  <si>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</si>
  <si>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</si>
  <si>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</si>
  <si>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</si>
  <si>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</si>
  <si>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</si>
  <si>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</si>
  <si>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</si>
  <si>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</si>
  <si>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</si>
  <si>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</si>
  <si>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</si>
  <si>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</si>
  <si>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</si>
  <si>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</si>
  <si>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</si>
  <si>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</si>
  <si>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</si>
  <si>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</si>
  <si>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</si>
  <si>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</si>
  <si>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</si>
  <si>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</si>
  <si>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</si>
  <si>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</si>
  <si>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</si>
  <si>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</si>
  <si>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</si>
  <si>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</si>
  <si>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</si>
  <si>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</si>
  <si>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</si>
  <si>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</si>
  <si>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</si>
  <si>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</si>
  <si>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</si>
  <si>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</si>
  <si>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</si>
  <si>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</si>
  <si>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</si>
  <si>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</si>
  <si>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</si>
  <si>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</si>
  <si>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</si>
  <si>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</si>
  <si>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</si>
  <si>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</si>
  <si>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</si>
  <si>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</si>
  <si>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</si>
  <si>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</si>
  <si>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</si>
  <si>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</si>
  <si>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</si>
  <si>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</si>
  <si>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</si>
  <si>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</si>
  <si>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</si>
  <si>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</si>
  <si>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</si>
  <si>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</si>
  <si>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</si>
  <si>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</si>
  <si>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</si>
  <si>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</si>
  <si>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</si>
  <si>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</si>
  <si>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</si>
  <si>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</si>
  <si>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</si>
  <si>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</si>
  <si>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</si>
  <si>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</si>
  <si>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</si>
  <si>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</si>
  <si>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</si>
  <si>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</si>
  <si>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</si>
  <si>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</si>
  <si>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</si>
  <si>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</si>
  <si>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</si>
  <si>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</si>
  <si>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</si>
  <si>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</si>
  <si>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</si>
  <si>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</si>
  <si>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</si>
  <si>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</si>
  <si>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</si>
  <si>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</si>
  <si>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</si>
  <si>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</si>
  <si>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</si>
  <si>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</si>
  <si>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</si>
  <si>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</si>
  <si>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</si>
  <si>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</si>
  <si>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</si>
  <si>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</si>
  <si>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</si>
  <si>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</si>
  <si>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</si>
  <si>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</si>
  <si>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</si>
  <si>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</si>
  <si>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</si>
  <si>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</si>
  <si>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</si>
  <si>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</si>
  <si>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</si>
  <si>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</si>
  <si>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</si>
  <si>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</si>
  <si>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</si>
  <si>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</si>
  <si>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</si>
  <si>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</si>
  <si>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</si>
  <si>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</si>
  <si>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</si>
  <si>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</si>
  <si>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</si>
  <si>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</si>
  <si>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</si>
  <si>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</si>
  <si>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</si>
  <si>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</si>
  <si>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</si>
  <si>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</si>
  <si>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</si>
  <si>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</si>
  <si>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</si>
  <si>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</si>
  <si>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</si>
  <si>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</si>
  <si>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</si>
  <si>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</si>
  <si>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</si>
  <si>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</si>
  <si>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</si>
  <si>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</si>
  <si>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</si>
  <si>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</si>
  <si>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</si>
  <si>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</si>
  <si>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</si>
  <si>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</si>
  <si>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</si>
  <si>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</si>
  <si>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</si>
  <si>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</si>
  <si>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</si>
  <si>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</si>
  <si>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</si>
  <si>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</si>
  <si>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</si>
  <si>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</si>
  <si>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</si>
  <si>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</si>
  <si>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</si>
  <si>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</si>
  <si>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</si>
  <si>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</si>
  <si>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</si>
  <si>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</si>
  <si>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</si>
  <si>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</si>
  <si>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</si>
  <si>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</si>
  <si>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</si>
  <si>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</si>
  <si>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</si>
  <si>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</si>
  <si>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</si>
  <si>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</si>
  <si>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</si>
  <si>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</si>
  <si>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</si>
  <si>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</si>
  <si>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</si>
  <si>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</si>
  <si>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</si>
  <si>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</si>
  <si>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</si>
  <si>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</si>
  <si>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</si>
  <si>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</si>
  <si>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</si>
  <si>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</si>
  <si>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</si>
  <si>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</si>
  <si>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</si>
  <si>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</si>
  <si>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</si>
  <si>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</si>
  <si>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</si>
  <si>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</si>
  <si>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</si>
  <si>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</si>
  <si>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</si>
  <si>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</si>
  <si>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</si>
  <si>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</si>
  <si>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</si>
  <si>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</si>
  <si>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</si>
  <si>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</si>
  <si>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</si>
  <si>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</si>
  <si>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</si>
  <si>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</si>
  <si>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</si>
  <si>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</si>
  <si>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</si>
  <si>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</si>
  <si>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</si>
  <si>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</si>
  <si>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</si>
  <si>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</si>
  <si>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</si>
  <si>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</si>
  <si>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</si>
  <si>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</si>
  <si>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</si>
  <si>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</si>
  <si>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</si>
  <si>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</si>
  <si>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</si>
  <si>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</si>
  <si>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</si>
  <si>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</si>
  <si>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</si>
  <si>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</si>
  <si>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</si>
  <si>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</si>
  <si>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</si>
  <si>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</si>
  <si>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</si>
  <si>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</si>
  <si>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</si>
  <si>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</si>
  <si>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</si>
  <si>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</si>
  <si>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</si>
  <si>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</si>
  <si>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</si>
  <si>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</si>
  <si>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</si>
  <si>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</si>
  <si>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</si>
  <si>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</si>
  <si>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</si>
  <si>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</si>
  <si>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</si>
  <si>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</si>
  <si>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</si>
  <si>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</si>
  <si>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</si>
  <si>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</si>
  <si>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</si>
  <si>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</si>
  <si>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</si>
  <si>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</si>
  <si>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</si>
  <si>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</si>
  <si>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</si>
  <si>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</si>
  <si>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</si>
  <si>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</si>
  <si>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</si>
  <si>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</si>
  <si>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</si>
  <si>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</si>
  <si>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</si>
  <si>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</si>
  <si>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</si>
  <si>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</si>
  <si>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</si>
  <si>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</si>
  <si>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</si>
  <si>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</si>
  <si>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</si>
  <si>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</si>
  <si>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</si>
  <si>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</si>
  <si>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</si>
  <si>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</si>
  <si>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</si>
  <si>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</si>
  <si>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</si>
  <si>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</si>
  <si>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</si>
  <si>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</si>
  <si>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</si>
  <si>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</si>
  <si>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</si>
  <si>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</si>
  <si>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</si>
  <si>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</si>
  <si>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</si>
  <si>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</si>
  <si>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</si>
  <si>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</si>
  <si>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</si>
  <si>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</si>
  <si>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</si>
  <si>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</si>
  <si>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</si>
  <si>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</si>
  <si>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</si>
  <si>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</si>
  <si>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</si>
  <si>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</si>
  <si>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</si>
  <si>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</si>
  <si>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</si>
  <si>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</si>
  <si>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</si>
  <si>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</si>
  <si>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</si>
  <si>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</si>
  <si>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</si>
  <si>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</si>
  <si>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</si>
  <si>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</si>
  <si>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</si>
  <si>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</si>
  <si>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</si>
  <si>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</si>
  <si>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</si>
  <si>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</si>
  <si>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</si>
  <si>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</si>
  <si>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</si>
  <si>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</si>
  <si>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</si>
  <si>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</si>
  <si>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</si>
  <si>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</si>
  <si>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</si>
  <si>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</si>
  <si>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</si>
  <si>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</si>
  <si>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</si>
  <si>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</si>
  <si>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</si>
  <si>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</si>
  <si>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</si>
  <si>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</si>
  <si>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</si>
  <si>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</si>
  <si>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</si>
  <si>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</si>
  <si>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</si>
  <si>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</si>
  <si>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</si>
  <si>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</si>
  <si>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</si>
  <si>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</si>
  <si>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</si>
  <si>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</si>
  <si>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</si>
  <si>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</si>
  <si>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</si>
  <si>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</si>
  <si>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</si>
  <si>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</si>
  <si>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</si>
  <si>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</si>
  <si>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</si>
  <si>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</si>
  <si>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</si>
  <si>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</si>
  <si>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</si>
  <si>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</si>
  <si>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</si>
  <si>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</si>
  <si>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</si>
  <si>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</si>
  <si>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</si>
  <si>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</si>
  <si>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</si>
  <si>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</si>
  <si>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</si>
  <si>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</si>
  <si>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</si>
  <si>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</si>
  <si>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</si>
  <si>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</si>
  <si>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</si>
  <si>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</si>
  <si>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</si>
  <si>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</si>
  <si>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</si>
  <si>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</si>
  <si>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</si>
  <si>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</si>
  <si>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</si>
  <si>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</si>
  <si>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</si>
  <si>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</si>
  <si>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</si>
  <si>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</si>
  <si>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</si>
  <si>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</si>
  <si>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</si>
  <si>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</si>
  <si>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</si>
  <si>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</si>
  <si>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</si>
  <si>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</si>
  <si>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</si>
  <si>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</si>
  <si>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</si>
  <si>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</si>
  <si>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</si>
  <si>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</si>
  <si>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</si>
  <si>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</si>
  <si>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</si>
  <si>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</si>
  <si>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</si>
  <si>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</si>
  <si>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</si>
  <si>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</si>
  <si>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</si>
  <si>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</si>
  <si>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</si>
  <si>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</si>
  <si>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</si>
  <si>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</si>
  <si>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</si>
  <si>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</si>
  <si>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</si>
  <si>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</si>
  <si>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</si>
  <si>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</si>
  <si>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</si>
  <si>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</si>
  <si>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</si>
  <si>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</si>
  <si>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</si>
  <si>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</si>
  <si>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</si>
  <si>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</si>
  <si>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</si>
  <si>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</si>
  <si>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</si>
  <si>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</si>
  <si>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</si>
  <si>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</si>
  <si>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</si>
  <si>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</si>
  <si>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</si>
  <si>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</si>
  <si>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</si>
  <si>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</si>
  <si>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</si>
  <si>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</si>
  <si>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</si>
  <si>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</si>
  <si>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</si>
  <si>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</si>
  <si>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</si>
  <si>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</si>
  <si>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</si>
  <si>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</si>
  <si>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</si>
  <si>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</si>
  <si>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</si>
  <si>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</si>
  <si>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</si>
  <si>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</si>
  <si>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</si>
  <si>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</si>
  <si>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</si>
  <si>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</si>
  <si>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</si>
  <si>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</si>
  <si>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</si>
  <si>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</si>
  <si>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</si>
  <si>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</si>
  <si>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</si>
  <si>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</si>
  <si>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</si>
  <si>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</si>
  <si>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</si>
  <si>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</si>
  <si>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</si>
  <si>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</si>
  <si>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</si>
  <si>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</si>
  <si>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</si>
  <si>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</si>
  <si>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</si>
  <si>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</si>
  <si>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</si>
  <si>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</si>
  <si>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</si>
  <si>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</si>
  <si>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</si>
  <si>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</si>
  <si>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</si>
  <si>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</si>
  <si>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</si>
  <si>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</si>
  <si>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</si>
  <si>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</si>
  <si>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</si>
  <si>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</si>
  <si>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</si>
  <si>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</si>
  <si>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</si>
  <si>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</si>
  <si>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</si>
  <si>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</si>
  <si>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</si>
  <si>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</si>
  <si>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</si>
  <si>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</si>
  <si>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</si>
  <si>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</si>
  <si>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</si>
  <si>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</si>
  <si>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</si>
  <si>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</si>
  <si>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</si>
  <si>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</si>
  <si>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</si>
  <si>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</si>
  <si>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</si>
  <si>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</si>
  <si>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</si>
  <si>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</si>
  <si>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</si>
  <si>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</si>
  <si>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</si>
  <si>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</si>
  <si>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</si>
  <si>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</si>
  <si>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</si>
  <si>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</si>
  <si>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</si>
  <si>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</si>
  <si>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</si>
  <si>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</si>
  <si>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</si>
  <si>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</si>
  <si>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</si>
  <si>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</si>
  <si>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</si>
  <si>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</si>
  <si>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</si>
  <si>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</si>
  <si>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</si>
  <si>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</si>
  <si>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</si>
  <si>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</si>
  <si>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</si>
  <si>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</si>
  <si>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</si>
  <si>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</si>
  <si>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</si>
  <si>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</si>
  <si>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</si>
  <si>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</si>
  <si>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</si>
  <si>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</si>
  <si>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</si>
  <si>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</si>
  <si>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</si>
  <si>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</si>
  <si>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</si>
  <si>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</si>
  <si>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</si>
  <si>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</si>
  <si>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</si>
  <si>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</si>
  <si>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</si>
  <si>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</si>
  <si>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</si>
  <si>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</si>
  <si>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</si>
  <si>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</si>
  <si>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</si>
  <si>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</si>
  <si>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</si>
  <si>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</si>
  <si>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</si>
  <si>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</si>
  <si>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</si>
  <si>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</si>
  <si>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</si>
  <si>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</si>
  <si>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</si>
  <si>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</si>
  <si>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</si>
  <si>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</si>
  <si>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</si>
  <si>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</si>
  <si>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</si>
  <si>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</si>
  <si>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</si>
  <si>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</si>
  <si>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</si>
  <si>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</si>
  <si>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</si>
  <si>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</si>
  <si>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</si>
  <si>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</si>
  <si>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</si>
  <si>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</si>
  <si>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</si>
  <si>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</si>
  <si>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</si>
  <si>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</si>
  <si>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</si>
  <si>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</si>
  <si>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</si>
  <si>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</si>
  <si>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</si>
  <si>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</si>
  <si>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</si>
  <si>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</si>
  <si>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</si>
  <si>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</si>
  <si>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</si>
  <si>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</si>
  <si>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</si>
  <si>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</si>
  <si>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</si>
  <si>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</si>
  <si>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</si>
  <si>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</si>
  <si>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</si>
  <si>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</si>
  <si>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</si>
  <si>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</si>
  <si>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r>
      <t>OJO</t>
    </r>
    <r>
      <rPr>
        <sz val="8"/>
        <color rgb="FF000000"/>
        <rFont val="Arial"/>
        <family val="2"/>
      </rPr>
      <t xml:space="preserve"> (verticalmente)</t>
    </r>
  </si>
  <si>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</si>
  <si>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</si>
  <si>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</si>
  <si>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</si>
  <si>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</si>
  <si>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</si>
  <si>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</si>
  <si>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</si>
  <si>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</si>
  <si>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</si>
  <si>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</si>
  <si>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Ficha Excel. Versión 8.4.1</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</si>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</sst>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78">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23" xfId="0" applyFont="1" applyFill="1" applyBorder="1" applyAlignment="1">
      <alignment horizontal="left" vertical="top" wrapText="1"/>
    </xf>
    <xf numFmtId="0" fontId="62" fillId="7" borderId="0" xfId="0" applyFont="1" applyFill="1" applyAlignment="1">
      <alignment horizontal="left" shrinkToFit="1"/>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vertical="top"/>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373" xfId="0" applyFont="1" applyFill="1" applyBorder="1" applyAlignment="1" applyProtection="1">
      <alignment horizontal="left" vertical="center" wrapText="1"/>
      <protection locked="0"/>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372"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10"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9"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6"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8"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4"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28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4"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0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40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92"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06" fillId="3" borderId="0" xfId="0" applyFont="1" applyFill="1" applyAlignment="1">
      <alignment horizontal="center"/>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6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6" xfId="0" applyFont="1" applyFill="1" applyBorder="1" applyAlignment="1">
      <alignment horizontal="left"/>
    </xf>
    <xf numFmtId="0" fontId="13" fillId="7" borderId="367"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2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0" fillId="55" borderId="51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8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13" fillId="7" borderId="495" xfId="0" applyFont="1" applyFill="1" applyBorder="1"/>
    <xf numFmtId="0" fontId="13" fillId="7" borderId="478" xfId="0" applyFont="1" applyFill="1" applyBorder="1"/>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9"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3"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7"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12" fillId="24" borderId="14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Border="1" applyAlignment="1">
      <alignment horizontal="center" vertical="center"/>
    </xf>
    <xf numFmtId="0" fontId="73" fillId="15" borderId="69" xfId="12" applyFont="1" applyFill="1" applyBorder="1" applyAlignment="1">
      <alignment horizontal="center" vertical="center"/>
    </xf>
    <xf numFmtId="49" fontId="9" fillId="28" borderId="684"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50"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50"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60" xfId="12" applyFont="1" applyFill="1" applyBorder="1" applyAlignment="1" applyProtection="1">
      <alignment vertical="center"/>
      <protection locked="0"/>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9"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9" fillId="28" borderId="750" xfId="12" applyFont="1" applyFill="1" applyBorder="1" applyAlignment="1" applyProtection="1">
      <alignment horizontal="center" vertical="center"/>
      <protection locked="0"/>
    </xf>
    <xf numFmtId="0" fontId="67" fillId="16" borderId="0" xfId="12" applyFont="1" applyFill="1" applyBorder="1" applyAlignment="1">
      <alignment horizontal="center" vertical="center"/>
    </xf>
    <xf numFmtId="0" fontId="134" fillId="15" borderId="72"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4" borderId="336" xfId="12" applyFont="1" applyFill="1" applyBorder="1" applyAlignment="1">
      <alignment horizontal="center" vertical="center"/>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xf>
    <xf numFmtId="0" fontId="73" fillId="15" borderId="0" xfId="12" applyFont="1" applyFill="1" applyAlignment="1">
      <alignment horizontal="center" vertical="center" wrapText="1"/>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3"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27" fillId="7" borderId="368" xfId="0" applyFont="1" applyFill="1" applyBorder="1" applyAlignment="1">
      <alignment horizontal="center"/>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5" xfId="0" applyFont="1" applyFill="1" applyBorder="1" applyAlignment="1">
      <alignment horizontal="center"/>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1" fontId="141" fillId="56" borderId="616"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20" fillId="30" borderId="617"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9" fillId="7" borderId="59" xfId="0" applyFont="1" applyFill="1" applyBorder="1" applyAlignment="1">
      <alignment horizontal="center"/>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5" xfId="0" applyNumberFormat="1"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92"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3" fillId="3" borderId="0" xfId="0" applyFont="1" applyFill="1" applyAlignment="1">
      <alignment horizontal="center"/>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31" borderId="712" xfId="0" applyFont="1" applyFill="1" applyBorder="1" applyAlignment="1">
      <alignment horizontal="center"/>
    </xf>
    <xf numFmtId="0" fontId="9" fillId="31" borderId="743"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5"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20"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9"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13" fillId="52" borderId="365"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7"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6"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6"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9" fillId="7" borderId="722"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1" fillId="56" borderId="701"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13" fillId="56" borderId="53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6" xfId="0" applyFont="1" applyFill="1" applyBorder="1" applyAlignment="1" applyProtection="1">
      <alignment horizontal="center" vertical="center"/>
      <protection locked="0"/>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5" xfId="0" applyFont="1" applyFill="1" applyBorder="1" applyAlignment="1" applyProtection="1">
      <alignment horizontal="center"/>
      <protection locked="0"/>
    </xf>
    <xf numFmtId="0" fontId="13" fillId="56" borderId="570" xfId="0" applyFont="1" applyFill="1" applyBorder="1" applyAlignment="1" applyProtection="1">
      <alignment horizontal="center" vertical="center"/>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718" xfId="0" applyFont="1" applyFill="1" applyBorder="1" applyAlignment="1" applyProtection="1">
      <alignment horizontal="center"/>
      <protection locked="0"/>
    </xf>
    <xf numFmtId="0" fontId="13" fillId="56" borderId="568" xfId="0" applyFont="1" applyFill="1" applyBorder="1" applyAlignment="1" applyProtection="1">
      <alignment horizontal="center" vertical="center"/>
      <protection locked="0"/>
    </xf>
    <xf numFmtId="0" fontId="141" fillId="56" borderId="426" xfId="0" applyFont="1" applyFill="1" applyBorder="1" applyAlignment="1" applyProtection="1">
      <alignment horizontal="center" vertical="center" wrapText="1"/>
      <protection locked="0"/>
    </xf>
    <xf numFmtId="0" fontId="9" fillId="30" borderId="713"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9"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23"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6"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8"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0" fillId="0" borderId="0" xfId="0" applyAlignment="1">
      <alignment horizontal="left"/>
    </xf>
    <xf numFmtId="0" fontId="9" fillId="42" borderId="0" xfId="0" quotePrefix="1" applyFont="1" applyFill="1" applyBorder="1" applyAlignment="1">
      <alignment horizontal="left" vertical="center"/>
    </xf>
    <xf numFmtId="0" fontId="34" fillId="8" borderId="7"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102" fillId="8" borderId="10" xfId="0" applyFont="1" applyFill="1" applyBorder="1" applyAlignment="1">
      <alignment horizontal="left" vertical="center" wrapText="1"/>
    </xf>
    <xf numFmtId="0" fontId="45" fillId="8" borderId="16" xfId="0" applyFont="1" applyFill="1" applyBorder="1" applyAlignment="1">
      <alignment horizontal="left" vertical="center"/>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15" fillId="8" borderId="0" xfId="0" applyFont="1" applyFill="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45" fillId="8" borderId="170" xfId="0" applyFont="1" applyFill="1" applyBorder="1" applyAlignment="1">
      <alignment horizont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0" fillId="25" borderId="100" xfId="0" applyFill="1" applyBorder="1" applyAlignment="1">
      <alignment horizontal="left" wrapText="1"/>
    </xf>
    <xf numFmtId="0" fontId="0" fillId="25" borderId="102" xfId="0" applyFill="1" applyBorder="1" applyAlignment="1">
      <alignment horizontal="left"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34" fillId="8" borderId="7" xfId="0" applyFont="1" applyFill="1" applyBorder="1" applyAlignment="1">
      <alignment horizontal="center" vertical="center"/>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509"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0" fillId="12" borderId="723" xfId="0"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0" fontId="41" fillId="23" borderId="692" xfId="0" applyFont="1" applyFill="1" applyBorder="1" applyAlignment="1">
      <alignment horizontal="center"/>
    </xf>
    <xf numFmtId="0" fontId="41" fillId="23" borderId="750"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8" xfId="0" applyFont="1" applyFill="1" applyBorder="1" applyAlignment="1">
      <alignment horizontal="center"/>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2"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7"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8" fillId="3" borderId="694" xfId="0" applyFont="1" applyFill="1" applyBorder="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55">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2996" t="s">
        <v>10205</v>
      </c>
      <c r="D2" s="2996"/>
      <c r="E2" s="2996"/>
      <c r="F2" s="2996"/>
      <c r="G2" s="2996"/>
      <c r="H2" s="2996"/>
      <c r="I2" s="2996"/>
      <c r="J2" s="2996"/>
      <c r="K2" s="2996"/>
      <c r="L2" s="2996"/>
      <c r="M2" s="2996"/>
      <c r="N2" s="2996"/>
      <c r="O2" s="2996"/>
      <c r="P2" s="2996"/>
      <c r="Q2" s="2996"/>
      <c r="R2" s="2996"/>
      <c r="S2" s="2996"/>
      <c r="T2" s="2996"/>
      <c r="U2" s="2996"/>
      <c r="V2" s="2996"/>
      <c r="W2" s="2996"/>
      <c r="X2" s="2996"/>
      <c r="Y2" s="2996"/>
      <c r="Z2" s="2996"/>
      <c r="AA2" s="2996"/>
      <c r="AB2" s="2996"/>
      <c r="AC2" s="2996"/>
      <c r="AD2" s="2996"/>
      <c r="AE2" s="2996"/>
      <c r="AF2" s="2996"/>
      <c r="AG2" s="2996"/>
      <c r="AH2" s="2996"/>
      <c r="AI2" s="2996"/>
      <c r="AJ2" s="2996"/>
      <c r="AK2" s="2638"/>
      <c r="AL2" s="2636"/>
    </row>
    <row r="3" spans="1:38" ht="12.75" customHeight="1" x14ac:dyDescent="0.2">
      <c r="A3" s="2636"/>
      <c r="B3" s="2639"/>
      <c r="C3" s="2997"/>
      <c r="D3" s="2997"/>
      <c r="E3" s="2997"/>
      <c r="F3" s="2997"/>
      <c r="G3" s="2997"/>
      <c r="H3" s="2997"/>
      <c r="I3" s="2997"/>
      <c r="J3" s="2997"/>
      <c r="K3" s="2997"/>
      <c r="L3" s="2997"/>
      <c r="M3" s="2997"/>
      <c r="N3" s="2997"/>
      <c r="O3" s="2997"/>
      <c r="P3" s="2997"/>
      <c r="Q3" s="2997"/>
      <c r="R3" s="2997"/>
      <c r="S3" s="2997"/>
      <c r="T3" s="2997"/>
      <c r="U3" s="2997"/>
      <c r="V3" s="2997"/>
      <c r="W3" s="2997"/>
      <c r="X3" s="2997"/>
      <c r="Y3" s="2997"/>
      <c r="Z3" s="2997"/>
      <c r="AA3" s="2997"/>
      <c r="AB3" s="2997"/>
      <c r="AC3" s="2997"/>
      <c r="AD3" s="2997"/>
      <c r="AE3" s="2997"/>
      <c r="AF3" s="2997"/>
      <c r="AG3" s="2997"/>
      <c r="AH3" s="2997"/>
      <c r="AI3" s="2997"/>
      <c r="AJ3" s="2997"/>
      <c r="AK3" s="2640"/>
      <c r="AL3" s="2636"/>
    </row>
    <row r="4" spans="1:38" ht="12.75" customHeight="1" x14ac:dyDescent="0.2">
      <c r="A4" s="2636"/>
      <c r="B4" s="2639"/>
      <c r="C4" s="2997"/>
      <c r="D4" s="2997"/>
      <c r="E4" s="2997"/>
      <c r="F4" s="2997"/>
      <c r="G4" s="2997"/>
      <c r="H4" s="2997"/>
      <c r="I4" s="2997"/>
      <c r="J4" s="2997"/>
      <c r="K4" s="2997"/>
      <c r="L4" s="2997"/>
      <c r="M4" s="2997"/>
      <c r="N4" s="2997"/>
      <c r="O4" s="2997"/>
      <c r="P4" s="2997"/>
      <c r="Q4" s="2997"/>
      <c r="R4" s="2997"/>
      <c r="S4" s="2997"/>
      <c r="T4" s="2997"/>
      <c r="U4" s="2997"/>
      <c r="V4" s="2997"/>
      <c r="W4" s="2997"/>
      <c r="X4" s="2997"/>
      <c r="Y4" s="2997"/>
      <c r="Z4" s="2997"/>
      <c r="AA4" s="2997"/>
      <c r="AB4" s="2997"/>
      <c r="AC4" s="2997"/>
      <c r="AD4" s="2997"/>
      <c r="AE4" s="2997"/>
      <c r="AF4" s="2997"/>
      <c r="AG4" s="2997"/>
      <c r="AH4" s="2997"/>
      <c r="AI4" s="2997"/>
      <c r="AJ4" s="2997"/>
      <c r="AK4" s="2640"/>
      <c r="AL4" s="2636"/>
    </row>
    <row r="5" spans="1:38" ht="12.75" customHeight="1" x14ac:dyDescent="0.2">
      <c r="A5" s="2636"/>
      <c r="B5" s="2639"/>
      <c r="C5" s="2997"/>
      <c r="D5" s="2997"/>
      <c r="E5" s="2997"/>
      <c r="F5" s="2997"/>
      <c r="G5" s="2997"/>
      <c r="H5" s="2997"/>
      <c r="I5" s="2997"/>
      <c r="J5" s="2997"/>
      <c r="K5" s="2997"/>
      <c r="L5" s="2997"/>
      <c r="M5" s="2997"/>
      <c r="N5" s="2997"/>
      <c r="O5" s="2997"/>
      <c r="P5" s="2997"/>
      <c r="Q5" s="2997"/>
      <c r="R5" s="2997"/>
      <c r="S5" s="2997"/>
      <c r="T5" s="2997"/>
      <c r="U5" s="2997"/>
      <c r="V5" s="2997"/>
      <c r="W5" s="2997"/>
      <c r="X5" s="2997"/>
      <c r="Y5" s="2997"/>
      <c r="Z5" s="2997"/>
      <c r="AA5" s="2997"/>
      <c r="AB5" s="2997"/>
      <c r="AC5" s="2997"/>
      <c r="AD5" s="2997"/>
      <c r="AE5" s="2997"/>
      <c r="AF5" s="2997"/>
      <c r="AG5" s="2997"/>
      <c r="AH5" s="2997"/>
      <c r="AI5" s="2997"/>
      <c r="AJ5" s="2997"/>
      <c r="AK5" s="2640"/>
      <c r="AL5" s="2636"/>
    </row>
    <row r="6" spans="1:38" ht="12.75" customHeight="1" x14ac:dyDescent="0.2">
      <c r="A6" s="2636"/>
      <c r="B6" s="2639"/>
      <c r="C6" s="2993" t="s">
        <v>10206</v>
      </c>
      <c r="D6" s="2993"/>
      <c r="E6" s="2993"/>
      <c r="F6" s="2993"/>
      <c r="G6" s="2993"/>
      <c r="H6" s="2993"/>
      <c r="I6" s="2993"/>
      <c r="J6" s="2993"/>
      <c r="K6" s="2993"/>
      <c r="L6" s="2993"/>
      <c r="M6" s="2993"/>
      <c r="N6" s="2993"/>
      <c r="O6" s="2993"/>
      <c r="P6" s="2993"/>
      <c r="Q6" s="2993"/>
      <c r="R6" s="2993"/>
      <c r="S6" s="2993"/>
      <c r="T6" s="2993"/>
      <c r="U6" s="2993"/>
      <c r="V6" s="2993"/>
      <c r="W6" s="2993"/>
      <c r="X6" s="2993"/>
      <c r="Y6" s="2993"/>
      <c r="Z6" s="2993"/>
      <c r="AA6" s="2993"/>
      <c r="AB6" s="2993"/>
      <c r="AC6" s="2993"/>
      <c r="AD6" s="2993"/>
      <c r="AE6" s="2993"/>
      <c r="AF6" s="2993"/>
      <c r="AG6" s="2993"/>
      <c r="AH6" s="2993"/>
      <c r="AI6" s="2993"/>
      <c r="AJ6" s="2993"/>
      <c r="AK6" s="2640"/>
      <c r="AL6" s="2636"/>
    </row>
    <row r="7" spans="1:38" ht="12.75" customHeight="1" x14ac:dyDescent="0.2">
      <c r="A7" s="2636"/>
      <c r="B7" s="2639"/>
      <c r="C7" s="2993"/>
      <c r="D7" s="2993"/>
      <c r="E7" s="2993"/>
      <c r="F7" s="2993"/>
      <c r="G7" s="2993"/>
      <c r="H7" s="2993"/>
      <c r="I7" s="2993"/>
      <c r="J7" s="2993"/>
      <c r="K7" s="2993"/>
      <c r="L7" s="2993"/>
      <c r="M7" s="2993"/>
      <c r="N7" s="2993"/>
      <c r="O7" s="2993"/>
      <c r="P7" s="2993"/>
      <c r="Q7" s="2993"/>
      <c r="R7" s="2993"/>
      <c r="S7" s="2993"/>
      <c r="T7" s="2993"/>
      <c r="U7" s="2993"/>
      <c r="V7" s="2993"/>
      <c r="W7" s="2993"/>
      <c r="X7" s="2993"/>
      <c r="Y7" s="2993"/>
      <c r="Z7" s="2993"/>
      <c r="AA7" s="2993"/>
      <c r="AB7" s="2993"/>
      <c r="AC7" s="2993"/>
      <c r="AD7" s="2993"/>
      <c r="AE7" s="2993"/>
      <c r="AF7" s="2993"/>
      <c r="AG7" s="2993"/>
      <c r="AH7" s="2993"/>
      <c r="AI7" s="2993"/>
      <c r="AJ7" s="2993"/>
      <c r="AK7" s="2640"/>
      <c r="AL7" s="2636"/>
    </row>
    <row r="8" spans="1:38" ht="12.75" customHeight="1" x14ac:dyDescent="0.2">
      <c r="A8" s="2636"/>
      <c r="B8" s="2639"/>
      <c r="C8" s="2993"/>
      <c r="D8" s="2993"/>
      <c r="E8" s="2993"/>
      <c r="F8" s="2993"/>
      <c r="G8" s="2993"/>
      <c r="H8" s="2993"/>
      <c r="I8" s="2993"/>
      <c r="J8" s="2993"/>
      <c r="K8" s="2993"/>
      <c r="L8" s="2993"/>
      <c r="M8" s="2993"/>
      <c r="N8" s="2993"/>
      <c r="O8" s="2993"/>
      <c r="P8" s="2993"/>
      <c r="Q8" s="2993"/>
      <c r="R8" s="2993"/>
      <c r="S8" s="2993"/>
      <c r="T8" s="2993"/>
      <c r="U8" s="2993"/>
      <c r="V8" s="2993"/>
      <c r="W8" s="2993"/>
      <c r="X8" s="2993"/>
      <c r="Y8" s="2993"/>
      <c r="Z8" s="2993"/>
      <c r="AA8" s="2993"/>
      <c r="AB8" s="2993"/>
      <c r="AC8" s="2993"/>
      <c r="AD8" s="2993"/>
      <c r="AE8" s="2993"/>
      <c r="AF8" s="2993"/>
      <c r="AG8" s="2993"/>
      <c r="AH8" s="2993"/>
      <c r="AI8" s="2993"/>
      <c r="AJ8" s="2993"/>
      <c r="AK8" s="2640"/>
      <c r="AL8" s="2636"/>
    </row>
    <row r="9" spans="1:38" ht="12.75" customHeight="1" x14ac:dyDescent="0.2">
      <c r="A9" s="2636"/>
      <c r="B9" s="2639"/>
      <c r="C9" s="2993"/>
      <c r="D9" s="2993"/>
      <c r="E9" s="2993"/>
      <c r="F9" s="2993"/>
      <c r="G9" s="2993"/>
      <c r="H9" s="2993"/>
      <c r="I9" s="2993"/>
      <c r="J9" s="2993"/>
      <c r="K9" s="2993"/>
      <c r="L9" s="2993"/>
      <c r="M9" s="2993"/>
      <c r="N9" s="2993"/>
      <c r="O9" s="2993"/>
      <c r="P9" s="2993"/>
      <c r="Q9" s="2993"/>
      <c r="R9" s="2993"/>
      <c r="S9" s="2993"/>
      <c r="T9" s="2993"/>
      <c r="U9" s="2993"/>
      <c r="V9" s="2993"/>
      <c r="W9" s="2993"/>
      <c r="X9" s="2993"/>
      <c r="Y9" s="2993"/>
      <c r="Z9" s="2993"/>
      <c r="AA9" s="2993"/>
      <c r="AB9" s="2993"/>
      <c r="AC9" s="2993"/>
      <c r="AD9" s="2993"/>
      <c r="AE9" s="2993"/>
      <c r="AF9" s="2993"/>
      <c r="AG9" s="2993"/>
      <c r="AH9" s="2993"/>
      <c r="AI9" s="2993"/>
      <c r="AJ9" s="2993"/>
      <c r="AK9" s="2640"/>
      <c r="AL9" s="2636"/>
    </row>
    <row r="10" spans="1:38" ht="12.75" customHeight="1" x14ac:dyDescent="0.2">
      <c r="A10" s="2636"/>
      <c r="B10" s="2639"/>
      <c r="C10" s="2993"/>
      <c r="D10" s="2993"/>
      <c r="E10" s="2993"/>
      <c r="F10" s="2993"/>
      <c r="G10" s="2993"/>
      <c r="H10" s="2993"/>
      <c r="I10" s="2993"/>
      <c r="J10" s="2993"/>
      <c r="K10" s="2993"/>
      <c r="L10" s="2993"/>
      <c r="M10" s="2993"/>
      <c r="N10" s="2993"/>
      <c r="O10" s="2993"/>
      <c r="P10" s="2993"/>
      <c r="Q10" s="2993"/>
      <c r="R10" s="2993"/>
      <c r="S10" s="2993"/>
      <c r="T10" s="2993"/>
      <c r="U10" s="2993"/>
      <c r="V10" s="2993"/>
      <c r="W10" s="2993"/>
      <c r="X10" s="2993"/>
      <c r="Y10" s="2993"/>
      <c r="Z10" s="2993"/>
      <c r="AA10" s="2993"/>
      <c r="AB10" s="2993"/>
      <c r="AC10" s="2993"/>
      <c r="AD10" s="2993"/>
      <c r="AE10" s="2993"/>
      <c r="AF10" s="2993"/>
      <c r="AG10" s="2993"/>
      <c r="AH10" s="2993"/>
      <c r="AI10" s="2993"/>
      <c r="AJ10" s="2993"/>
      <c r="AK10" s="2640"/>
      <c r="AL10" s="2636"/>
    </row>
    <row r="11" spans="1:38" ht="12.75" customHeight="1" x14ac:dyDescent="0.2">
      <c r="A11" s="2636"/>
      <c r="B11" s="2639"/>
      <c r="C11" s="2993"/>
      <c r="D11" s="2993"/>
      <c r="E11" s="2993"/>
      <c r="F11" s="2993"/>
      <c r="G11" s="2993"/>
      <c r="H11" s="2993"/>
      <c r="I11" s="2993"/>
      <c r="J11" s="2993"/>
      <c r="K11" s="2993"/>
      <c r="L11" s="2993"/>
      <c r="M11" s="2993"/>
      <c r="N11" s="2993"/>
      <c r="O11" s="2993"/>
      <c r="P11" s="2993"/>
      <c r="Q11" s="2993"/>
      <c r="R11" s="2993"/>
      <c r="S11" s="2993"/>
      <c r="T11" s="2993"/>
      <c r="U11" s="2993"/>
      <c r="V11" s="2993"/>
      <c r="W11" s="2993"/>
      <c r="X11" s="2993"/>
      <c r="Y11" s="2993"/>
      <c r="Z11" s="2993"/>
      <c r="AA11" s="2993"/>
      <c r="AB11" s="2993"/>
      <c r="AC11" s="2993"/>
      <c r="AD11" s="2993"/>
      <c r="AE11" s="2993"/>
      <c r="AF11" s="2993"/>
      <c r="AG11" s="2993"/>
      <c r="AH11" s="2993"/>
      <c r="AI11" s="2993"/>
      <c r="AJ11" s="2993"/>
      <c r="AK11" s="2640"/>
      <c r="AL11" s="2636"/>
    </row>
    <row r="12" spans="1:38" ht="12.75" customHeight="1" x14ac:dyDescent="0.2">
      <c r="A12" s="2636"/>
      <c r="B12" s="2639"/>
      <c r="C12" s="2993"/>
      <c r="D12" s="2993"/>
      <c r="E12" s="2993"/>
      <c r="F12" s="2993"/>
      <c r="G12" s="2993"/>
      <c r="H12" s="2993"/>
      <c r="I12" s="2993"/>
      <c r="J12" s="2993"/>
      <c r="K12" s="2993"/>
      <c r="L12" s="2993"/>
      <c r="M12" s="2993"/>
      <c r="N12" s="2993"/>
      <c r="O12" s="2993"/>
      <c r="P12" s="2993"/>
      <c r="Q12" s="2993"/>
      <c r="R12" s="2993"/>
      <c r="S12" s="2993"/>
      <c r="T12" s="2993"/>
      <c r="U12" s="2993"/>
      <c r="V12" s="2993"/>
      <c r="W12" s="2993"/>
      <c r="X12" s="2993"/>
      <c r="Y12" s="2993"/>
      <c r="Z12" s="2993"/>
      <c r="AA12" s="2993"/>
      <c r="AB12" s="2993"/>
      <c r="AC12" s="2993"/>
      <c r="AD12" s="2993"/>
      <c r="AE12" s="2993"/>
      <c r="AF12" s="2993"/>
      <c r="AG12" s="2993"/>
      <c r="AH12" s="2993"/>
      <c r="AI12" s="2993"/>
      <c r="AJ12" s="2993"/>
      <c r="AK12" s="2640"/>
      <c r="AL12" s="2636"/>
    </row>
    <row r="13" spans="1:38" ht="12.75" customHeight="1" x14ac:dyDescent="0.2">
      <c r="A13" s="2636"/>
      <c r="B13" s="2639"/>
      <c r="C13" s="2993"/>
      <c r="D13" s="2993"/>
      <c r="E13" s="2993"/>
      <c r="F13" s="2993"/>
      <c r="G13" s="2993"/>
      <c r="H13" s="2993"/>
      <c r="I13" s="2993"/>
      <c r="J13" s="2993"/>
      <c r="K13" s="2993"/>
      <c r="L13" s="2993"/>
      <c r="M13" s="2993"/>
      <c r="N13" s="2993"/>
      <c r="O13" s="2993"/>
      <c r="P13" s="2993"/>
      <c r="Q13" s="2993"/>
      <c r="R13" s="2993"/>
      <c r="S13" s="2993"/>
      <c r="T13" s="2993"/>
      <c r="U13" s="2993"/>
      <c r="V13" s="2993"/>
      <c r="W13" s="2993"/>
      <c r="X13" s="2993"/>
      <c r="Y13" s="2993"/>
      <c r="Z13" s="2993"/>
      <c r="AA13" s="2993"/>
      <c r="AB13" s="2993"/>
      <c r="AC13" s="2993"/>
      <c r="AD13" s="2993"/>
      <c r="AE13" s="2993"/>
      <c r="AF13" s="2993"/>
      <c r="AG13" s="2993"/>
      <c r="AH13" s="2993"/>
      <c r="AI13" s="2993"/>
      <c r="AJ13" s="2993"/>
      <c r="AK13" s="2640"/>
      <c r="AL13" s="2636"/>
    </row>
    <row r="14" spans="1:38" ht="12.75" customHeight="1" x14ac:dyDescent="0.2">
      <c r="A14" s="2636"/>
      <c r="B14" s="2639"/>
      <c r="C14" s="2993"/>
      <c r="D14" s="2993"/>
      <c r="E14" s="2993"/>
      <c r="F14" s="2993"/>
      <c r="G14" s="2993"/>
      <c r="H14" s="2993"/>
      <c r="I14" s="2993"/>
      <c r="J14" s="2993"/>
      <c r="K14" s="2993"/>
      <c r="L14" s="2993"/>
      <c r="M14" s="2993"/>
      <c r="N14" s="2993"/>
      <c r="O14" s="2993"/>
      <c r="P14" s="2993"/>
      <c r="Q14" s="2993"/>
      <c r="R14" s="2993"/>
      <c r="S14" s="2993"/>
      <c r="T14" s="2993"/>
      <c r="U14" s="2993"/>
      <c r="V14" s="2993"/>
      <c r="W14" s="2993"/>
      <c r="X14" s="2993"/>
      <c r="Y14" s="2993"/>
      <c r="Z14" s="2993"/>
      <c r="AA14" s="2993"/>
      <c r="AB14" s="2993"/>
      <c r="AC14" s="2993"/>
      <c r="AD14" s="2993"/>
      <c r="AE14" s="2993"/>
      <c r="AF14" s="2993"/>
      <c r="AG14" s="2993"/>
      <c r="AH14" s="2993"/>
      <c r="AI14" s="2993"/>
      <c r="AJ14" s="2993"/>
      <c r="AK14" s="2640"/>
      <c r="AL14" s="2636"/>
    </row>
    <row r="15" spans="1:38" ht="12.75" customHeight="1" x14ac:dyDescent="0.2">
      <c r="A15" s="2636"/>
      <c r="B15" s="2639"/>
      <c r="C15" s="2994" t="str">
        <f>HYPERLINK("http://www.edgeent.com/libros/coleccion/anima_beyond_fantasy ")</f>
        <v xml:space="preserve">http://www.edgeent.com/libros/coleccion/anima_beyond_fantasy </v>
      </c>
      <c r="D15" s="2994"/>
      <c r="E15" s="2994"/>
      <c r="F15" s="2994"/>
      <c r="G15" s="2994"/>
      <c r="H15" s="2994"/>
      <c r="I15" s="2994"/>
      <c r="J15" s="2994"/>
      <c r="K15" s="2994"/>
      <c r="L15" s="2994"/>
      <c r="M15" s="2994"/>
      <c r="N15" s="2994"/>
      <c r="O15" s="2994"/>
      <c r="P15" s="2994"/>
      <c r="Q15" s="2994"/>
      <c r="R15" s="2994"/>
      <c r="S15" s="2994"/>
      <c r="T15" s="2994"/>
      <c r="U15" s="2994"/>
      <c r="V15" s="2994"/>
      <c r="W15" s="2994"/>
      <c r="X15" s="2994"/>
      <c r="Y15" s="2994"/>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3" t="s">
        <v>10207</v>
      </c>
      <c r="D17" s="2993"/>
      <c r="E17" s="2993"/>
      <c r="F17" s="2993"/>
      <c r="G17" s="2993"/>
      <c r="H17" s="2993"/>
      <c r="I17" s="2993"/>
      <c r="J17" s="2993"/>
      <c r="K17" s="2993"/>
      <c r="L17" s="2993"/>
      <c r="M17" s="2993"/>
      <c r="N17" s="2993"/>
      <c r="O17" s="2993"/>
      <c r="P17" s="2993"/>
      <c r="Q17" s="2993"/>
      <c r="R17" s="2993"/>
      <c r="S17" s="2993"/>
      <c r="T17" s="2993"/>
      <c r="U17" s="2993"/>
      <c r="V17" s="2993"/>
      <c r="W17" s="2993"/>
      <c r="X17" s="2993"/>
      <c r="Y17" s="2993"/>
      <c r="Z17" s="2993"/>
      <c r="AA17" s="2993"/>
      <c r="AB17" s="2993"/>
      <c r="AC17" s="2993"/>
      <c r="AD17" s="2993"/>
      <c r="AE17" s="2993"/>
      <c r="AF17" s="2993"/>
      <c r="AG17" s="2993"/>
      <c r="AH17" s="2993"/>
      <c r="AI17" s="2993"/>
      <c r="AJ17" s="2993"/>
      <c r="AK17" s="2640"/>
      <c r="AL17" s="2636"/>
    </row>
    <row r="18" spans="1:38" ht="12.75" customHeight="1" x14ac:dyDescent="0.2">
      <c r="A18" s="2636"/>
      <c r="B18" s="2639"/>
      <c r="C18" s="2993"/>
      <c r="D18" s="2993"/>
      <c r="E18" s="2993"/>
      <c r="F18" s="2993"/>
      <c r="G18" s="2993"/>
      <c r="H18" s="2993"/>
      <c r="I18" s="2993"/>
      <c r="J18" s="2993"/>
      <c r="K18" s="2993"/>
      <c r="L18" s="2993"/>
      <c r="M18" s="2993"/>
      <c r="N18" s="2993"/>
      <c r="O18" s="2993"/>
      <c r="P18" s="2993"/>
      <c r="Q18" s="2993"/>
      <c r="R18" s="2993"/>
      <c r="S18" s="2993"/>
      <c r="T18" s="2993"/>
      <c r="U18" s="2993"/>
      <c r="V18" s="2993"/>
      <c r="W18" s="2993"/>
      <c r="X18" s="2993"/>
      <c r="Y18" s="2993"/>
      <c r="Z18" s="2993"/>
      <c r="AA18" s="2993"/>
      <c r="AB18" s="2993"/>
      <c r="AC18" s="2993"/>
      <c r="AD18" s="2993"/>
      <c r="AE18" s="2993"/>
      <c r="AF18" s="2993"/>
      <c r="AG18" s="2993"/>
      <c r="AH18" s="2993"/>
      <c r="AI18" s="2993"/>
      <c r="AJ18" s="2993"/>
      <c r="AK18" s="2640"/>
      <c r="AL18" s="2636"/>
    </row>
    <row r="19" spans="1:38" ht="12.75" customHeight="1" x14ac:dyDescent="0.2">
      <c r="A19" s="2636"/>
      <c r="B19" s="2639"/>
      <c r="C19" s="2995" t="str">
        <f>HYPERLINK("https://discord.gg/GK58q7a","Anima a Través de la Red")</f>
        <v>Anima a Través de la Red</v>
      </c>
      <c r="D19" s="2995"/>
      <c r="E19" s="2995"/>
      <c r="F19" s="2995"/>
      <c r="G19" s="2995"/>
      <c r="H19" s="2995"/>
      <c r="I19" s="2995"/>
      <c r="J19" s="2995"/>
      <c r="K19" s="2995"/>
      <c r="L19" s="2641"/>
      <c r="M19" s="2994" t="str">
        <f>HYPERLINK("http://www.edgeent.com/ir_al_mensaje/192663-ficha_anima_excel-192663","Ficha Anima Foro Edge")</f>
        <v>Ficha Anima Foro Edge</v>
      </c>
      <c r="N19" s="2994"/>
      <c r="O19" s="2994"/>
      <c r="P19" s="2994"/>
      <c r="Q19" s="2994"/>
      <c r="R19" s="2994"/>
      <c r="S19" s="2994"/>
      <c r="T19" s="2994"/>
      <c r="U19" s="2994"/>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3" t="s">
        <v>10204</v>
      </c>
      <c r="D21" s="2993"/>
      <c r="E21" s="2993"/>
      <c r="F21" s="2993"/>
      <c r="G21" s="2993"/>
      <c r="H21" s="2993"/>
      <c r="I21" s="2993"/>
      <c r="J21" s="2993"/>
      <c r="K21" s="2993"/>
      <c r="L21" s="2993"/>
      <c r="M21" s="2993"/>
      <c r="N21" s="2993"/>
      <c r="O21" s="2993"/>
      <c r="P21" s="2993"/>
      <c r="Q21" s="2993"/>
      <c r="R21" s="2993"/>
      <c r="S21" s="2993"/>
      <c r="T21" s="2993"/>
      <c r="U21" s="2993"/>
      <c r="V21" s="2993"/>
      <c r="W21" s="2993"/>
      <c r="X21" s="2993"/>
      <c r="Y21" s="2993"/>
      <c r="Z21" s="2993"/>
      <c r="AA21" s="2993"/>
      <c r="AB21" s="2993"/>
      <c r="AC21" s="2993"/>
      <c r="AD21" s="2993"/>
      <c r="AE21" s="2993"/>
      <c r="AF21" s="2993"/>
      <c r="AG21" s="2993"/>
      <c r="AH21" s="2993"/>
      <c r="AI21" s="2993"/>
      <c r="AJ21" s="2993"/>
      <c r="AK21" s="2640"/>
      <c r="AL21" s="2636"/>
    </row>
    <row r="22" spans="1:38" ht="12.75" customHeight="1" x14ac:dyDescent="0.2">
      <c r="A22" s="2636"/>
      <c r="B22" s="2639"/>
      <c r="C22" s="2993"/>
      <c r="D22" s="2993"/>
      <c r="E22" s="2993"/>
      <c r="F22" s="2993"/>
      <c r="G22" s="2993"/>
      <c r="H22" s="2993"/>
      <c r="I22" s="2993"/>
      <c r="J22" s="2993"/>
      <c r="K22" s="2993"/>
      <c r="L22" s="2993"/>
      <c r="M22" s="2993"/>
      <c r="N22" s="2993"/>
      <c r="O22" s="2993"/>
      <c r="P22" s="2993"/>
      <c r="Q22" s="2993"/>
      <c r="R22" s="2993"/>
      <c r="S22" s="2993"/>
      <c r="T22" s="2993"/>
      <c r="U22" s="2993"/>
      <c r="V22" s="2993"/>
      <c r="W22" s="2993"/>
      <c r="X22" s="2993"/>
      <c r="Y22" s="2993"/>
      <c r="Z22" s="2993"/>
      <c r="AA22" s="2993"/>
      <c r="AB22" s="2993"/>
      <c r="AC22" s="2993"/>
      <c r="AD22" s="2993"/>
      <c r="AE22" s="2993"/>
      <c r="AF22" s="2993"/>
      <c r="AG22" s="2993"/>
      <c r="AH22" s="2993"/>
      <c r="AI22" s="2993"/>
      <c r="AJ22" s="2993"/>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888" t="s">
        <v>8943</v>
      </c>
      <c r="AR1" s="1872"/>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98" t="s">
        <v>7257</v>
      </c>
      <c r="AO2" s="2999"/>
      <c r="AP2" s="3000"/>
      <c r="AQ2" s="1872" t="s">
        <v>9824</v>
      </c>
      <c r="AR2" s="1893" t="b">
        <f>MostrarNotas</f>
        <v>0</v>
      </c>
    </row>
    <row r="3" spans="1:44" ht="12" customHeight="1" x14ac:dyDescent="0.2">
      <c r="A3" s="10"/>
      <c r="B3" s="866"/>
      <c r="C3" s="1999"/>
      <c r="D3" s="2537"/>
      <c r="E3" s="2537"/>
      <c r="F3" s="2537"/>
      <c r="G3" s="2537"/>
      <c r="H3" s="2537"/>
      <c r="I3" s="2537"/>
      <c r="J3" s="2537"/>
      <c r="K3" s="2537"/>
      <c r="L3" s="2537"/>
      <c r="M3" s="3057" t="str">
        <f>IF(General!$F$22=0,"",General!$F$22)</f>
        <v/>
      </c>
      <c r="N3" s="3057"/>
      <c r="O3" s="3057"/>
      <c r="P3" s="3057"/>
      <c r="Q3" s="3057"/>
      <c r="R3" s="3057"/>
      <c r="S3" s="3057"/>
      <c r="T3" s="3057"/>
      <c r="U3" s="3057"/>
      <c r="V3" s="3057"/>
      <c r="W3" s="3058"/>
      <c r="X3" s="1982"/>
      <c r="Y3" s="3010" t="s">
        <v>8922</v>
      </c>
      <c r="Z3" s="3011"/>
      <c r="AA3" s="3011"/>
      <c r="AB3" s="3011"/>
      <c r="AC3" s="3011"/>
      <c r="AD3" s="3011"/>
      <c r="AE3" s="3011"/>
      <c r="AF3" s="3011"/>
      <c r="AG3" s="3011"/>
      <c r="AH3" s="3011"/>
      <c r="AI3" s="3011"/>
      <c r="AJ3" s="3012"/>
      <c r="AK3" s="1983"/>
      <c r="AL3" s="1981"/>
      <c r="AN3" s="3005"/>
      <c r="AO3" s="3006"/>
      <c r="AP3" s="3007"/>
      <c r="AQ3" s="1872" t="s">
        <v>1405</v>
      </c>
      <c r="AR3" s="1872" t="b">
        <f>COUNTIF(AR4:AR13,TRUE)&gt;0</f>
        <v>0</v>
      </c>
    </row>
    <row r="4" spans="1:44" ht="12" customHeight="1" x14ac:dyDescent="0.2">
      <c r="A4" s="10"/>
      <c r="B4" s="866"/>
      <c r="C4" s="2000"/>
      <c r="D4" s="24"/>
      <c r="E4" s="24"/>
      <c r="F4" s="24"/>
      <c r="G4" s="24"/>
      <c r="H4" s="24"/>
      <c r="I4" s="24"/>
      <c r="J4" s="24"/>
      <c r="K4" s="24"/>
      <c r="L4" s="24"/>
      <c r="M4" s="3059"/>
      <c r="N4" s="3059"/>
      <c r="O4" s="3059"/>
      <c r="P4" s="3059"/>
      <c r="Q4" s="3059"/>
      <c r="R4" s="3059"/>
      <c r="S4" s="3059"/>
      <c r="T4" s="3059"/>
      <c r="U4" s="3059"/>
      <c r="V4" s="3059"/>
      <c r="W4" s="3060"/>
      <c r="X4" s="1982"/>
      <c r="Y4" s="3028" t="s">
        <v>9846</v>
      </c>
      <c r="Z4" s="3029"/>
      <c r="AA4" s="3029"/>
      <c r="AB4" s="3029"/>
      <c r="AC4" s="3029"/>
      <c r="AD4" s="3029"/>
      <c r="AE4" s="3029"/>
      <c r="AF4" s="3029"/>
      <c r="AG4" s="3029"/>
      <c r="AH4" s="3029"/>
      <c r="AI4" s="3029"/>
      <c r="AJ4" s="3030"/>
      <c r="AK4" s="1983"/>
      <c r="AL4" s="1981"/>
      <c r="AN4" s="2529"/>
      <c r="AO4" s="1981"/>
      <c r="AP4" s="2530"/>
      <c r="AQ4" s="1872"/>
      <c r="AR4" s="1872" t="b">
        <f>NotasPrincipal&lt;&gt;""</f>
        <v>0</v>
      </c>
    </row>
    <row r="5" spans="1:44" ht="12" customHeight="1" x14ac:dyDescent="0.2">
      <c r="A5" s="10"/>
      <c r="B5" s="866"/>
      <c r="C5" s="2000"/>
      <c r="D5" s="24"/>
      <c r="E5" s="24"/>
      <c r="F5" s="24"/>
      <c r="G5" s="24"/>
      <c r="H5" s="24"/>
      <c r="I5" s="24"/>
      <c r="J5" s="24"/>
      <c r="K5" s="24"/>
      <c r="L5" s="24"/>
      <c r="M5" s="3059"/>
      <c r="N5" s="3059"/>
      <c r="O5" s="3059"/>
      <c r="P5" s="3059"/>
      <c r="Q5" s="3059"/>
      <c r="R5" s="3059"/>
      <c r="S5" s="3059"/>
      <c r="T5" s="3059"/>
      <c r="U5" s="3059"/>
      <c r="V5" s="3059"/>
      <c r="W5" s="3060"/>
      <c r="X5" s="1982"/>
      <c r="Y5" s="3031"/>
      <c r="Z5" s="3032"/>
      <c r="AA5" s="3032"/>
      <c r="AB5" s="3032"/>
      <c r="AC5" s="3032"/>
      <c r="AD5" s="3032"/>
      <c r="AE5" s="3032"/>
      <c r="AF5" s="3032"/>
      <c r="AG5" s="3032"/>
      <c r="AH5" s="3032"/>
      <c r="AI5" s="3032"/>
      <c r="AJ5" s="3033"/>
      <c r="AK5" s="1983"/>
      <c r="AL5" s="1981"/>
      <c r="AN5" s="2529"/>
      <c r="AO5" s="1981"/>
      <c r="AP5" s="2530"/>
      <c r="AQ5" s="1872"/>
      <c r="AR5" s="1872" t="b">
        <f>NotasPoderes&lt;&gt;""</f>
        <v>0</v>
      </c>
    </row>
    <row r="6" spans="1:44" ht="12" customHeight="1" x14ac:dyDescent="0.2">
      <c r="A6" s="10"/>
      <c r="B6" s="866"/>
      <c r="C6" s="2000"/>
      <c r="D6" s="24"/>
      <c r="E6" s="24"/>
      <c r="F6" s="24"/>
      <c r="G6" s="24"/>
      <c r="H6" s="24"/>
      <c r="I6" s="24"/>
      <c r="J6" s="24"/>
      <c r="K6" s="24"/>
      <c r="L6" s="24"/>
      <c r="M6" s="3059"/>
      <c r="N6" s="3059"/>
      <c r="O6" s="3059"/>
      <c r="P6" s="3059"/>
      <c r="Q6" s="3059"/>
      <c r="R6" s="3059"/>
      <c r="S6" s="3059"/>
      <c r="T6" s="3059"/>
      <c r="U6" s="3059"/>
      <c r="V6" s="3059"/>
      <c r="W6" s="3060"/>
      <c r="X6" s="1982"/>
      <c r="Y6" s="3031"/>
      <c r="Z6" s="3032"/>
      <c r="AA6" s="3032"/>
      <c r="AB6" s="3032"/>
      <c r="AC6" s="3032"/>
      <c r="AD6" s="3032"/>
      <c r="AE6" s="3032"/>
      <c r="AF6" s="3032"/>
      <c r="AG6" s="3032"/>
      <c r="AH6" s="3032"/>
      <c r="AI6" s="3032"/>
      <c r="AJ6" s="3033"/>
      <c r="AK6" s="1983"/>
      <c r="AL6" s="1981"/>
      <c r="AN6" s="2529"/>
      <c r="AO6" s="1981"/>
      <c r="AP6" s="2530"/>
      <c r="AQ6" s="1872"/>
      <c r="AR6" s="1872" t="b">
        <f>NotasPDs&lt;&gt;""</f>
        <v>0</v>
      </c>
    </row>
    <row r="7" spans="1:44" ht="12" customHeight="1" x14ac:dyDescent="0.2">
      <c r="A7" s="10"/>
      <c r="B7" s="866"/>
      <c r="C7" s="2000"/>
      <c r="D7" s="24"/>
      <c r="E7" s="24"/>
      <c r="F7" s="24"/>
      <c r="G7" s="24"/>
      <c r="H7" s="24"/>
      <c r="I7" s="24"/>
      <c r="J7" s="24"/>
      <c r="K7" s="24"/>
      <c r="L7" s="24"/>
      <c r="M7" s="3059"/>
      <c r="N7" s="3059"/>
      <c r="O7" s="3059"/>
      <c r="P7" s="3059"/>
      <c r="Q7" s="3059"/>
      <c r="R7" s="3059"/>
      <c r="S7" s="3059"/>
      <c r="T7" s="3059"/>
      <c r="U7" s="3059"/>
      <c r="V7" s="3059"/>
      <c r="W7" s="3060"/>
      <c r="X7" s="1982"/>
      <c r="Y7" s="3031"/>
      <c r="Z7" s="3032"/>
      <c r="AA7" s="3032"/>
      <c r="AB7" s="3032"/>
      <c r="AC7" s="3032"/>
      <c r="AD7" s="3032"/>
      <c r="AE7" s="3032"/>
      <c r="AF7" s="3032"/>
      <c r="AG7" s="3032"/>
      <c r="AH7" s="3032"/>
      <c r="AI7" s="3032"/>
      <c r="AJ7" s="3033"/>
      <c r="AK7" s="1983"/>
      <c r="AL7" s="1981"/>
      <c r="AN7" s="2529"/>
      <c r="AO7" s="1981"/>
      <c r="AP7" s="2530"/>
      <c r="AQ7" s="1872"/>
      <c r="AR7" s="1872" t="b">
        <f>NotasEquipoCombate&lt;&gt;""</f>
        <v>0</v>
      </c>
    </row>
    <row r="8" spans="1:44" ht="15.75" customHeight="1" x14ac:dyDescent="0.2">
      <c r="A8" s="10"/>
      <c r="B8" s="866"/>
      <c r="C8" s="2001"/>
      <c r="D8" s="2538"/>
      <c r="E8" s="2538"/>
      <c r="F8" s="2538"/>
      <c r="G8" s="2538"/>
      <c r="H8" s="2538"/>
      <c r="I8" s="2538"/>
      <c r="J8" s="2538"/>
      <c r="K8" s="2538"/>
      <c r="L8" s="2538"/>
      <c r="M8" s="3061"/>
      <c r="N8" s="3061"/>
      <c r="O8" s="3061"/>
      <c r="P8" s="3061"/>
      <c r="Q8" s="3061"/>
      <c r="R8" s="3061"/>
      <c r="S8" s="3061"/>
      <c r="T8" s="3061"/>
      <c r="U8" s="3061"/>
      <c r="V8" s="3061"/>
      <c r="W8" s="3062"/>
      <c r="X8" s="1982"/>
      <c r="Y8" s="3031"/>
      <c r="Z8" s="3032"/>
      <c r="AA8" s="3032"/>
      <c r="AB8" s="3032"/>
      <c r="AC8" s="3032"/>
      <c r="AD8" s="3032"/>
      <c r="AE8" s="3032"/>
      <c r="AF8" s="3032"/>
      <c r="AG8" s="3032"/>
      <c r="AH8" s="3032"/>
      <c r="AI8" s="3032"/>
      <c r="AJ8" s="3033"/>
      <c r="AK8" s="1983"/>
      <c r="AL8" s="1981"/>
      <c r="AN8" s="2529"/>
      <c r="AO8" s="1981"/>
      <c r="AP8" s="2530"/>
      <c r="AQ8" s="1872"/>
      <c r="AR8" s="1872" t="b">
        <f>NotasCapacidadesCombate&lt;&gt;""</f>
        <v>0</v>
      </c>
    </row>
    <row r="9" spans="1:44" ht="10.5" customHeight="1" x14ac:dyDescent="0.2">
      <c r="A9" s="10"/>
      <c r="B9" s="866"/>
      <c r="C9" s="1996"/>
      <c r="X9" s="1479"/>
      <c r="Y9" s="3031"/>
      <c r="Z9" s="3032"/>
      <c r="AA9" s="3032"/>
      <c r="AB9" s="3032"/>
      <c r="AC9" s="3032"/>
      <c r="AD9" s="3032"/>
      <c r="AE9" s="3032"/>
      <c r="AF9" s="3032"/>
      <c r="AG9" s="3032"/>
      <c r="AH9" s="3032"/>
      <c r="AI9" s="3032"/>
      <c r="AJ9" s="3033"/>
      <c r="AK9" s="1984"/>
      <c r="AL9" s="24"/>
      <c r="AN9" s="2529"/>
      <c r="AO9" s="1981"/>
      <c r="AP9" s="2530"/>
      <c r="AQ9" s="1872"/>
      <c r="AR9" s="1872"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31"/>
      <c r="Z10" s="3032"/>
      <c r="AA10" s="3032"/>
      <c r="AB10" s="3032"/>
      <c r="AC10" s="3032"/>
      <c r="AD10" s="3032"/>
      <c r="AE10" s="3032"/>
      <c r="AF10" s="3032"/>
      <c r="AG10" s="3032"/>
      <c r="AH10" s="3032"/>
      <c r="AI10" s="3032"/>
      <c r="AJ10" s="3033"/>
      <c r="AK10" s="666"/>
      <c r="AL10" s="24"/>
      <c r="AN10" s="2529"/>
      <c r="AO10" s="1981"/>
      <c r="AP10" s="2530"/>
      <c r="AQ10" s="1872"/>
      <c r="AR10" s="1872" t="b">
        <f>NotasMísticos&lt;&gt;""</f>
        <v>0</v>
      </c>
    </row>
    <row r="11" spans="1:44" ht="13.5" customHeight="1" x14ac:dyDescent="0.2">
      <c r="A11" s="10"/>
      <c r="B11" s="867"/>
      <c r="C11" s="2005"/>
      <c r="D11" s="2539" t="s">
        <v>1328</v>
      </c>
      <c r="E11" s="2539"/>
      <c r="F11" s="3016" t="str">
        <f>(PDs!S5+PDs!S7+PDs!S9+PDs!S11+PDs!S13)&amp;IF(Principal!AA27=0,""," + "&amp;Principal!AA27)</f>
        <v>0</v>
      </c>
      <c r="G11" s="3016"/>
      <c r="H11" s="3016"/>
      <c r="I11" s="3016"/>
      <c r="J11" s="1993"/>
      <c r="K11" s="2343" t="s">
        <v>1366</v>
      </c>
      <c r="L11" s="3017" t="str">
        <f>Principal!K7</f>
        <v xml:space="preserve">Natural </v>
      </c>
      <c r="M11" s="3017"/>
      <c r="N11" s="3017"/>
      <c r="O11" s="3017"/>
      <c r="P11" s="3017"/>
      <c r="Q11" s="3017"/>
      <c r="R11" s="3017"/>
      <c r="S11" s="3017"/>
      <c r="T11" s="3017"/>
      <c r="U11" s="3017"/>
      <c r="V11" s="3017"/>
      <c r="W11" s="3037"/>
      <c r="X11" s="2016"/>
      <c r="Y11" s="3031"/>
      <c r="Z11" s="3032"/>
      <c r="AA11" s="3032"/>
      <c r="AB11" s="3032"/>
      <c r="AC11" s="3032"/>
      <c r="AD11" s="3032"/>
      <c r="AE11" s="3032"/>
      <c r="AF11" s="3032"/>
      <c r="AG11" s="3032"/>
      <c r="AH11" s="3032"/>
      <c r="AI11" s="3032"/>
      <c r="AJ11" s="3033"/>
      <c r="AK11" s="666"/>
      <c r="AL11" s="24"/>
      <c r="AN11" s="2529"/>
      <c r="AO11" s="1981"/>
      <c r="AP11" s="2530"/>
      <c r="AQ11" s="1872"/>
      <c r="AR11" s="1872" t="b">
        <f>NotasSheele&lt;&gt;""</f>
        <v>0</v>
      </c>
    </row>
    <row r="12" spans="1:44" ht="13.5" customHeight="1" x14ac:dyDescent="0.2">
      <c r="A12" s="10"/>
      <c r="B12" s="867"/>
      <c r="C12" s="2005"/>
      <c r="D12" s="1994" t="s">
        <v>9772</v>
      </c>
      <c r="E12" s="3017" t="str">
        <f>"   "&amp;Principal!N11</f>
        <v xml:space="preserve">   20</v>
      </c>
      <c r="F12" s="3017"/>
      <c r="G12" s="3017"/>
      <c r="H12" s="2552"/>
      <c r="I12" s="2267"/>
      <c r="J12" s="2267"/>
      <c r="K12" s="2343" t="s">
        <v>1327</v>
      </c>
      <c r="L12" s="3008" t="str">
        <f>Principal!K5</f>
        <v/>
      </c>
      <c r="M12" s="3008"/>
      <c r="N12" s="3008"/>
      <c r="O12" s="3008"/>
      <c r="P12" s="3008"/>
      <c r="Q12" s="3008"/>
      <c r="R12" s="3008"/>
      <c r="S12" s="3008"/>
      <c r="T12" s="3008"/>
      <c r="U12" s="3008"/>
      <c r="V12" s="3008"/>
      <c r="W12" s="3009"/>
      <c r="X12" s="2017"/>
      <c r="Y12" s="3031"/>
      <c r="Z12" s="3032"/>
      <c r="AA12" s="3032"/>
      <c r="AB12" s="3032"/>
      <c r="AC12" s="3032"/>
      <c r="AD12" s="3032"/>
      <c r="AE12" s="3032"/>
      <c r="AF12" s="3032"/>
      <c r="AG12" s="3032"/>
      <c r="AH12" s="3032"/>
      <c r="AI12" s="3032"/>
      <c r="AJ12" s="3033"/>
      <c r="AK12" s="666"/>
      <c r="AL12" s="24"/>
      <c r="AN12" s="2529"/>
      <c r="AO12" s="1981"/>
      <c r="AP12" s="2530"/>
      <c r="AQ12" s="1872"/>
      <c r="AR12" s="1872" t="b">
        <f>NotasPsíquicos&lt;&gt;""</f>
        <v>0</v>
      </c>
    </row>
    <row r="13" spans="1:44" ht="12" customHeight="1" x14ac:dyDescent="0.2">
      <c r="A13" s="10"/>
      <c r="B13" s="867"/>
      <c r="C13" s="2005"/>
      <c r="D13" s="2371" t="s">
        <v>1856</v>
      </c>
      <c r="E13" s="2371"/>
      <c r="F13" s="3013">
        <f>FUE</f>
        <v>0</v>
      </c>
      <c r="G13" s="3013"/>
      <c r="H13" s="2371" t="s">
        <v>1857</v>
      </c>
      <c r="I13" s="2371"/>
      <c r="J13" s="3013">
        <f>DES</f>
        <v>0</v>
      </c>
      <c r="K13" s="3013"/>
      <c r="L13" s="2371" t="s">
        <v>1858</v>
      </c>
      <c r="M13" s="2371"/>
      <c r="N13" s="3013">
        <f>AGI</f>
        <v>0</v>
      </c>
      <c r="O13" s="3013"/>
      <c r="P13" s="2371" t="s">
        <v>1859</v>
      </c>
      <c r="Q13" s="2371"/>
      <c r="R13" s="3013">
        <f>CON</f>
        <v>0</v>
      </c>
      <c r="S13" s="3013"/>
      <c r="T13" s="1991"/>
      <c r="U13" s="1991"/>
      <c r="V13" s="1991"/>
      <c r="W13" s="2006"/>
      <c r="X13" s="2018"/>
      <c r="Y13" s="3031"/>
      <c r="Z13" s="3032"/>
      <c r="AA13" s="3032"/>
      <c r="AB13" s="3032"/>
      <c r="AC13" s="3032"/>
      <c r="AD13" s="3032"/>
      <c r="AE13" s="3032"/>
      <c r="AF13" s="3032"/>
      <c r="AG13" s="3032"/>
      <c r="AH13" s="3032"/>
      <c r="AI13" s="3032"/>
      <c r="AJ13" s="3033"/>
      <c r="AK13" s="666"/>
      <c r="AL13" s="24"/>
      <c r="AN13" s="2529"/>
      <c r="AO13" s="1981"/>
      <c r="AP13" s="2530"/>
      <c r="AQ13" s="1872"/>
      <c r="AR13" s="1872" t="b">
        <f>NotasPersonalización&lt;&gt;""</f>
        <v>0</v>
      </c>
    </row>
    <row r="14" spans="1:44" ht="13.5" customHeight="1" x14ac:dyDescent="0.2">
      <c r="A14" s="10"/>
      <c r="B14" s="867"/>
      <c r="C14" s="2005"/>
      <c r="D14" s="2372" t="s">
        <v>1860</v>
      </c>
      <c r="E14" s="2372"/>
      <c r="F14" s="3013">
        <f>POD</f>
        <v>0</v>
      </c>
      <c r="G14" s="3013"/>
      <c r="H14" s="2372" t="s">
        <v>1861</v>
      </c>
      <c r="I14" s="2372"/>
      <c r="J14" s="3013">
        <f>INT</f>
        <v>0</v>
      </c>
      <c r="K14" s="3013"/>
      <c r="L14" s="2372" t="s">
        <v>1862</v>
      </c>
      <c r="M14" s="2372"/>
      <c r="N14" s="3013">
        <f>VOL</f>
        <v>0</v>
      </c>
      <c r="O14" s="3013"/>
      <c r="P14" s="2372" t="s">
        <v>1863</v>
      </c>
      <c r="Q14" s="2372"/>
      <c r="R14" s="3013">
        <f>PER</f>
        <v>0</v>
      </c>
      <c r="S14" s="3013"/>
      <c r="T14" s="1991"/>
      <c r="U14" s="1991"/>
      <c r="V14" s="1991"/>
      <c r="W14" s="2006"/>
      <c r="X14" s="2018"/>
      <c r="Y14" s="3031"/>
      <c r="Z14" s="3032"/>
      <c r="AA14" s="3032"/>
      <c r="AB14" s="3032"/>
      <c r="AC14" s="3032"/>
      <c r="AD14" s="3032"/>
      <c r="AE14" s="3032"/>
      <c r="AF14" s="3032"/>
      <c r="AG14" s="3032"/>
      <c r="AH14" s="3032"/>
      <c r="AI14" s="3032"/>
      <c r="AJ14" s="3033"/>
      <c r="AK14" s="666"/>
      <c r="AL14" s="24"/>
      <c r="AN14" s="2529"/>
      <c r="AO14" s="1981"/>
      <c r="AP14" s="2530"/>
      <c r="AQ14" s="1872"/>
      <c r="AR14" s="1872"/>
    </row>
    <row r="15" spans="1:44" ht="13.5" customHeight="1" x14ac:dyDescent="0.2">
      <c r="A15" s="10"/>
      <c r="B15" s="867"/>
      <c r="C15" s="2005"/>
      <c r="D15" s="2503" t="s">
        <v>1843</v>
      </c>
      <c r="E15" s="2503"/>
      <c r="F15" s="2503"/>
      <c r="G15" s="2503"/>
      <c r="H15" s="3048">
        <f>Presencia_final</f>
        <v>20</v>
      </c>
      <c r="I15" s="3048"/>
      <c r="J15" s="3048"/>
      <c r="K15" s="3048"/>
      <c r="L15" s="2501"/>
      <c r="M15" s="2501"/>
      <c r="N15" s="2500"/>
      <c r="O15" s="2500"/>
      <c r="P15" s="1988"/>
      <c r="Q15" s="1988"/>
      <c r="R15" s="1992"/>
      <c r="S15" s="1992"/>
      <c r="T15" s="1991"/>
      <c r="U15" s="1991"/>
      <c r="V15" s="1991"/>
      <c r="W15" s="2006"/>
      <c r="X15" s="2018"/>
      <c r="Y15" s="3034"/>
      <c r="Z15" s="3035"/>
      <c r="AA15" s="3035"/>
      <c r="AB15" s="3035"/>
      <c r="AC15" s="3035"/>
      <c r="AD15" s="3035"/>
      <c r="AE15" s="3035"/>
      <c r="AF15" s="3035"/>
      <c r="AG15" s="3035"/>
      <c r="AH15" s="3035"/>
      <c r="AI15" s="3035"/>
      <c r="AJ15" s="3036"/>
      <c r="AK15" s="666"/>
      <c r="AL15" s="24"/>
      <c r="AN15" s="2529"/>
      <c r="AO15" s="1981"/>
      <c r="AP15" s="2530"/>
      <c r="AQ15" s="1872"/>
      <c r="AR15" s="1872"/>
    </row>
    <row r="16" spans="1:44" ht="12" customHeight="1" x14ac:dyDescent="0.2">
      <c r="A16" s="10"/>
      <c r="B16" s="867"/>
      <c r="C16" s="2005"/>
      <c r="D16" s="2505" t="s">
        <v>1864</v>
      </c>
      <c r="E16" s="2373"/>
      <c r="F16" s="3013">
        <f>Principal!J58</f>
        <v>20</v>
      </c>
      <c r="G16" s="3013"/>
      <c r="H16" s="2505" t="s">
        <v>1865</v>
      </c>
      <c r="I16" s="2505"/>
      <c r="J16" s="3013">
        <f>Principal!J61</f>
        <v>20</v>
      </c>
      <c r="K16" s="3013"/>
      <c r="L16" s="2505" t="s">
        <v>1866</v>
      </c>
      <c r="M16" s="2505"/>
      <c r="N16" s="3013">
        <f>Principal!J62</f>
        <v>20</v>
      </c>
      <c r="O16" s="3013"/>
      <c r="P16" s="2505" t="s">
        <v>1867</v>
      </c>
      <c r="Q16" s="2505"/>
      <c r="R16" s="3013">
        <f>Principal!J60</f>
        <v>20</v>
      </c>
      <c r="S16" s="3013"/>
      <c r="T16" s="2505" t="s">
        <v>1868</v>
      </c>
      <c r="U16" s="2505"/>
      <c r="V16" s="3014">
        <f>Principal!J59</f>
        <v>20</v>
      </c>
      <c r="W16" s="3015"/>
      <c r="X16" s="2019"/>
      <c r="Y16" s="1986"/>
      <c r="Z16" s="1986"/>
      <c r="AA16" s="1479"/>
      <c r="AB16" s="1479"/>
      <c r="AC16" s="1479"/>
      <c r="AD16" s="1479"/>
      <c r="AE16" s="1479"/>
      <c r="AF16" s="1986"/>
      <c r="AG16" s="1986"/>
      <c r="AH16" s="1986"/>
      <c r="AI16" s="1986"/>
      <c r="AJ16" s="1986"/>
      <c r="AK16" s="666"/>
      <c r="AL16" s="24"/>
      <c r="AN16" s="2529"/>
      <c r="AO16" s="1981"/>
      <c r="AP16" s="2530"/>
      <c r="AQ16" s="1872"/>
      <c r="AR16" s="1872"/>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1872"/>
      <c r="AR17" s="1872"/>
    </row>
    <row r="18" spans="1:44" ht="1.5" customHeight="1" x14ac:dyDescent="0.2">
      <c r="A18" s="10"/>
      <c r="B18" s="867"/>
      <c r="C18" s="2005"/>
      <c r="D18" s="3027" t="s">
        <v>1869</v>
      </c>
      <c r="E18" s="3027"/>
      <c r="F18" s="3027"/>
      <c r="G18" s="3027"/>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1872"/>
      <c r="AR18" s="1872"/>
    </row>
    <row r="19" spans="1:44" ht="12" customHeight="1" thickBot="1" x14ac:dyDescent="0.25">
      <c r="A19" s="10"/>
      <c r="B19" s="867"/>
      <c r="C19" s="2005"/>
      <c r="D19" s="3027"/>
      <c r="E19" s="3027"/>
      <c r="F19" s="3027"/>
      <c r="G19" s="3027"/>
      <c r="H19" s="3002" t="str">
        <f>Combate!$AV47&amp;Combate!$AW47&amp;Combate!$AX47&amp;Combate!$AY47&amp;Combate!$AZ47&amp;Combate!$BA47&amp;Combate!$BB47&amp;Combate!$BC47&amp;Combate!$BD47&amp;Combate!$BE47&amp;Combate!$BF47&amp;Combate!$BG47&amp;Combate!BH47</f>
        <v>40 Desarmado</v>
      </c>
      <c r="I19" s="3002"/>
      <c r="J19" s="3002"/>
      <c r="K19" s="3002"/>
      <c r="L19" s="3002"/>
      <c r="M19" s="3002"/>
      <c r="N19" s="3002"/>
      <c r="O19" s="3002"/>
      <c r="P19" s="3002"/>
      <c r="Q19" s="3002"/>
      <c r="R19" s="3002"/>
      <c r="S19" s="3002"/>
      <c r="T19" s="3002"/>
      <c r="U19" s="3002"/>
      <c r="V19" s="3002"/>
      <c r="W19" s="3002"/>
      <c r="X19" s="3002"/>
      <c r="Y19" s="3002"/>
      <c r="Z19" s="3002"/>
      <c r="AA19" s="3002"/>
      <c r="AB19" s="3002"/>
      <c r="AC19" s="3002"/>
      <c r="AD19" s="3002"/>
      <c r="AE19" s="3002"/>
      <c r="AF19" s="3002"/>
      <c r="AG19" s="3002"/>
      <c r="AH19" s="3002"/>
      <c r="AI19" s="3002"/>
      <c r="AJ19" s="2007"/>
      <c r="AK19" s="666"/>
      <c r="AL19" s="24"/>
      <c r="AN19" s="2531"/>
      <c r="AO19" s="2532"/>
      <c r="AP19" s="2533"/>
      <c r="AQ19" s="1872"/>
      <c r="AR19" s="1872"/>
    </row>
    <row r="20" spans="1:44" ht="12" customHeight="1" x14ac:dyDescent="0.2">
      <c r="A20" s="10"/>
      <c r="B20" s="867"/>
      <c r="C20" s="2206"/>
      <c r="D20" s="3027"/>
      <c r="E20" s="3027"/>
      <c r="F20" s="3027"/>
      <c r="G20" s="3027"/>
      <c r="H20" s="3002"/>
      <c r="I20" s="3002"/>
      <c r="J20" s="3002"/>
      <c r="K20" s="3002"/>
      <c r="L20" s="3002"/>
      <c r="M20" s="3002"/>
      <c r="N20" s="3002"/>
      <c r="O20" s="3002"/>
      <c r="P20" s="3002"/>
      <c r="Q20" s="3002"/>
      <c r="R20" s="3002"/>
      <c r="S20" s="3002"/>
      <c r="T20" s="3002"/>
      <c r="U20" s="3002"/>
      <c r="V20" s="3002"/>
      <c r="W20" s="3002"/>
      <c r="X20" s="3002"/>
      <c r="Y20" s="3002"/>
      <c r="Z20" s="3002"/>
      <c r="AA20" s="3002"/>
      <c r="AB20" s="3002"/>
      <c r="AC20" s="3002"/>
      <c r="AD20" s="3002"/>
      <c r="AE20" s="3002"/>
      <c r="AF20" s="3002"/>
      <c r="AG20" s="3002"/>
      <c r="AH20" s="3002"/>
      <c r="AI20" s="3002"/>
      <c r="AJ20" s="2007"/>
      <c r="AK20" s="666"/>
      <c r="AL20" s="24"/>
      <c r="AN20" s="2359"/>
      <c r="AO20" s="2358"/>
      <c r="AP20" s="2359"/>
      <c r="AQ20" s="1872"/>
      <c r="AR20" s="1872"/>
    </row>
    <row r="21" spans="1:44" ht="1.5" customHeight="1" thickBot="1" x14ac:dyDescent="0.25">
      <c r="A21" s="10"/>
      <c r="B21" s="867"/>
      <c r="C21" s="2005"/>
      <c r="D21" s="3027" t="s">
        <v>1400</v>
      </c>
      <c r="E21" s="3027"/>
      <c r="F21" s="3027"/>
      <c r="G21" s="3027"/>
      <c r="H21" s="3002"/>
      <c r="I21" s="3002"/>
      <c r="J21" s="3002"/>
      <c r="K21" s="3002"/>
      <c r="L21" s="3002"/>
      <c r="M21" s="3002"/>
      <c r="N21" s="3002"/>
      <c r="O21" s="3002"/>
      <c r="P21" s="3002"/>
      <c r="Q21" s="3002"/>
      <c r="R21" s="3002"/>
      <c r="S21" s="3002"/>
      <c r="T21" s="3002"/>
      <c r="U21" s="3002"/>
      <c r="V21" s="3002"/>
      <c r="W21" s="3002"/>
      <c r="X21" s="3002"/>
      <c r="Y21" s="3002"/>
      <c r="Z21" s="3002"/>
      <c r="AA21" s="3002"/>
      <c r="AB21" s="3002"/>
      <c r="AC21" s="3002"/>
      <c r="AD21" s="3002"/>
      <c r="AE21" s="3002"/>
      <c r="AF21" s="3002"/>
      <c r="AG21" s="3002"/>
      <c r="AH21" s="3002"/>
      <c r="AI21" s="3002"/>
      <c r="AJ21" s="2007"/>
      <c r="AK21" s="666"/>
      <c r="AL21" s="24"/>
      <c r="AQ21" s="1872"/>
      <c r="AR21" s="1872"/>
    </row>
    <row r="22" spans="1:44" ht="12" customHeight="1" x14ac:dyDescent="0.2">
      <c r="A22" s="10"/>
      <c r="B22" s="867"/>
      <c r="C22" s="2005"/>
      <c r="D22" s="3027"/>
      <c r="E22" s="3027"/>
      <c r="F22" s="3027"/>
      <c r="G22" s="3027"/>
      <c r="H22" s="3002" t="str">
        <f>Combate!$AV48&amp;Combate!$AW48&amp;Combate!$AX48&amp;Combate!$AY48&amp;Combate!$AZ48&amp;Combate!$BA48&amp;Combate!$BB48&amp;Combate!$BC48&amp;Combate!$BD48&amp;Combate!$BE48&amp;Combate!$BF48&amp;Combate!$BG48</f>
        <v>0 Desarmado</v>
      </c>
      <c r="I22" s="3002"/>
      <c r="J22" s="3002"/>
      <c r="K22" s="3002"/>
      <c r="L22" s="3002"/>
      <c r="M22" s="3002"/>
      <c r="N22" s="3002"/>
      <c r="O22" s="3002"/>
      <c r="P22" s="3002"/>
      <c r="Q22" s="3002"/>
      <c r="R22" s="3002"/>
      <c r="S22" s="3002"/>
      <c r="T22" s="3002"/>
      <c r="U22" s="3002"/>
      <c r="V22" s="3002"/>
      <c r="W22" s="3002"/>
      <c r="X22" s="3002"/>
      <c r="Y22" s="3002"/>
      <c r="Z22" s="3002"/>
      <c r="AA22" s="3002"/>
      <c r="AB22" s="3002"/>
      <c r="AC22" s="3002"/>
      <c r="AD22" s="3002"/>
      <c r="AE22" s="3002"/>
      <c r="AF22" s="3002"/>
      <c r="AG22" s="3002"/>
      <c r="AH22" s="3002"/>
      <c r="AI22" s="3002"/>
      <c r="AJ22" s="2008"/>
      <c r="AK22" s="666"/>
      <c r="AL22" s="24"/>
      <c r="AN22" s="2998" t="s">
        <v>9822</v>
      </c>
      <c r="AO22" s="2999"/>
      <c r="AP22" s="3000"/>
      <c r="AQ22" s="1872"/>
      <c r="AR22" s="1872"/>
    </row>
    <row r="23" spans="1:44" ht="12" customHeight="1" x14ac:dyDescent="0.2">
      <c r="A23" s="10"/>
      <c r="B23" s="867"/>
      <c r="C23" s="2005"/>
      <c r="D23" s="3027"/>
      <c r="E23" s="3027"/>
      <c r="F23" s="3027"/>
      <c r="G23" s="3027"/>
      <c r="H23" s="3002"/>
      <c r="I23" s="3002"/>
      <c r="J23" s="3002"/>
      <c r="K23" s="3002"/>
      <c r="L23" s="3002"/>
      <c r="M23" s="3002"/>
      <c r="N23" s="3002"/>
      <c r="O23" s="3002"/>
      <c r="P23" s="3002"/>
      <c r="Q23" s="3002"/>
      <c r="R23" s="3002"/>
      <c r="S23" s="3002"/>
      <c r="T23" s="3002"/>
      <c r="U23" s="3002"/>
      <c r="V23" s="3002"/>
      <c r="W23" s="3002"/>
      <c r="X23" s="3002"/>
      <c r="Y23" s="3002"/>
      <c r="Z23" s="3002"/>
      <c r="AA23" s="3002"/>
      <c r="AB23" s="3002"/>
      <c r="AC23" s="3002"/>
      <c r="AD23" s="3002"/>
      <c r="AE23" s="3002"/>
      <c r="AF23" s="3002"/>
      <c r="AG23" s="3002"/>
      <c r="AH23" s="3002"/>
      <c r="AI23" s="3002"/>
      <c r="AJ23" s="2008"/>
      <c r="AK23" s="666"/>
      <c r="AL23" s="24"/>
      <c r="AN23" s="3018"/>
      <c r="AO23" s="3019"/>
      <c r="AP23" s="3020"/>
      <c r="AQ23" s="1872"/>
      <c r="AR23" s="1872"/>
    </row>
    <row r="24" spans="1:44" ht="1.5" customHeight="1" x14ac:dyDescent="0.2">
      <c r="A24" s="10"/>
      <c r="B24" s="867"/>
      <c r="C24" s="2005"/>
      <c r="D24" s="3027" t="s">
        <v>8936</v>
      </c>
      <c r="E24" s="3027"/>
      <c r="F24" s="3027"/>
      <c r="G24" s="3027"/>
      <c r="H24" s="3002"/>
      <c r="I24" s="3002"/>
      <c r="J24" s="3002"/>
      <c r="K24" s="3002"/>
      <c r="L24" s="3002"/>
      <c r="M24" s="3002"/>
      <c r="N24" s="3002"/>
      <c r="O24" s="3002"/>
      <c r="P24" s="3002"/>
      <c r="Q24" s="3002"/>
      <c r="R24" s="3002"/>
      <c r="S24" s="3002"/>
      <c r="T24" s="3002"/>
      <c r="U24" s="3002"/>
      <c r="V24" s="3002"/>
      <c r="W24" s="3002"/>
      <c r="X24" s="3002"/>
      <c r="Y24" s="3002"/>
      <c r="Z24" s="3002"/>
      <c r="AA24" s="3002"/>
      <c r="AB24" s="3002"/>
      <c r="AC24" s="3002"/>
      <c r="AD24" s="3002"/>
      <c r="AE24" s="3002"/>
      <c r="AF24" s="3002"/>
      <c r="AG24" s="3002"/>
      <c r="AH24" s="3002"/>
      <c r="AI24" s="3002"/>
      <c r="AJ24" s="2007"/>
      <c r="AK24" s="666"/>
      <c r="AL24" s="24"/>
      <c r="AN24" s="3005"/>
      <c r="AO24" s="3006"/>
      <c r="AP24" s="3007"/>
      <c r="AQ24" s="1872"/>
      <c r="AR24" s="1872"/>
    </row>
    <row r="25" spans="1:44" ht="12" customHeight="1" x14ac:dyDescent="0.2">
      <c r="A25" s="10"/>
      <c r="B25" s="866"/>
      <c r="C25" s="2000"/>
      <c r="D25" s="3027"/>
      <c r="E25" s="3027"/>
      <c r="F25" s="3027"/>
      <c r="G25" s="3027"/>
      <c r="H25" s="3002" t="str">
        <f>IF(Principal!Y13="Si","Acumulación",Combate!$AV49&amp;Combate!$AW49&amp;Combate!$AX49&amp;Combate!$AY49&amp;Combate!$AZ49&amp;Combate!$BA49&amp;Combate!$BB49&amp;Combate!$BC49&amp;Combate!$BD49&amp;Combate!$BE49&amp;Combate!$BF49&amp;Combate!$BG49)</f>
        <v>0 Desarmado (Par)</v>
      </c>
      <c r="I25" s="3002"/>
      <c r="J25" s="3002"/>
      <c r="K25" s="3002"/>
      <c r="L25" s="3002"/>
      <c r="M25" s="3002"/>
      <c r="N25" s="3002"/>
      <c r="O25" s="3002"/>
      <c r="P25" s="3002"/>
      <c r="Q25" s="3002"/>
      <c r="R25" s="3002"/>
      <c r="S25" s="3002"/>
      <c r="T25" s="3002"/>
      <c r="U25" s="3002"/>
      <c r="V25" s="3002"/>
      <c r="W25" s="3002"/>
      <c r="X25" s="3002"/>
      <c r="Y25" s="3002"/>
      <c r="Z25" s="3002"/>
      <c r="AA25" s="3002"/>
      <c r="AB25" s="3002"/>
      <c r="AC25" s="3002"/>
      <c r="AD25" s="3002"/>
      <c r="AE25" s="3002"/>
      <c r="AF25" s="3002"/>
      <c r="AG25" s="3002"/>
      <c r="AH25" s="3002"/>
      <c r="AI25" s="3002"/>
      <c r="AJ25" s="2008"/>
      <c r="AK25" s="666"/>
      <c r="AL25" s="24"/>
      <c r="AN25" s="3021" t="s">
        <v>2094</v>
      </c>
      <c r="AO25" s="3022"/>
      <c r="AP25" s="3023"/>
      <c r="AQ25" s="1872"/>
      <c r="AR25" s="1872"/>
    </row>
    <row r="26" spans="1:44" ht="12" customHeight="1" thickBot="1" x14ac:dyDescent="0.25">
      <c r="A26" s="10"/>
      <c r="B26" s="866"/>
      <c r="C26" s="2000"/>
      <c r="D26" s="3027"/>
      <c r="E26" s="3027"/>
      <c r="F26" s="3027"/>
      <c r="G26" s="3027"/>
      <c r="H26" s="3002"/>
      <c r="I26" s="3002"/>
      <c r="J26" s="3002"/>
      <c r="K26" s="3002"/>
      <c r="L26" s="3002"/>
      <c r="M26" s="3002"/>
      <c r="N26" s="3002"/>
      <c r="O26" s="3002"/>
      <c r="P26" s="3002"/>
      <c r="Q26" s="3002"/>
      <c r="R26" s="3002"/>
      <c r="S26" s="3002"/>
      <c r="T26" s="3002"/>
      <c r="U26" s="3002"/>
      <c r="V26" s="3002"/>
      <c r="W26" s="3002"/>
      <c r="X26" s="3002"/>
      <c r="Y26" s="3002"/>
      <c r="Z26" s="3002"/>
      <c r="AA26" s="3002"/>
      <c r="AB26" s="3002"/>
      <c r="AC26" s="3002"/>
      <c r="AD26" s="3002"/>
      <c r="AE26" s="3002"/>
      <c r="AF26" s="3002"/>
      <c r="AG26" s="3002"/>
      <c r="AH26" s="3002"/>
      <c r="AI26" s="3002"/>
      <c r="AJ26" s="2008"/>
      <c r="AK26" s="666"/>
      <c r="AL26" s="24"/>
      <c r="AN26" s="3024"/>
      <c r="AO26" s="3025"/>
      <c r="AP26" s="3026"/>
      <c r="AQ26" s="1872"/>
      <c r="AR26" s="1872"/>
    </row>
    <row r="27" spans="1:44" ht="1.5" customHeight="1" x14ac:dyDescent="0.2">
      <c r="A27" s="10"/>
      <c r="B27" s="867"/>
      <c r="C27" s="2005"/>
      <c r="D27" s="3027" t="s">
        <v>1870</v>
      </c>
      <c r="E27" s="3027"/>
      <c r="F27" s="3027"/>
      <c r="G27" s="3027"/>
      <c r="H27" s="3002"/>
      <c r="I27" s="3002"/>
      <c r="J27" s="3002"/>
      <c r="K27" s="3002"/>
      <c r="L27" s="3002"/>
      <c r="M27" s="3002"/>
      <c r="N27" s="3002"/>
      <c r="O27" s="3002"/>
      <c r="P27" s="3002"/>
      <c r="Q27" s="3002"/>
      <c r="R27" s="3002"/>
      <c r="S27" s="3002"/>
      <c r="T27" s="3002"/>
      <c r="U27" s="3002"/>
      <c r="V27" s="3002"/>
      <c r="W27" s="3002"/>
      <c r="X27" s="3002"/>
      <c r="Y27" s="3002"/>
      <c r="Z27" s="3002"/>
      <c r="AA27" s="3002"/>
      <c r="AB27" s="3002"/>
      <c r="AC27" s="3002"/>
      <c r="AD27" s="3002"/>
      <c r="AE27" s="3002"/>
      <c r="AF27" s="3002"/>
      <c r="AG27" s="3002"/>
      <c r="AH27" s="3002"/>
      <c r="AI27" s="3002"/>
      <c r="AJ27" s="2007"/>
      <c r="AK27" s="666"/>
      <c r="AL27" s="24"/>
      <c r="AQ27" s="1872"/>
      <c r="AR27" s="1872"/>
    </row>
    <row r="28" spans="1:44" ht="12" customHeight="1" x14ac:dyDescent="0.2">
      <c r="A28" s="10"/>
      <c r="B28" s="866"/>
      <c r="C28" s="2000"/>
      <c r="D28" s="3027"/>
      <c r="E28" s="3027"/>
      <c r="F28" s="3027"/>
      <c r="G28" s="3027"/>
      <c r="H28" s="3002" t="str">
        <f>Combate!$AV50&amp;Combate!$AW50&amp;Combate!$AX50&amp;Combate!$AY50&amp;Combate!$AZ50&amp;Combate!$BA50&amp;Combate!$BB50&amp;Combate!$BC50&amp;Combate!$BD50&amp;Combate!$BE50&amp;Combate!$BF50&amp;Combate!$BG50&amp;Combate!BH50</f>
        <v>5 Desarmado (CON)</v>
      </c>
      <c r="I28" s="3002"/>
      <c r="J28" s="3002"/>
      <c r="K28" s="3002"/>
      <c r="L28" s="3002"/>
      <c r="M28" s="3002"/>
      <c r="N28" s="3002"/>
      <c r="O28" s="3002"/>
      <c r="P28" s="3002"/>
      <c r="Q28" s="3002"/>
      <c r="R28" s="3002"/>
      <c r="S28" s="3002"/>
      <c r="T28" s="3002"/>
      <c r="U28" s="3002"/>
      <c r="V28" s="3002"/>
      <c r="W28" s="3002"/>
      <c r="X28" s="3002"/>
      <c r="Y28" s="3002"/>
      <c r="Z28" s="3002"/>
      <c r="AA28" s="3002"/>
      <c r="AB28" s="3002"/>
      <c r="AC28" s="3002"/>
      <c r="AD28" s="3002"/>
      <c r="AE28" s="3002"/>
      <c r="AF28" s="3002"/>
      <c r="AG28" s="3002"/>
      <c r="AH28" s="3002"/>
      <c r="AI28" s="3002"/>
      <c r="AJ28" s="2007"/>
      <c r="AK28" s="666"/>
      <c r="AL28" s="24"/>
      <c r="AQ28" s="1872"/>
      <c r="AR28" s="1872"/>
    </row>
    <row r="29" spans="1:44" ht="12" customHeight="1" x14ac:dyDescent="0.2">
      <c r="A29" s="10"/>
      <c r="B29" s="866"/>
      <c r="C29" s="2205"/>
      <c r="D29" s="3027"/>
      <c r="E29" s="3027"/>
      <c r="F29" s="3027"/>
      <c r="G29" s="3027"/>
      <c r="H29" s="3002"/>
      <c r="I29" s="3002"/>
      <c r="J29" s="3002"/>
      <c r="K29" s="3002"/>
      <c r="L29" s="3002"/>
      <c r="M29" s="3002"/>
      <c r="N29" s="3002"/>
      <c r="O29" s="3002"/>
      <c r="P29" s="3002"/>
      <c r="Q29" s="3002"/>
      <c r="R29" s="3002"/>
      <c r="S29" s="3002"/>
      <c r="T29" s="3002"/>
      <c r="U29" s="3002"/>
      <c r="V29" s="3002"/>
      <c r="W29" s="3002"/>
      <c r="X29" s="3002"/>
      <c r="Y29" s="3002"/>
      <c r="Z29" s="3002"/>
      <c r="AA29" s="3002"/>
      <c r="AB29" s="3002"/>
      <c r="AC29" s="3002"/>
      <c r="AD29" s="3002"/>
      <c r="AE29" s="3002"/>
      <c r="AF29" s="3002"/>
      <c r="AG29" s="3002"/>
      <c r="AH29" s="3002"/>
      <c r="AI29" s="3002"/>
      <c r="AJ29" s="2007"/>
      <c r="AK29" s="666"/>
      <c r="AL29" s="24"/>
      <c r="AQ29" s="1872"/>
      <c r="AR29" s="1872"/>
    </row>
    <row r="30" spans="1:44" ht="1.5" customHeight="1" x14ac:dyDescent="0.2">
      <c r="A30" s="10"/>
      <c r="B30" s="867"/>
      <c r="C30" s="2005"/>
      <c r="D30" s="1993"/>
      <c r="E30" s="1993"/>
      <c r="F30" s="1993"/>
      <c r="G30" s="1012"/>
      <c r="H30" s="3002"/>
      <c r="I30" s="3002"/>
      <c r="J30" s="3002"/>
      <c r="K30" s="3002"/>
      <c r="L30" s="3002"/>
      <c r="M30" s="3002"/>
      <c r="N30" s="3002"/>
      <c r="O30" s="3002"/>
      <c r="P30" s="3002"/>
      <c r="Q30" s="3002"/>
      <c r="R30" s="3002"/>
      <c r="S30" s="3002"/>
      <c r="T30" s="3002"/>
      <c r="U30" s="3002"/>
      <c r="V30" s="3002"/>
      <c r="W30" s="3002"/>
      <c r="X30" s="3002"/>
      <c r="Y30" s="3002"/>
      <c r="Z30" s="3002"/>
      <c r="AA30" s="3002"/>
      <c r="AB30" s="3002"/>
      <c r="AC30" s="3002"/>
      <c r="AD30" s="3002"/>
      <c r="AE30" s="3002"/>
      <c r="AF30" s="3002"/>
      <c r="AG30" s="3002"/>
      <c r="AH30" s="3002"/>
      <c r="AI30" s="3002"/>
      <c r="AJ30" s="2007"/>
      <c r="AK30" s="666"/>
      <c r="AL30" s="24"/>
      <c r="AQ30" s="1872"/>
      <c r="AR30" s="1872"/>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1872"/>
      <c r="AR31" s="1872"/>
    </row>
    <row r="32" spans="1:44" ht="12" customHeight="1" x14ac:dyDescent="0.2">
      <c r="A32" s="10"/>
      <c r="B32" s="866"/>
      <c r="C32" s="2000"/>
      <c r="D32" s="1012"/>
      <c r="E32" s="1012"/>
      <c r="F32" s="1012"/>
      <c r="G32" s="2545" t="s">
        <v>1872</v>
      </c>
      <c r="H32" s="3050" t="str">
        <f>Combate!I16&amp;IF(Combate!$C$15="",""," ("&amp;Combate!I15&amp;")")</f>
        <v>0</v>
      </c>
      <c r="I32" s="3050"/>
      <c r="J32" s="1990"/>
      <c r="K32" s="2545" t="s">
        <v>1873</v>
      </c>
      <c r="L32" s="3050" t="str">
        <f>Combate!J16&amp;IF(Combate!$C$15="",""," ("&amp;Combate!J15&amp;")")</f>
        <v>0</v>
      </c>
      <c r="M32" s="3050"/>
      <c r="N32" s="1990"/>
      <c r="O32" s="2545" t="s">
        <v>1874</v>
      </c>
      <c r="P32" s="3050" t="str">
        <f>Combate!K16&amp;IF(Combate!$C$15="",""," ("&amp;Combate!K15&amp;")")</f>
        <v>0</v>
      </c>
      <c r="Q32" s="3050"/>
      <c r="R32" s="1990"/>
      <c r="S32" s="2545" t="s">
        <v>1875</v>
      </c>
      <c r="T32" s="3050" t="str">
        <f>Combate!L16&amp;IF(Combate!$C$15="",""," ("&amp;Combate!L15&amp;")")</f>
        <v>0</v>
      </c>
      <c r="U32" s="3050"/>
      <c r="V32" s="1990"/>
      <c r="W32" s="2545" t="s">
        <v>1877</v>
      </c>
      <c r="X32" s="3050" t="str">
        <f>Combate!M16&amp;IF(Combate!$C$15="",""," ("&amp;Combate!M15&amp;")")</f>
        <v>0</v>
      </c>
      <c r="Y32" s="3050"/>
      <c r="Z32" s="1990"/>
      <c r="AA32" s="2545" t="s">
        <v>1876</v>
      </c>
      <c r="AB32" s="3050" t="str">
        <f>Combate!N16&amp;IF(Combate!$C$15="",""," ("&amp;Combate!N15&amp;")")</f>
        <v>0</v>
      </c>
      <c r="AC32" s="3050"/>
      <c r="AD32" s="1990"/>
      <c r="AE32" s="2545" t="s">
        <v>1878</v>
      </c>
      <c r="AF32" s="3050" t="str">
        <f>Combate!O16&amp;IF(Combate!$C$15="",""," ("&amp;Combate!O15&amp;")")</f>
        <v>0</v>
      </c>
      <c r="AG32" s="3050"/>
      <c r="AH32" s="1991"/>
      <c r="AI32" s="1990"/>
      <c r="AJ32" s="2007"/>
      <c r="AK32" s="666"/>
      <c r="AL32" s="24"/>
      <c r="AQ32" s="1872"/>
      <c r="AR32" s="1872"/>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1872"/>
      <c r="AR33" s="1872"/>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1872"/>
      <c r="AR34" s="1872"/>
    </row>
    <row r="35" spans="1:44" ht="12" customHeight="1" x14ac:dyDescent="0.2">
      <c r="A35" s="10"/>
      <c r="B35" s="513"/>
      <c r="C35" s="2011"/>
      <c r="D35" s="3004" t="s">
        <v>1879</v>
      </c>
      <c r="E35" s="3004"/>
      <c r="F35" s="3004"/>
      <c r="G35" s="3004"/>
      <c r="H35" s="1993"/>
      <c r="I35" s="3013" t="str">
        <f>"("&amp;Ki!F24&amp;")"</f>
        <v>(0)</v>
      </c>
      <c r="J35" s="3013"/>
      <c r="K35" s="1990" t="s">
        <v>1856</v>
      </c>
      <c r="L35" s="1990"/>
      <c r="M35" s="3013" t="str">
        <f>Ki!F18</f>
        <v>-</v>
      </c>
      <c r="N35" s="3013"/>
      <c r="O35" s="1990" t="s">
        <v>1857</v>
      </c>
      <c r="P35" s="1990"/>
      <c r="Q35" s="3013" t="str">
        <f>Ki!F16</f>
        <v>-</v>
      </c>
      <c r="R35" s="3013"/>
      <c r="S35" s="1990" t="s">
        <v>1858</v>
      </c>
      <c r="T35" s="1990"/>
      <c r="U35" s="3013" t="str">
        <f>Ki!F12</f>
        <v>-</v>
      </c>
      <c r="V35" s="3013"/>
      <c r="W35" s="1990" t="s">
        <v>1859</v>
      </c>
      <c r="X35" s="1990"/>
      <c r="Y35" s="3013" t="str">
        <f>Ki!F14</f>
        <v>-</v>
      </c>
      <c r="Z35" s="3013"/>
      <c r="AA35" s="1990" t="s">
        <v>1860</v>
      </c>
      <c r="AB35" s="1990"/>
      <c r="AC35" s="3013" t="str">
        <f>Ki!F20</f>
        <v>-</v>
      </c>
      <c r="AD35" s="3013"/>
      <c r="AE35" s="1990" t="s">
        <v>1862</v>
      </c>
      <c r="AF35" s="1990"/>
      <c r="AG35" s="3013" t="str">
        <f>Ki!F22</f>
        <v>-</v>
      </c>
      <c r="AH35" s="3013"/>
      <c r="AI35" s="1991"/>
      <c r="AJ35" s="2009"/>
      <c r="AK35" s="666"/>
      <c r="AL35" s="24"/>
      <c r="AQ35" s="1872"/>
      <c r="AR35" s="1872"/>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1872"/>
      <c r="AR36" s="1872"/>
    </row>
    <row r="37" spans="1:44" ht="12" customHeight="1" x14ac:dyDescent="0.2">
      <c r="A37" s="10"/>
      <c r="B37" s="2536"/>
      <c r="C37" s="2012"/>
      <c r="D37" s="3004" t="s">
        <v>10180</v>
      </c>
      <c r="E37" s="3004"/>
      <c r="F37" s="3004"/>
      <c r="G37" s="3004"/>
      <c r="H37" s="3004"/>
      <c r="I37" s="3063" t="str">
        <f>"("&amp;Ki!D24&amp;")"</f>
        <v>(0)</v>
      </c>
      <c r="J37" s="3063"/>
      <c r="K37" s="1990" t="s">
        <v>1856</v>
      </c>
      <c r="L37" s="1990"/>
      <c r="M37" s="3013">
        <f>Ki!D18</f>
        <v>0</v>
      </c>
      <c r="N37" s="3013"/>
      <c r="O37" s="1990" t="s">
        <v>1857</v>
      </c>
      <c r="P37" s="1990"/>
      <c r="Q37" s="3013">
        <f>Ki!D16</f>
        <v>0</v>
      </c>
      <c r="R37" s="3013"/>
      <c r="S37" s="1990" t="s">
        <v>1858</v>
      </c>
      <c r="T37" s="1990"/>
      <c r="U37" s="3013">
        <f>Ki!D12</f>
        <v>0</v>
      </c>
      <c r="V37" s="3013"/>
      <c r="W37" s="1990" t="s">
        <v>1859</v>
      </c>
      <c r="X37" s="1990"/>
      <c r="Y37" s="3013">
        <f>Ki!D14</f>
        <v>0</v>
      </c>
      <c r="Z37" s="3013"/>
      <c r="AA37" s="1990" t="s">
        <v>1860</v>
      </c>
      <c r="AB37" s="1990"/>
      <c r="AC37" s="3013">
        <f>Ki!D20</f>
        <v>0</v>
      </c>
      <c r="AD37" s="3013"/>
      <c r="AE37" s="1990" t="s">
        <v>1862</v>
      </c>
      <c r="AF37" s="1990"/>
      <c r="AG37" s="3013">
        <f>Ki!D22</f>
        <v>0</v>
      </c>
      <c r="AH37" s="3013"/>
      <c r="AI37" s="1991"/>
      <c r="AJ37" s="2009"/>
      <c r="AK37" s="666"/>
      <c r="AL37" s="24"/>
      <c r="AQ37" s="1872"/>
      <c r="AR37" s="1872"/>
    </row>
    <row r="38" spans="1:44" ht="1.5" customHeight="1" x14ac:dyDescent="0.2">
      <c r="A38" s="10"/>
      <c r="B38" s="867"/>
      <c r="C38" s="2005"/>
      <c r="D38" s="3004" t="s">
        <v>1880</v>
      </c>
      <c r="E38" s="3004"/>
      <c r="F38" s="3004"/>
      <c r="G38" s="3004"/>
      <c r="H38" s="3004"/>
      <c r="I38" s="3004"/>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1872"/>
      <c r="AR38" s="1872"/>
    </row>
    <row r="39" spans="1:44" ht="12" customHeight="1" x14ac:dyDescent="0.2">
      <c r="A39" s="10"/>
      <c r="B39" s="2536"/>
      <c r="C39" s="2012"/>
      <c r="D39" s="3004"/>
      <c r="E39" s="3004"/>
      <c r="F39" s="3004"/>
      <c r="G39" s="3004"/>
      <c r="H39" s="3004"/>
      <c r="I39" s="3004"/>
      <c r="J39" s="3002" t="str">
        <f>IFERROR(RIGHT(AQ39,LEN(AQ39)-2),"")</f>
        <v/>
      </c>
      <c r="K39" s="3002"/>
      <c r="L39" s="3002"/>
      <c r="M39" s="3002"/>
      <c r="N39" s="3002"/>
      <c r="O39" s="3002"/>
      <c r="P39" s="3002"/>
      <c r="Q39" s="3002"/>
      <c r="R39" s="3002"/>
      <c r="S39" s="3002"/>
      <c r="T39" s="3002"/>
      <c r="U39" s="3002"/>
      <c r="V39" s="3002"/>
      <c r="W39" s="3002"/>
      <c r="X39" s="3002"/>
      <c r="Y39" s="3002"/>
      <c r="Z39" s="3002"/>
      <c r="AA39" s="3002"/>
      <c r="AB39" s="3002"/>
      <c r="AC39" s="3002"/>
      <c r="AD39" s="3002"/>
      <c r="AE39" s="3002"/>
      <c r="AF39" s="3002"/>
      <c r="AG39" s="3002"/>
      <c r="AH39" s="3002"/>
      <c r="AI39" s="3002"/>
      <c r="AJ39" s="2013"/>
      <c r="AK39" s="666"/>
      <c r="AL39" s="24"/>
      <c r="AQ39" s="1893" t="str">
        <f>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f>
        <v/>
      </c>
      <c r="AR39" s="1872"/>
    </row>
    <row r="40" spans="1:44" ht="12" customHeight="1" x14ac:dyDescent="0.2">
      <c r="A40" s="10"/>
      <c r="B40" s="2536"/>
      <c r="C40" s="2012"/>
      <c r="D40" s="1990"/>
      <c r="E40" s="1990"/>
      <c r="F40" s="1990"/>
      <c r="G40" s="1990"/>
      <c r="H40" s="1990"/>
      <c r="I40" s="1990"/>
      <c r="J40" s="3002"/>
      <c r="K40" s="3002"/>
      <c r="L40" s="3002"/>
      <c r="M40" s="3002"/>
      <c r="N40" s="3002"/>
      <c r="O40" s="3002"/>
      <c r="P40" s="3002"/>
      <c r="Q40" s="3002"/>
      <c r="R40" s="3002"/>
      <c r="S40" s="3002"/>
      <c r="T40" s="3002"/>
      <c r="U40" s="3002"/>
      <c r="V40" s="3002"/>
      <c r="W40" s="3002"/>
      <c r="X40" s="3002"/>
      <c r="Y40" s="3002"/>
      <c r="Z40" s="3002"/>
      <c r="AA40" s="3002"/>
      <c r="AB40" s="3002"/>
      <c r="AC40" s="3002"/>
      <c r="AD40" s="3002"/>
      <c r="AE40" s="3002"/>
      <c r="AF40" s="3002"/>
      <c r="AG40" s="3002"/>
      <c r="AH40" s="3002"/>
      <c r="AI40" s="3002"/>
      <c r="AJ40" s="2013"/>
      <c r="AK40" s="666"/>
      <c r="AL40" s="25"/>
      <c r="AQ40" s="1872"/>
      <c r="AR40" s="1872"/>
    </row>
    <row r="41" spans="1:44" ht="12" customHeight="1" x14ac:dyDescent="0.2">
      <c r="A41" s="10"/>
      <c r="B41" s="2536"/>
      <c r="C41" s="2012"/>
      <c r="D41" s="1990"/>
      <c r="E41" s="1990"/>
      <c r="F41" s="1990"/>
      <c r="G41" s="1990"/>
      <c r="H41" s="1990"/>
      <c r="I41" s="1990"/>
      <c r="J41" s="3002"/>
      <c r="K41" s="3002"/>
      <c r="L41" s="3002"/>
      <c r="M41" s="3002"/>
      <c r="N41" s="3002"/>
      <c r="O41" s="3002"/>
      <c r="P41" s="3002"/>
      <c r="Q41" s="3002"/>
      <c r="R41" s="3002"/>
      <c r="S41" s="3002"/>
      <c r="T41" s="3002"/>
      <c r="U41" s="3002"/>
      <c r="V41" s="3002"/>
      <c r="W41" s="3002"/>
      <c r="X41" s="3002"/>
      <c r="Y41" s="3002"/>
      <c r="Z41" s="3002"/>
      <c r="AA41" s="3002"/>
      <c r="AB41" s="3002"/>
      <c r="AC41" s="3002"/>
      <c r="AD41" s="3002"/>
      <c r="AE41" s="3002"/>
      <c r="AF41" s="3002"/>
      <c r="AG41" s="3002"/>
      <c r="AH41" s="3002"/>
      <c r="AI41" s="3002"/>
      <c r="AJ41" s="2013"/>
      <c r="AK41" s="666"/>
      <c r="AL41" s="25"/>
      <c r="AQ41" s="1872"/>
      <c r="AR41" s="1872"/>
    </row>
    <row r="42" spans="1:44" ht="1.5" customHeight="1" x14ac:dyDescent="0.2">
      <c r="A42" s="10"/>
      <c r="B42" s="867"/>
      <c r="C42" s="2005"/>
      <c r="D42" s="3004" t="s">
        <v>1881</v>
      </c>
      <c r="E42" s="3004"/>
      <c r="F42" s="3004"/>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1872"/>
      <c r="AR42" s="1872"/>
    </row>
    <row r="43" spans="1:44" ht="12" customHeight="1" x14ac:dyDescent="0.2">
      <c r="A43" s="10"/>
      <c r="B43" s="2536"/>
      <c r="C43" s="2012"/>
      <c r="D43" s="3004"/>
      <c r="E43" s="3004"/>
      <c r="F43" s="3004"/>
      <c r="G43" s="3002" t="str">
        <f>Ki!AN26</f>
        <v/>
      </c>
      <c r="H43" s="3002"/>
      <c r="I43" s="3002"/>
      <c r="J43" s="3002"/>
      <c r="K43" s="3002"/>
      <c r="L43" s="3002"/>
      <c r="M43" s="3002"/>
      <c r="N43" s="3002"/>
      <c r="O43" s="3002"/>
      <c r="P43" s="3002"/>
      <c r="Q43" s="3002"/>
      <c r="R43" s="3002"/>
      <c r="S43" s="3002"/>
      <c r="T43" s="3002"/>
      <c r="U43" s="3002"/>
      <c r="V43" s="3002"/>
      <c r="W43" s="3002"/>
      <c r="X43" s="3002"/>
      <c r="Y43" s="3002"/>
      <c r="Z43" s="3002"/>
      <c r="AA43" s="3002"/>
      <c r="AB43" s="3002"/>
      <c r="AC43" s="3002"/>
      <c r="AD43" s="3002"/>
      <c r="AE43" s="3002"/>
      <c r="AF43" s="3002"/>
      <c r="AG43" s="3002"/>
      <c r="AH43" s="3002"/>
      <c r="AI43" s="3002"/>
      <c r="AJ43" s="2013"/>
      <c r="AK43" s="666"/>
      <c r="AL43" s="25"/>
      <c r="AQ43" s="1872"/>
      <c r="AR43" s="1872"/>
    </row>
    <row r="44" spans="1:44" ht="12" customHeight="1" x14ac:dyDescent="0.2">
      <c r="A44" s="10"/>
      <c r="B44" s="2536"/>
      <c r="C44" s="2012"/>
      <c r="D44" s="1990"/>
      <c r="E44" s="1990"/>
      <c r="F44" s="1990"/>
      <c r="G44" s="3002"/>
      <c r="H44" s="3002"/>
      <c r="I44" s="3002"/>
      <c r="J44" s="3002"/>
      <c r="K44" s="3002"/>
      <c r="L44" s="3002"/>
      <c r="M44" s="3002"/>
      <c r="N44" s="3002"/>
      <c r="O44" s="3002"/>
      <c r="P44" s="3002"/>
      <c r="Q44" s="3002"/>
      <c r="R44" s="3002"/>
      <c r="S44" s="3002"/>
      <c r="T44" s="3002"/>
      <c r="U44" s="3002"/>
      <c r="V44" s="3002"/>
      <c r="W44" s="3002"/>
      <c r="X44" s="3002"/>
      <c r="Y44" s="3002"/>
      <c r="Z44" s="3002"/>
      <c r="AA44" s="3002"/>
      <c r="AB44" s="3002"/>
      <c r="AC44" s="3002"/>
      <c r="AD44" s="3002"/>
      <c r="AE44" s="3002"/>
      <c r="AF44" s="3002"/>
      <c r="AG44" s="3002"/>
      <c r="AH44" s="3002"/>
      <c r="AI44" s="3002"/>
      <c r="AJ44" s="2013"/>
      <c r="AK44" s="666"/>
      <c r="AL44" s="25"/>
      <c r="AQ44" s="1872"/>
      <c r="AR44" s="1872"/>
    </row>
    <row r="45" spans="1:44" ht="12" customHeight="1" x14ac:dyDescent="0.2">
      <c r="A45" s="10"/>
      <c r="B45" s="2536"/>
      <c r="C45" s="2012"/>
      <c r="D45" s="1995"/>
      <c r="E45" s="1995"/>
      <c r="F45" s="1995"/>
      <c r="G45" s="3003"/>
      <c r="H45" s="3003"/>
      <c r="I45" s="3003"/>
      <c r="J45" s="3003"/>
      <c r="K45" s="3003"/>
      <c r="L45" s="3003"/>
      <c r="M45" s="3003"/>
      <c r="N45" s="3003"/>
      <c r="O45" s="3003"/>
      <c r="P45" s="3003"/>
      <c r="Q45" s="3003"/>
      <c r="R45" s="3003"/>
      <c r="S45" s="3003"/>
      <c r="T45" s="3003"/>
      <c r="U45" s="3003"/>
      <c r="V45" s="3003"/>
      <c r="W45" s="3003"/>
      <c r="X45" s="3003"/>
      <c r="Y45" s="3003"/>
      <c r="Z45" s="3003"/>
      <c r="AA45" s="3003"/>
      <c r="AB45" s="3003"/>
      <c r="AC45" s="3003"/>
      <c r="AD45" s="3003"/>
      <c r="AE45" s="3003"/>
      <c r="AF45" s="3003"/>
      <c r="AG45" s="3003"/>
      <c r="AH45" s="3003"/>
      <c r="AI45" s="3003"/>
      <c r="AJ45" s="2013"/>
      <c r="AK45" s="666"/>
      <c r="AL45" s="25"/>
      <c r="AQ45" s="1872"/>
      <c r="AR45" s="1872"/>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1872"/>
      <c r="AR46" s="1872"/>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1872"/>
      <c r="AR47" s="1872"/>
    </row>
    <row r="48" spans="1:44" ht="12" customHeight="1" x14ac:dyDescent="0.2">
      <c r="A48" s="10"/>
      <c r="B48" s="2536"/>
      <c r="C48" s="2012"/>
      <c r="D48" s="2505" t="s">
        <v>1882</v>
      </c>
      <c r="E48" s="2505"/>
      <c r="F48" s="3056">
        <f>Tablas!H1076</f>
        <v>0</v>
      </c>
      <c r="G48" s="3056"/>
      <c r="H48" s="3056"/>
      <c r="I48" s="3056"/>
      <c r="J48" s="3056"/>
      <c r="K48" s="3056"/>
      <c r="L48" s="3056"/>
      <c r="M48" s="3056"/>
      <c r="N48" s="3056"/>
      <c r="O48" s="3056"/>
      <c r="P48" s="3056"/>
      <c r="Q48" s="3056"/>
      <c r="R48" s="3056"/>
      <c r="S48" s="3056"/>
      <c r="T48" s="3056"/>
      <c r="U48" s="3056"/>
      <c r="V48" s="2503" t="s">
        <v>1883</v>
      </c>
      <c r="W48" s="2503"/>
      <c r="X48" s="2503"/>
      <c r="Y48" s="3014">
        <f>Místicos!M25</f>
        <v>0</v>
      </c>
      <c r="Z48" s="3014"/>
      <c r="AA48" s="3014"/>
      <c r="AB48" s="2503" t="s">
        <v>1884</v>
      </c>
      <c r="AC48" s="2503"/>
      <c r="AD48" s="2503"/>
      <c r="AE48" s="2503"/>
      <c r="AF48" s="3014">
        <f>Místicos!M27</f>
        <v>0</v>
      </c>
      <c r="AG48" s="3014"/>
      <c r="AH48" s="3014"/>
      <c r="AI48" s="1990"/>
      <c r="AJ48" s="2010"/>
      <c r="AK48" s="666"/>
      <c r="AL48" s="25"/>
      <c r="AQ48" s="1872"/>
      <c r="AR48" s="1872"/>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1872"/>
      <c r="AR49" s="1872"/>
    </row>
    <row r="50" spans="1:44" ht="12" customHeight="1" x14ac:dyDescent="0.2">
      <c r="A50" s="10"/>
      <c r="B50" s="868"/>
      <c r="C50" s="2014"/>
      <c r="D50" s="2503" t="s">
        <v>1885</v>
      </c>
      <c r="E50" s="2503"/>
      <c r="F50" s="3048">
        <f>Místicos!K18</f>
        <v>0</v>
      </c>
      <c r="G50" s="3048"/>
      <c r="H50" s="3048"/>
      <c r="I50" s="3048"/>
      <c r="J50" s="2503" t="s">
        <v>8731</v>
      </c>
      <c r="K50" s="2503"/>
      <c r="L50" s="2503"/>
      <c r="M50" s="2499"/>
      <c r="N50" s="3048">
        <f>Místicos!J12</f>
        <v>0</v>
      </c>
      <c r="O50" s="3048"/>
      <c r="P50" s="3048"/>
      <c r="Q50" s="3048"/>
      <c r="R50" s="3048"/>
      <c r="S50" s="3048"/>
      <c r="T50" s="3048"/>
      <c r="U50" s="1990"/>
      <c r="V50" s="2503" t="s">
        <v>1886</v>
      </c>
      <c r="W50" s="2503"/>
      <c r="X50" s="2503"/>
      <c r="Y50" s="3014">
        <f>Místicos!M26</f>
        <v>0</v>
      </c>
      <c r="Z50" s="3014"/>
      <c r="AA50" s="3014"/>
      <c r="AB50" s="2503" t="s">
        <v>1887</v>
      </c>
      <c r="AC50" s="2503"/>
      <c r="AD50" s="2503"/>
      <c r="AE50" s="2503"/>
      <c r="AF50" s="3014">
        <f>Místicos!M28</f>
        <v>0</v>
      </c>
      <c r="AG50" s="3014"/>
      <c r="AH50" s="3014"/>
      <c r="AI50" s="1990"/>
      <c r="AJ50" s="2010"/>
      <c r="AK50" s="666"/>
      <c r="AL50" s="25"/>
      <c r="AQ50" s="1872"/>
      <c r="AR50" s="1872"/>
    </row>
    <row r="51" spans="1:44" ht="1.5" customHeight="1" x14ac:dyDescent="0.2">
      <c r="A51" s="10"/>
      <c r="B51" s="867"/>
      <c r="C51" s="2005"/>
      <c r="D51" s="3001" t="s">
        <v>1888</v>
      </c>
      <c r="E51" s="3001"/>
      <c r="F51" s="3001"/>
      <c r="G51" s="3001"/>
      <c r="H51" s="3001"/>
      <c r="I51" s="3001"/>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1872"/>
      <c r="AR51" s="1872"/>
    </row>
    <row r="52" spans="1:44" ht="12" customHeight="1" x14ac:dyDescent="0.2">
      <c r="A52" s="10"/>
      <c r="B52" s="868"/>
      <c r="C52" s="2014"/>
      <c r="D52" s="3001"/>
      <c r="E52" s="3001"/>
      <c r="F52" s="3001"/>
      <c r="G52" s="3001"/>
      <c r="H52" s="3001"/>
      <c r="I52" s="3001"/>
      <c r="J52" s="3002"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02"/>
      <c r="L52" s="3002"/>
      <c r="M52" s="3002"/>
      <c r="N52" s="3002"/>
      <c r="O52" s="3002"/>
      <c r="P52" s="3002"/>
      <c r="Q52" s="3002"/>
      <c r="R52" s="3002"/>
      <c r="S52" s="3002"/>
      <c r="T52" s="3002"/>
      <c r="U52" s="3002"/>
      <c r="V52" s="3002"/>
      <c r="W52" s="3002"/>
      <c r="X52" s="3002"/>
      <c r="Y52" s="3002"/>
      <c r="Z52" s="3002"/>
      <c r="AA52" s="3002"/>
      <c r="AB52" s="3002"/>
      <c r="AC52" s="3002"/>
      <c r="AD52" s="3002"/>
      <c r="AE52" s="3002"/>
      <c r="AF52" s="3002"/>
      <c r="AG52" s="3002"/>
      <c r="AH52" s="3002"/>
      <c r="AI52" s="3002"/>
      <c r="AJ52" s="2009"/>
      <c r="AK52" s="666"/>
      <c r="AL52" s="25"/>
      <c r="AQ52" s="1872"/>
      <c r="AR52" s="1872"/>
    </row>
    <row r="53" spans="1:44" ht="1.5" customHeight="1" x14ac:dyDescent="0.2">
      <c r="A53" s="10"/>
      <c r="B53" s="867"/>
      <c r="C53" s="2005"/>
      <c r="D53" s="3004" t="s">
        <v>1889</v>
      </c>
      <c r="E53" s="3004"/>
      <c r="F53" s="3004"/>
      <c r="G53" s="3004"/>
      <c r="H53" s="3004"/>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1872"/>
      <c r="AR53" s="1872"/>
    </row>
    <row r="54" spans="1:44" ht="12" customHeight="1" x14ac:dyDescent="0.2">
      <c r="A54" s="10"/>
      <c r="B54" s="868"/>
      <c r="C54" s="2014"/>
      <c r="D54" s="3004"/>
      <c r="E54" s="3004"/>
      <c r="F54" s="3004"/>
      <c r="G54" s="3004"/>
      <c r="H54" s="3004"/>
      <c r="I54" s="3002" t="str">
        <f>IFERROR(MID(Tablas!G2009,3,LEN(Tablas!G2009)),"")</f>
        <v/>
      </c>
      <c r="J54" s="3002"/>
      <c r="K54" s="3002"/>
      <c r="L54" s="3002"/>
      <c r="M54" s="3002"/>
      <c r="N54" s="3002"/>
      <c r="O54" s="3002"/>
      <c r="P54" s="3002"/>
      <c r="Q54" s="3002"/>
      <c r="R54" s="3002"/>
      <c r="S54" s="3002"/>
      <c r="T54" s="3002"/>
      <c r="U54" s="3002"/>
      <c r="V54" s="3002"/>
      <c r="W54" s="3002"/>
      <c r="X54" s="3002"/>
      <c r="Y54" s="3002"/>
      <c r="Z54" s="3002"/>
      <c r="AA54" s="3002"/>
      <c r="AB54" s="3002"/>
      <c r="AC54" s="3002"/>
      <c r="AD54" s="3002"/>
      <c r="AE54" s="3002"/>
      <c r="AF54" s="3002"/>
      <c r="AG54" s="3002"/>
      <c r="AH54" s="3002"/>
      <c r="AI54" s="3002"/>
      <c r="AJ54" s="2013"/>
      <c r="AK54" s="666"/>
      <c r="AL54" s="25"/>
      <c r="AQ54" s="1872"/>
      <c r="AR54" s="1872"/>
    </row>
    <row r="55" spans="1:44" ht="12" customHeight="1" x14ac:dyDescent="0.2">
      <c r="A55" s="10"/>
      <c r="B55" s="868"/>
      <c r="C55" s="2014"/>
      <c r="D55" s="1990"/>
      <c r="E55" s="1990"/>
      <c r="F55" s="1990"/>
      <c r="G55" s="1990"/>
      <c r="H55" s="1990"/>
      <c r="I55" s="3002"/>
      <c r="J55" s="3002"/>
      <c r="K55" s="3002"/>
      <c r="L55" s="3002"/>
      <c r="M55" s="3002"/>
      <c r="N55" s="3002"/>
      <c r="O55" s="3002"/>
      <c r="P55" s="3002"/>
      <c r="Q55" s="3002"/>
      <c r="R55" s="3002"/>
      <c r="S55" s="3002"/>
      <c r="T55" s="3002"/>
      <c r="U55" s="3002"/>
      <c r="V55" s="3002"/>
      <c r="W55" s="3002"/>
      <c r="X55" s="3002"/>
      <c r="Y55" s="3002"/>
      <c r="Z55" s="3002"/>
      <c r="AA55" s="3002"/>
      <c r="AB55" s="3002"/>
      <c r="AC55" s="3002"/>
      <c r="AD55" s="3002"/>
      <c r="AE55" s="3002"/>
      <c r="AF55" s="3002"/>
      <c r="AG55" s="3002"/>
      <c r="AH55" s="3002"/>
      <c r="AI55" s="3002"/>
      <c r="AJ55" s="2013"/>
      <c r="AK55" s="666"/>
      <c r="AL55" s="25"/>
      <c r="AQ55" s="1872"/>
      <c r="AR55" s="1872"/>
    </row>
    <row r="56" spans="1:44" ht="12" customHeight="1" x14ac:dyDescent="0.2">
      <c r="A56" s="10"/>
      <c r="B56" s="513"/>
      <c r="C56" s="2011"/>
      <c r="D56" s="1990"/>
      <c r="E56" s="1990"/>
      <c r="F56" s="1990"/>
      <c r="G56" s="1990"/>
      <c r="H56" s="1990"/>
      <c r="I56" s="3002"/>
      <c r="J56" s="3002"/>
      <c r="K56" s="3002"/>
      <c r="L56" s="3002"/>
      <c r="M56" s="3002"/>
      <c r="N56" s="3002"/>
      <c r="O56" s="3002"/>
      <c r="P56" s="3002"/>
      <c r="Q56" s="3002"/>
      <c r="R56" s="3002"/>
      <c r="S56" s="3002"/>
      <c r="T56" s="3002"/>
      <c r="U56" s="3002"/>
      <c r="V56" s="3002"/>
      <c r="W56" s="3002"/>
      <c r="X56" s="3002"/>
      <c r="Y56" s="3002"/>
      <c r="Z56" s="3002"/>
      <c r="AA56" s="3002"/>
      <c r="AB56" s="3002"/>
      <c r="AC56" s="3002"/>
      <c r="AD56" s="3002"/>
      <c r="AE56" s="3002"/>
      <c r="AF56" s="3002"/>
      <c r="AG56" s="3002"/>
      <c r="AH56" s="3002"/>
      <c r="AI56" s="3002"/>
      <c r="AJ56" s="2013"/>
      <c r="AK56" s="666"/>
      <c r="AL56" s="25"/>
      <c r="AQ56" s="1872"/>
      <c r="AR56" s="1872"/>
    </row>
    <row r="57" spans="1:44" ht="12" customHeight="1" x14ac:dyDescent="0.2">
      <c r="A57" s="10"/>
      <c r="B57" s="513"/>
      <c r="C57" s="2011"/>
      <c r="D57" s="1995"/>
      <c r="E57" s="1995"/>
      <c r="F57" s="1995"/>
      <c r="G57" s="1995"/>
      <c r="H57" s="1995"/>
      <c r="I57" s="3003"/>
      <c r="J57" s="3003"/>
      <c r="K57" s="3003"/>
      <c r="L57" s="3003"/>
      <c r="M57" s="3003"/>
      <c r="N57" s="3003"/>
      <c r="O57" s="3003"/>
      <c r="P57" s="3003"/>
      <c r="Q57" s="3003"/>
      <c r="R57" s="3003"/>
      <c r="S57" s="3003"/>
      <c r="T57" s="3003"/>
      <c r="U57" s="3003"/>
      <c r="V57" s="3003"/>
      <c r="W57" s="3003"/>
      <c r="X57" s="3003"/>
      <c r="Y57" s="3003"/>
      <c r="Z57" s="3003"/>
      <c r="AA57" s="3003"/>
      <c r="AB57" s="3003"/>
      <c r="AC57" s="3003"/>
      <c r="AD57" s="3003"/>
      <c r="AE57" s="3003"/>
      <c r="AF57" s="3003"/>
      <c r="AG57" s="3003"/>
      <c r="AH57" s="3003"/>
      <c r="AI57" s="3003"/>
      <c r="AJ57" s="2013"/>
      <c r="AK57" s="666"/>
      <c r="AL57" s="25"/>
      <c r="AQ57" s="1872"/>
      <c r="AR57" s="1872"/>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1872"/>
      <c r="AR58" s="1872"/>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45" t="s">
        <v>1892</v>
      </c>
      <c r="S59" s="3045"/>
      <c r="T59" s="3045"/>
      <c r="U59" s="3045"/>
      <c r="V59" s="3045"/>
      <c r="W59" s="3045"/>
      <c r="X59" s="1012"/>
      <c r="Y59" s="1012"/>
      <c r="Z59" s="1012"/>
      <c r="AA59" s="1012"/>
      <c r="AB59" s="1012"/>
      <c r="AC59" s="1012"/>
      <c r="AD59" s="1012"/>
      <c r="AE59" s="1012"/>
      <c r="AF59" s="1012"/>
      <c r="AG59" s="1012"/>
      <c r="AH59" s="1012"/>
      <c r="AI59" s="1012"/>
      <c r="AJ59" s="2007"/>
      <c r="AK59" s="666"/>
      <c r="AL59" s="24"/>
      <c r="AQ59" s="1872"/>
      <c r="AR59" s="1872"/>
    </row>
    <row r="60" spans="1:44" ht="12" customHeight="1" x14ac:dyDescent="0.2">
      <c r="A60" s="10"/>
      <c r="B60" s="868"/>
      <c r="C60" s="2014"/>
      <c r="D60" s="2503" t="s">
        <v>1890</v>
      </c>
      <c r="E60" s="2503"/>
      <c r="F60" s="2503"/>
      <c r="G60" s="2503"/>
      <c r="H60" s="3048">
        <f>Psíquicos!I16</f>
        <v>0</v>
      </c>
      <c r="I60" s="3048"/>
      <c r="J60" s="3048"/>
      <c r="K60" s="3048"/>
      <c r="L60" s="2535" t="s">
        <v>1891</v>
      </c>
      <c r="M60" s="2535"/>
      <c r="N60" s="2535"/>
      <c r="O60" s="3048">
        <f>Psíquicos!M13</f>
        <v>0</v>
      </c>
      <c r="P60" s="3048"/>
      <c r="Q60" s="3048"/>
      <c r="R60" s="3045"/>
      <c r="S60" s="3045"/>
      <c r="T60" s="3045"/>
      <c r="U60" s="3045"/>
      <c r="V60" s="3045"/>
      <c r="W60" s="3045"/>
      <c r="X60" s="3046" t="str">
        <f>IFERROR(RIGHT(AQ60,LEN(AQ60)-2),"")</f>
        <v/>
      </c>
      <c r="Y60" s="3046"/>
      <c r="Z60" s="3046"/>
      <c r="AA60" s="3046"/>
      <c r="AB60" s="3046"/>
      <c r="AC60" s="3046"/>
      <c r="AD60" s="3046"/>
      <c r="AE60" s="3046"/>
      <c r="AF60" s="3046"/>
      <c r="AG60" s="3046"/>
      <c r="AH60" s="3046"/>
      <c r="AI60" s="3046"/>
      <c r="AJ60" s="2010"/>
      <c r="AK60" s="666"/>
      <c r="AL60" s="25"/>
      <c r="AQ60" s="1872" t="str">
        <f>IF(Psíquicos!C39="","",", "&amp;Psíquicos!C39)&amp;IF(Psíquicos!C41="","",", "&amp;Psíquicos!C41)&amp;IF(Psíquicos!C43="","",", "&amp;Psíquicos!C43)&amp;IF(Psíquicos!C45="","",", "&amp;Psíquicos!C45)&amp;IF(Psíquicos!C47="","",", "&amp;Psíquicos!C47)&amp;IF(Psíquicos!C49="","",", "&amp;Psíquicos!C49)</f>
        <v/>
      </c>
      <c r="AR60" s="1872"/>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46"/>
      <c r="Y61" s="3046"/>
      <c r="Z61" s="3046"/>
      <c r="AA61" s="3046"/>
      <c r="AB61" s="3046"/>
      <c r="AC61" s="3046"/>
      <c r="AD61" s="3046"/>
      <c r="AE61" s="3046"/>
      <c r="AF61" s="3046"/>
      <c r="AG61" s="3046"/>
      <c r="AH61" s="3046"/>
      <c r="AI61" s="3046"/>
      <c r="AJ61" s="2007"/>
      <c r="AK61" s="666"/>
      <c r="AL61" s="24"/>
      <c r="AQ61" s="1872"/>
      <c r="AR61" s="1872"/>
    </row>
    <row r="62" spans="1:44" ht="12" customHeight="1" x14ac:dyDescent="0.2">
      <c r="A62" s="10"/>
      <c r="B62" s="868"/>
      <c r="C62" s="2014"/>
      <c r="D62" s="2503" t="s">
        <v>1893</v>
      </c>
      <c r="E62" s="2503"/>
      <c r="F62" s="2503"/>
      <c r="G62" s="2503"/>
      <c r="H62" s="2503"/>
      <c r="I62" s="2503"/>
      <c r="J62" s="3002">
        <f>Psíquicos!H11</f>
        <v>0</v>
      </c>
      <c r="K62" s="3002"/>
      <c r="L62" s="3002"/>
      <c r="M62" s="3002"/>
      <c r="N62" s="3002"/>
      <c r="O62" s="3002"/>
      <c r="P62" s="3002"/>
      <c r="Q62" s="3002"/>
      <c r="R62" s="3002"/>
      <c r="S62" s="3002"/>
      <c r="T62" s="3002"/>
      <c r="U62" s="3002"/>
      <c r="V62" s="3002"/>
      <c r="W62" s="3002"/>
      <c r="X62" s="3046"/>
      <c r="Y62" s="3046"/>
      <c r="Z62" s="3046"/>
      <c r="AA62" s="3046"/>
      <c r="AB62" s="3046"/>
      <c r="AC62" s="3046"/>
      <c r="AD62" s="3046"/>
      <c r="AE62" s="3046"/>
      <c r="AF62" s="3046"/>
      <c r="AG62" s="3046"/>
      <c r="AH62" s="3046"/>
      <c r="AI62" s="3046"/>
      <c r="AJ62" s="2010"/>
      <c r="AK62" s="666"/>
      <c r="AL62" s="25"/>
      <c r="AQ62" s="1872"/>
      <c r="AR62" s="1872"/>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46"/>
      <c r="Y63" s="3046"/>
      <c r="Z63" s="3046"/>
      <c r="AA63" s="3046"/>
      <c r="AB63" s="3046"/>
      <c r="AC63" s="3046"/>
      <c r="AD63" s="3046"/>
      <c r="AE63" s="3046"/>
      <c r="AF63" s="3046"/>
      <c r="AG63" s="3046"/>
      <c r="AH63" s="3046"/>
      <c r="AI63" s="3046"/>
      <c r="AJ63" s="2007"/>
      <c r="AK63" s="666"/>
      <c r="AL63" s="24"/>
      <c r="AQ63" s="1872"/>
      <c r="AR63" s="1872"/>
    </row>
    <row r="64" spans="1:44" ht="12" customHeight="1" x14ac:dyDescent="0.2">
      <c r="A64" s="10"/>
      <c r="B64" s="868"/>
      <c r="C64" s="2014"/>
      <c r="D64" s="2503" t="s">
        <v>1894</v>
      </c>
      <c r="E64" s="2503"/>
      <c r="F64" s="2503"/>
      <c r="G64" s="2503"/>
      <c r="H64" s="2503"/>
      <c r="I64" s="2503"/>
      <c r="J64" s="2503"/>
      <c r="K64" s="3002">
        <f>IF(Psíquicos!P12=Psíquicos!Q12,Psíquicos!P12,Psíquicos!P12&amp;" Ofensiva"&amp;", "&amp;Psíquicos!Q12&amp;" Defensiva")</f>
        <v>0</v>
      </c>
      <c r="L64" s="3002"/>
      <c r="M64" s="3002"/>
      <c r="N64" s="3002"/>
      <c r="O64" s="3002"/>
      <c r="P64" s="3002"/>
      <c r="Q64" s="3002"/>
      <c r="R64" s="3002"/>
      <c r="S64" s="3002"/>
      <c r="T64" s="3002"/>
      <c r="U64" s="3002"/>
      <c r="V64" s="3002"/>
      <c r="W64" s="3002"/>
      <c r="X64" s="3046"/>
      <c r="Y64" s="3046"/>
      <c r="Z64" s="3046"/>
      <c r="AA64" s="3046"/>
      <c r="AB64" s="3046"/>
      <c r="AC64" s="3046"/>
      <c r="AD64" s="3046"/>
      <c r="AE64" s="3046"/>
      <c r="AF64" s="3046"/>
      <c r="AG64" s="3046"/>
      <c r="AH64" s="3046"/>
      <c r="AI64" s="3046"/>
      <c r="AJ64" s="2013"/>
      <c r="AK64" s="666"/>
      <c r="AL64" s="25"/>
      <c r="AQ64" s="1872"/>
      <c r="AR64" s="1872"/>
    </row>
    <row r="65" spans="1:44" ht="1.5" customHeight="1" x14ac:dyDescent="0.2">
      <c r="A65" s="10"/>
      <c r="B65" s="867"/>
      <c r="C65" s="2005"/>
      <c r="D65" s="3004" t="s">
        <v>1895</v>
      </c>
      <c r="E65" s="3004"/>
      <c r="F65" s="3004"/>
      <c r="G65" s="3004"/>
      <c r="H65" s="3004"/>
      <c r="I65" s="3004"/>
      <c r="J65" s="3004"/>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1872"/>
      <c r="AR65" s="1872"/>
    </row>
    <row r="66" spans="1:44" ht="12" customHeight="1" x14ac:dyDescent="0.2">
      <c r="A66" s="10"/>
      <c r="B66" s="868"/>
      <c r="C66" s="2014"/>
      <c r="D66" s="3004"/>
      <c r="E66" s="3004"/>
      <c r="F66" s="3004"/>
      <c r="G66" s="3004"/>
      <c r="H66" s="3004"/>
      <c r="I66" s="3004"/>
      <c r="J66" s="3004"/>
      <c r="K66" s="3002" t="str">
        <f>IF(Psíquicos!C25=0,"",Psíquicos!C25)&amp;IF(Psíquicos!C27=0,"",", "&amp;Psíquicos!C27)&amp;IF(Psíquicos!C29=0,"",", "&amp;Psíquicos!C29)&amp;IF(Psíquicos!C31=0,"",", "&amp;Psíquicos!C31)&amp;IF(Psíquicos!C33=0,"",", "&amp;Psíquicos!C33)&amp;IF(Psíquicos!C35=0,"",", "&amp;Psíquicos!C35)</f>
        <v/>
      </c>
      <c r="L66" s="3002"/>
      <c r="M66" s="3002"/>
      <c r="N66" s="3002"/>
      <c r="O66" s="3002"/>
      <c r="P66" s="3002"/>
      <c r="Q66" s="3002"/>
      <c r="R66" s="3002"/>
      <c r="S66" s="3002"/>
      <c r="T66" s="3002"/>
      <c r="U66" s="3002"/>
      <c r="V66" s="3002"/>
      <c r="W66" s="3002"/>
      <c r="X66" s="3002"/>
      <c r="Y66" s="3002"/>
      <c r="Z66" s="3002"/>
      <c r="AA66" s="3002"/>
      <c r="AB66" s="3002"/>
      <c r="AC66" s="3002"/>
      <c r="AD66" s="3002"/>
      <c r="AE66" s="3002"/>
      <c r="AF66" s="3002"/>
      <c r="AG66" s="3002"/>
      <c r="AH66" s="3002"/>
      <c r="AI66" s="3002"/>
      <c r="AJ66" s="2013"/>
      <c r="AK66" s="666"/>
      <c r="AL66" s="25"/>
      <c r="AQ66" s="1872"/>
      <c r="AR66" s="1872"/>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1872"/>
      <c r="AR67" s="1872"/>
    </row>
    <row r="68" spans="1:44" ht="12" customHeight="1" x14ac:dyDescent="0.2">
      <c r="A68" s="10"/>
      <c r="B68" s="866"/>
      <c r="C68" s="2000"/>
      <c r="D68" s="1993" t="s">
        <v>1896</v>
      </c>
      <c r="E68" s="1993"/>
      <c r="F68" s="1993"/>
      <c r="G68" s="1993"/>
      <c r="H68" s="1993"/>
      <c r="I68" s="1993"/>
      <c r="J68" s="3002" t="str">
        <f>IFERROR(MID(Psíquicos!AR15,3,LEN(Psíquicos!AR15)),"")</f>
        <v/>
      </c>
      <c r="K68" s="3002"/>
      <c r="L68" s="3002"/>
      <c r="M68" s="3002"/>
      <c r="N68" s="3002"/>
      <c r="O68" s="3002"/>
      <c r="P68" s="3002"/>
      <c r="Q68" s="3002"/>
      <c r="R68" s="3002"/>
      <c r="S68" s="3002"/>
      <c r="T68" s="3002"/>
      <c r="U68" s="3002"/>
      <c r="V68" s="3002"/>
      <c r="W68" s="3002"/>
      <c r="X68" s="3002"/>
      <c r="Y68" s="3002"/>
      <c r="Z68" s="3002"/>
      <c r="AA68" s="3002"/>
      <c r="AB68" s="3002"/>
      <c r="AC68" s="3002"/>
      <c r="AD68" s="3002"/>
      <c r="AE68" s="3002"/>
      <c r="AF68" s="3002"/>
      <c r="AG68" s="3002"/>
      <c r="AH68" s="3002"/>
      <c r="AI68" s="3002"/>
      <c r="AJ68" s="2007"/>
      <c r="AK68" s="666"/>
      <c r="AL68" s="25"/>
      <c r="AQ68" s="1872"/>
      <c r="AR68" s="1872"/>
    </row>
    <row r="69" spans="1:44" ht="12" customHeight="1" x14ac:dyDescent="0.2">
      <c r="A69" s="10"/>
      <c r="B69" s="866"/>
      <c r="C69" s="2000"/>
      <c r="D69" s="1012"/>
      <c r="E69" s="1012"/>
      <c r="F69" s="1012"/>
      <c r="G69" s="1012"/>
      <c r="H69" s="1012"/>
      <c r="I69" s="1012"/>
      <c r="J69" s="3002"/>
      <c r="K69" s="3002"/>
      <c r="L69" s="3002"/>
      <c r="M69" s="3002"/>
      <c r="N69" s="3002"/>
      <c r="O69" s="3002"/>
      <c r="P69" s="3002"/>
      <c r="Q69" s="3002"/>
      <c r="R69" s="3002"/>
      <c r="S69" s="3002"/>
      <c r="T69" s="3002"/>
      <c r="U69" s="3002"/>
      <c r="V69" s="3002"/>
      <c r="W69" s="3002"/>
      <c r="X69" s="3002"/>
      <c r="Y69" s="3002"/>
      <c r="Z69" s="3002"/>
      <c r="AA69" s="3002"/>
      <c r="AB69" s="3002"/>
      <c r="AC69" s="3002"/>
      <c r="AD69" s="3002"/>
      <c r="AE69" s="3002"/>
      <c r="AF69" s="3002"/>
      <c r="AG69" s="3002"/>
      <c r="AH69" s="3002"/>
      <c r="AI69" s="3002"/>
      <c r="AJ69" s="2013"/>
      <c r="AK69" s="666"/>
      <c r="AL69" s="25"/>
      <c r="AQ69" s="1872"/>
      <c r="AR69" s="1872"/>
    </row>
    <row r="70" spans="1:44" ht="12" customHeight="1" x14ac:dyDescent="0.2">
      <c r="A70" s="10"/>
      <c r="B70" s="866"/>
      <c r="C70" s="2000"/>
      <c r="D70" s="1995"/>
      <c r="E70" s="1995"/>
      <c r="F70" s="1995"/>
      <c r="G70" s="1995"/>
      <c r="H70" s="1995"/>
      <c r="I70" s="1995"/>
      <c r="J70" s="3003"/>
      <c r="K70" s="3003"/>
      <c r="L70" s="3003"/>
      <c r="M70" s="3003"/>
      <c r="N70" s="3003"/>
      <c r="O70" s="3003"/>
      <c r="P70" s="3003"/>
      <c r="Q70" s="3003"/>
      <c r="R70" s="3003"/>
      <c r="S70" s="3003"/>
      <c r="T70" s="3003"/>
      <c r="U70" s="3003"/>
      <c r="V70" s="3003"/>
      <c r="W70" s="3003"/>
      <c r="X70" s="3003"/>
      <c r="Y70" s="3003"/>
      <c r="Z70" s="3003"/>
      <c r="AA70" s="3003"/>
      <c r="AB70" s="3003"/>
      <c r="AC70" s="3003"/>
      <c r="AD70" s="3003"/>
      <c r="AE70" s="3003"/>
      <c r="AF70" s="3003"/>
      <c r="AG70" s="3003"/>
      <c r="AH70" s="3003"/>
      <c r="AI70" s="3003"/>
      <c r="AJ70" s="2010"/>
      <c r="AK70" s="666"/>
      <c r="AL70" s="25"/>
      <c r="AQ70" s="1872"/>
      <c r="AR70" s="1872"/>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1872"/>
      <c r="AR71" s="1872"/>
    </row>
    <row r="72" spans="1:44" ht="1.5" customHeight="1" x14ac:dyDescent="0.2">
      <c r="A72" s="10"/>
      <c r="B72" s="867"/>
      <c r="C72" s="2005"/>
      <c r="D72" s="3004" t="s">
        <v>1897</v>
      </c>
      <c r="E72" s="3004"/>
      <c r="F72" s="3004"/>
      <c r="G72" s="3004"/>
      <c r="H72" s="3004"/>
      <c r="I72" s="3004"/>
      <c r="J72" s="3004"/>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1872"/>
      <c r="AR72" s="1872"/>
    </row>
    <row r="73" spans="1:44" ht="12" customHeight="1" x14ac:dyDescent="0.2">
      <c r="A73" s="10"/>
      <c r="B73" s="866"/>
      <c r="C73" s="2000"/>
      <c r="D73" s="3004"/>
      <c r="E73" s="3004"/>
      <c r="F73" s="3004"/>
      <c r="G73" s="3004"/>
      <c r="H73" s="3004"/>
      <c r="I73" s="3004"/>
      <c r="J73" s="3004"/>
      <c r="K73" s="3002" t="str">
        <f>IFERROR(RIGHT(Tablas!G1985,LEN(Tablas!G1985)-2),"")</f>
        <v/>
      </c>
      <c r="L73" s="3002"/>
      <c r="M73" s="3002"/>
      <c r="N73" s="3002"/>
      <c r="O73" s="3002"/>
      <c r="P73" s="3002"/>
      <c r="Q73" s="3002"/>
      <c r="R73" s="3002"/>
      <c r="S73" s="3002"/>
      <c r="T73" s="3002"/>
      <c r="U73" s="3002"/>
      <c r="V73" s="3002"/>
      <c r="W73" s="3002"/>
      <c r="X73" s="3002"/>
      <c r="Y73" s="3002"/>
      <c r="Z73" s="3002"/>
      <c r="AA73" s="3002"/>
      <c r="AB73" s="3002"/>
      <c r="AC73" s="3002"/>
      <c r="AD73" s="3002"/>
      <c r="AE73" s="3002"/>
      <c r="AF73" s="3002"/>
      <c r="AG73" s="3002"/>
      <c r="AH73" s="3002"/>
      <c r="AI73" s="3002"/>
      <c r="AJ73" s="2013"/>
      <c r="AK73" s="666"/>
      <c r="AL73" s="25"/>
      <c r="AQ73" s="1872"/>
      <c r="AR73" s="2889"/>
    </row>
    <row r="74" spans="1:44" ht="12" customHeight="1" x14ac:dyDescent="0.2">
      <c r="A74" s="10"/>
      <c r="B74" s="866"/>
      <c r="C74" s="2000"/>
      <c r="D74" s="1990"/>
      <c r="E74" s="1990"/>
      <c r="F74" s="1990"/>
      <c r="G74" s="1990"/>
      <c r="H74" s="1990"/>
      <c r="I74" s="1990"/>
      <c r="J74" s="1990"/>
      <c r="K74" s="3002"/>
      <c r="L74" s="3002"/>
      <c r="M74" s="3002"/>
      <c r="N74" s="3002"/>
      <c r="O74" s="3002"/>
      <c r="P74" s="3002"/>
      <c r="Q74" s="3002"/>
      <c r="R74" s="3002"/>
      <c r="S74" s="3002"/>
      <c r="T74" s="3002"/>
      <c r="U74" s="3002"/>
      <c r="V74" s="3002"/>
      <c r="W74" s="3002"/>
      <c r="X74" s="3002"/>
      <c r="Y74" s="3002"/>
      <c r="Z74" s="3002"/>
      <c r="AA74" s="3002"/>
      <c r="AB74" s="3002"/>
      <c r="AC74" s="3002"/>
      <c r="AD74" s="3002"/>
      <c r="AE74" s="3002"/>
      <c r="AF74" s="3002"/>
      <c r="AG74" s="3002"/>
      <c r="AH74" s="3002"/>
      <c r="AI74" s="3002"/>
      <c r="AJ74" s="2013"/>
      <c r="AK74" s="666"/>
      <c r="AL74" s="25"/>
      <c r="AQ74" s="1872"/>
      <c r="AR74" s="1872"/>
    </row>
    <row r="75" spans="1:44" ht="1.5" customHeight="1" x14ac:dyDescent="0.2">
      <c r="A75" s="10"/>
      <c r="B75" s="867"/>
      <c r="C75" s="2005"/>
      <c r="D75" s="3004" t="s">
        <v>1898</v>
      </c>
      <c r="E75" s="3004"/>
      <c r="F75" s="3004"/>
      <c r="G75" s="3004"/>
      <c r="H75" s="3004"/>
      <c r="I75" s="3004"/>
      <c r="J75" s="3004"/>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1872"/>
      <c r="AR75" s="1872"/>
    </row>
    <row r="76" spans="1:44" ht="12" customHeight="1" x14ac:dyDescent="0.2">
      <c r="A76" s="10"/>
      <c r="B76" s="866"/>
      <c r="C76" s="2000"/>
      <c r="D76" s="3004"/>
      <c r="E76" s="3004"/>
      <c r="F76" s="3004"/>
      <c r="G76" s="3004"/>
      <c r="H76" s="3004"/>
      <c r="I76" s="3004"/>
      <c r="J76" s="3004"/>
      <c r="K76" s="3002" t="str">
        <f>Tablas!$G$2023</f>
        <v/>
      </c>
      <c r="L76" s="3002"/>
      <c r="M76" s="3002"/>
      <c r="N76" s="3002"/>
      <c r="O76" s="3002"/>
      <c r="P76" s="3002"/>
      <c r="Q76" s="3002"/>
      <c r="R76" s="3002"/>
      <c r="S76" s="3002"/>
      <c r="T76" s="3002"/>
      <c r="U76" s="3002"/>
      <c r="V76" s="3002"/>
      <c r="W76" s="3002"/>
      <c r="X76" s="3002"/>
      <c r="Y76" s="3002"/>
      <c r="Z76" s="3002"/>
      <c r="AA76" s="3002"/>
      <c r="AB76" s="3002"/>
      <c r="AC76" s="3002"/>
      <c r="AD76" s="3002"/>
      <c r="AE76" s="3002"/>
      <c r="AF76" s="3002"/>
      <c r="AG76" s="3002"/>
      <c r="AH76" s="3002"/>
      <c r="AI76" s="3002"/>
      <c r="AJ76" s="2013"/>
      <c r="AK76" s="666"/>
      <c r="AL76" s="25"/>
      <c r="AQ76" s="1872"/>
      <c r="AR76" s="1872"/>
    </row>
    <row r="77" spans="1:44" ht="12" customHeight="1" x14ac:dyDescent="0.2">
      <c r="A77" s="10"/>
      <c r="B77" s="866"/>
      <c r="C77" s="2000"/>
      <c r="D77" s="1990"/>
      <c r="E77" s="1990"/>
      <c r="F77" s="1990"/>
      <c r="G77" s="1990"/>
      <c r="H77" s="1990"/>
      <c r="I77" s="1990"/>
      <c r="J77" s="1990"/>
      <c r="K77" s="3002"/>
      <c r="L77" s="3002"/>
      <c r="M77" s="3002"/>
      <c r="N77" s="3002"/>
      <c r="O77" s="3002"/>
      <c r="P77" s="3002"/>
      <c r="Q77" s="3002"/>
      <c r="R77" s="3002"/>
      <c r="S77" s="3002"/>
      <c r="T77" s="3002"/>
      <c r="U77" s="3002"/>
      <c r="V77" s="3002"/>
      <c r="W77" s="3002"/>
      <c r="X77" s="3002"/>
      <c r="Y77" s="3002"/>
      <c r="Z77" s="3002"/>
      <c r="AA77" s="3002"/>
      <c r="AB77" s="3002"/>
      <c r="AC77" s="3002"/>
      <c r="AD77" s="3002"/>
      <c r="AE77" s="3002"/>
      <c r="AF77" s="3002"/>
      <c r="AG77" s="3002"/>
      <c r="AH77" s="3002"/>
      <c r="AI77" s="3002"/>
      <c r="AJ77" s="2013"/>
      <c r="AK77" s="666"/>
      <c r="AL77" s="25"/>
      <c r="AQ77" s="1872"/>
      <c r="AR77" s="1872"/>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1872"/>
      <c r="AR78" s="1872"/>
    </row>
    <row r="79" spans="1:44" ht="12" customHeight="1" x14ac:dyDescent="0.2">
      <c r="A79" s="10"/>
      <c r="B79" s="866"/>
      <c r="C79" s="2000"/>
      <c r="D79" s="3001" t="s">
        <v>7484</v>
      </c>
      <c r="E79" s="3001"/>
      <c r="F79" s="3001"/>
      <c r="G79" s="3001"/>
      <c r="H79" s="3008" t="str">
        <f>IFERROR(RIGHT(AQ79,LEN(AQ79)-2),"")</f>
        <v/>
      </c>
      <c r="I79" s="3008"/>
      <c r="J79" s="3008"/>
      <c r="K79" s="3008"/>
      <c r="L79" s="3008"/>
      <c r="M79" s="3008"/>
      <c r="N79" s="3008"/>
      <c r="O79" s="3008"/>
      <c r="P79" s="3008"/>
      <c r="Q79" s="3008"/>
      <c r="R79" s="3008"/>
      <c r="S79" s="3008"/>
      <c r="T79" s="3008"/>
      <c r="U79" s="3008"/>
      <c r="V79" s="3008"/>
      <c r="W79" s="3008"/>
      <c r="X79" s="3008"/>
      <c r="Y79" s="3008"/>
      <c r="Z79" s="3008"/>
      <c r="AA79" s="3008"/>
      <c r="AB79" s="3008"/>
      <c r="AC79" s="3008"/>
      <c r="AD79" s="3008"/>
      <c r="AE79" s="3008"/>
      <c r="AF79" s="3008"/>
      <c r="AG79" s="3008"/>
      <c r="AH79" s="3008"/>
      <c r="AI79" s="3008"/>
      <c r="AJ79" s="2013"/>
      <c r="AK79" s="666"/>
      <c r="AL79" s="25"/>
      <c r="AQ79" s="1893" t="str">
        <f>IF(Elan!C11="","",", "&amp;Elan!C11&amp;" "&amp;IF(Elan!G11="",0,Elan!G11))&amp;IF(Elan!U11="","",", "&amp;Elan!U11&amp;" "&amp;IF(Elan!Y11="",0,Elan!Y11))&amp;IF(Principal!Y26="","",", "&amp;Principal!Y26)</f>
        <v/>
      </c>
      <c r="AR79" s="1872"/>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1872"/>
      <c r="AR80" s="1872"/>
    </row>
    <row r="81" spans="1:44" ht="12" customHeight="1" x14ac:dyDescent="0.2">
      <c r="A81" s="10"/>
      <c r="B81" s="866"/>
      <c r="C81" s="2000"/>
      <c r="D81" s="3042" t="s">
        <v>9809</v>
      </c>
      <c r="E81" s="3042"/>
      <c r="F81" s="3042"/>
      <c r="G81" s="3042"/>
      <c r="H81" s="3049" t="str">
        <f>MID(IF(General!X35="","",", "&amp;General!X35)&amp;IF(General!X37="","",", "&amp;General!X37)&amp;IF(General!X39="","",", "&amp;General!X39)&amp;IF(General!X41="","",", "&amp;General!X41)&amp;IF(General!X43="","",", "&amp;General!X43),3,1000)</f>
        <v/>
      </c>
      <c r="I81" s="3049"/>
      <c r="J81" s="3049"/>
      <c r="K81" s="3049"/>
      <c r="L81" s="3049"/>
      <c r="M81" s="3049"/>
      <c r="N81" s="3049"/>
      <c r="O81" s="3049"/>
      <c r="P81" s="3049"/>
      <c r="Q81" s="3049"/>
      <c r="R81" s="3049"/>
      <c r="S81" s="3049"/>
      <c r="T81" s="3049"/>
      <c r="U81" s="3049"/>
      <c r="V81" s="3049"/>
      <c r="W81" s="3049"/>
      <c r="X81" s="3049"/>
      <c r="Y81" s="3049"/>
      <c r="Z81" s="3049"/>
      <c r="AA81" s="3049"/>
      <c r="AB81" s="3049"/>
      <c r="AC81" s="3049"/>
      <c r="AD81" s="3049"/>
      <c r="AE81" s="3049"/>
      <c r="AF81" s="3049"/>
      <c r="AG81" s="3049"/>
      <c r="AH81" s="3049"/>
      <c r="AI81" s="3049"/>
      <c r="AJ81" s="2013"/>
      <c r="AK81" s="666"/>
      <c r="AL81" s="25"/>
      <c r="AQ81" s="1872"/>
      <c r="AR81" s="1872"/>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1872"/>
      <c r="AR82" s="1872"/>
    </row>
    <row r="83" spans="1:44" ht="1.5" customHeight="1" x14ac:dyDescent="0.2">
      <c r="A83" s="10"/>
      <c r="B83" s="867"/>
      <c r="C83" s="2005"/>
      <c r="D83" s="3004" t="s">
        <v>1899</v>
      </c>
      <c r="E83" s="3004"/>
      <c r="F83" s="3004"/>
      <c r="G83" s="3004"/>
      <c r="H83" s="3004"/>
      <c r="I83" s="3004"/>
      <c r="J83" s="3004"/>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1872"/>
      <c r="AR83" s="1872"/>
    </row>
    <row r="84" spans="1:44" ht="12" customHeight="1" x14ac:dyDescent="0.2">
      <c r="A84" s="10"/>
      <c r="B84" s="866"/>
      <c r="C84" s="2000"/>
      <c r="D84" s="3004"/>
      <c r="E84" s="3004"/>
      <c r="F84" s="3004"/>
      <c r="G84" s="3004"/>
      <c r="H84" s="3004"/>
      <c r="I84" s="3004"/>
      <c r="J84" s="3004"/>
      <c r="K84" s="3002" t="str">
        <f>IFERROR(RIGHT(AQ87,LEN(AQ87)-2),"")</f>
        <v/>
      </c>
      <c r="L84" s="3002"/>
      <c r="M84" s="3002"/>
      <c r="N84" s="3002"/>
      <c r="O84" s="3002"/>
      <c r="P84" s="3002"/>
      <c r="Q84" s="3002"/>
      <c r="R84" s="3002"/>
      <c r="S84" s="3002"/>
      <c r="T84" s="3002"/>
      <c r="U84" s="3002"/>
      <c r="V84" s="3002"/>
      <c r="W84" s="3002"/>
      <c r="X84" s="3002"/>
      <c r="Y84" s="3002"/>
      <c r="Z84" s="3002"/>
      <c r="AA84" s="3002"/>
      <c r="AB84" s="3002"/>
      <c r="AC84" s="3002"/>
      <c r="AD84" s="3002"/>
      <c r="AE84" s="3002"/>
      <c r="AF84" s="3002"/>
      <c r="AG84" s="3002"/>
      <c r="AH84" s="3002"/>
      <c r="AI84" s="3002"/>
      <c r="AJ84" s="2013"/>
      <c r="AK84" s="666"/>
      <c r="AL84" s="25"/>
      <c r="AQ84" s="1872"/>
      <c r="AR84" s="1872"/>
    </row>
    <row r="85" spans="1:44" ht="12" customHeight="1" x14ac:dyDescent="0.2">
      <c r="A85" s="10"/>
      <c r="B85" s="866"/>
      <c r="C85" s="2000"/>
      <c r="D85" s="1993"/>
      <c r="E85" s="1990"/>
      <c r="F85" s="1990"/>
      <c r="G85" s="1990"/>
      <c r="H85" s="2504"/>
      <c r="I85" s="2504"/>
      <c r="J85" s="1990"/>
      <c r="K85" s="3002"/>
      <c r="L85" s="3002"/>
      <c r="M85" s="3002"/>
      <c r="N85" s="3002"/>
      <c r="O85" s="3002"/>
      <c r="P85" s="3002"/>
      <c r="Q85" s="3002"/>
      <c r="R85" s="3002"/>
      <c r="S85" s="3002"/>
      <c r="T85" s="3002"/>
      <c r="U85" s="3002"/>
      <c r="V85" s="3002"/>
      <c r="W85" s="3002"/>
      <c r="X85" s="3002"/>
      <c r="Y85" s="3002"/>
      <c r="Z85" s="3002"/>
      <c r="AA85" s="3002"/>
      <c r="AB85" s="3002"/>
      <c r="AC85" s="3002"/>
      <c r="AD85" s="3002"/>
      <c r="AE85" s="3002"/>
      <c r="AF85" s="3002"/>
      <c r="AG85" s="3002"/>
      <c r="AH85" s="3002"/>
      <c r="AI85" s="3002"/>
      <c r="AJ85" s="2013"/>
      <c r="AK85" s="666"/>
      <c r="AL85" s="25"/>
      <c r="AQ85" s="1872"/>
      <c r="AR85" s="1872"/>
    </row>
    <row r="86" spans="1:44" ht="1.5" customHeight="1" x14ac:dyDescent="0.2">
      <c r="A86" s="10"/>
      <c r="B86" s="867"/>
      <c r="C86" s="2005"/>
      <c r="D86" s="3004" t="s">
        <v>1900</v>
      </c>
      <c r="E86" s="3004"/>
      <c r="F86" s="3004"/>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1872"/>
      <c r="AR86" s="1872"/>
    </row>
    <row r="87" spans="1:44" ht="12" customHeight="1" x14ac:dyDescent="0.2">
      <c r="A87" s="10"/>
      <c r="B87" s="866"/>
      <c r="C87" s="2000"/>
      <c r="D87" s="3004"/>
      <c r="E87" s="3004"/>
      <c r="F87" s="3004"/>
      <c r="G87" s="3002" t="str">
        <f>Tablas!J2060</f>
        <v/>
      </c>
      <c r="H87" s="3002"/>
      <c r="I87" s="3002"/>
      <c r="J87" s="3002"/>
      <c r="K87" s="3002"/>
      <c r="L87" s="3002"/>
      <c r="M87" s="3002"/>
      <c r="N87" s="3002"/>
      <c r="O87" s="3002"/>
      <c r="P87" s="3002"/>
      <c r="Q87" s="3002"/>
      <c r="R87" s="3002"/>
      <c r="S87" s="3002"/>
      <c r="T87" s="3002"/>
      <c r="U87" s="3002"/>
      <c r="V87" s="3002"/>
      <c r="W87" s="3002"/>
      <c r="X87" s="3002"/>
      <c r="Y87" s="3002"/>
      <c r="Z87" s="3002"/>
      <c r="AA87" s="3002"/>
      <c r="AB87" s="3002"/>
      <c r="AC87" s="3002"/>
      <c r="AD87" s="3002"/>
      <c r="AE87" s="3002"/>
      <c r="AF87" s="3002"/>
      <c r="AG87" s="3002"/>
      <c r="AH87" s="3002"/>
      <c r="AI87" s="3002"/>
      <c r="AJ87" s="2013"/>
      <c r="AK87" s="666"/>
      <c r="AL87" s="25"/>
      <c r="AQ87" s="1872"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872"/>
    </row>
    <row r="88" spans="1:44" ht="12" customHeight="1" x14ac:dyDescent="0.2">
      <c r="A88" s="10"/>
      <c r="B88" s="866"/>
      <c r="C88" s="2000"/>
      <c r="D88" s="1990"/>
      <c r="E88" s="1990"/>
      <c r="F88" s="1990"/>
      <c r="G88" s="3002"/>
      <c r="H88" s="3002"/>
      <c r="I88" s="3002"/>
      <c r="J88" s="3002"/>
      <c r="K88" s="3002"/>
      <c r="L88" s="3002"/>
      <c r="M88" s="3002"/>
      <c r="N88" s="3002"/>
      <c r="O88" s="3002"/>
      <c r="P88" s="3002"/>
      <c r="Q88" s="3002"/>
      <c r="R88" s="3002"/>
      <c r="S88" s="3002"/>
      <c r="T88" s="3002"/>
      <c r="U88" s="3002"/>
      <c r="V88" s="3002"/>
      <c r="W88" s="3002"/>
      <c r="X88" s="3002"/>
      <c r="Y88" s="3002"/>
      <c r="Z88" s="3002"/>
      <c r="AA88" s="3002"/>
      <c r="AB88" s="3002"/>
      <c r="AC88" s="3002"/>
      <c r="AD88" s="3002"/>
      <c r="AE88" s="3002"/>
      <c r="AF88" s="3002"/>
      <c r="AG88" s="3002"/>
      <c r="AH88" s="3002"/>
      <c r="AI88" s="3002"/>
      <c r="AJ88" s="2013"/>
      <c r="AK88" s="666"/>
      <c r="AL88" s="25"/>
      <c r="AQ88" s="1872"/>
      <c r="AR88" s="1872"/>
    </row>
    <row r="89" spans="1:44" ht="12" customHeight="1" x14ac:dyDescent="0.2">
      <c r="A89" s="10"/>
      <c r="B89" s="866"/>
      <c r="C89" s="2000"/>
      <c r="D89" s="1990"/>
      <c r="E89" s="1990"/>
      <c r="F89" s="1990"/>
      <c r="G89" s="3002"/>
      <c r="H89" s="3002"/>
      <c r="I89" s="3002"/>
      <c r="J89" s="3002"/>
      <c r="K89" s="3002"/>
      <c r="L89" s="3002"/>
      <c r="M89" s="3002"/>
      <c r="N89" s="3002"/>
      <c r="O89" s="3002"/>
      <c r="P89" s="3002"/>
      <c r="Q89" s="3002"/>
      <c r="R89" s="3002"/>
      <c r="S89" s="3002"/>
      <c r="T89" s="3002"/>
      <c r="U89" s="3002"/>
      <c r="V89" s="3002"/>
      <c r="W89" s="3002"/>
      <c r="X89" s="3002"/>
      <c r="Y89" s="3002"/>
      <c r="Z89" s="3002"/>
      <c r="AA89" s="3002"/>
      <c r="AB89" s="3002"/>
      <c r="AC89" s="3002"/>
      <c r="AD89" s="3002"/>
      <c r="AE89" s="3002"/>
      <c r="AF89" s="3002"/>
      <c r="AG89" s="3002"/>
      <c r="AH89" s="3002"/>
      <c r="AI89" s="3002"/>
      <c r="AJ89" s="2013"/>
      <c r="AK89" s="666"/>
      <c r="AL89" s="25"/>
      <c r="AQ89" s="1872"/>
      <c r="AR89" s="1872"/>
    </row>
    <row r="90" spans="1:44" ht="12" customHeight="1" x14ac:dyDescent="0.2">
      <c r="A90" s="10"/>
      <c r="B90" s="866"/>
      <c r="C90" s="2000"/>
      <c r="D90" s="1995"/>
      <c r="E90" s="1995"/>
      <c r="F90" s="1995"/>
      <c r="G90" s="3003"/>
      <c r="H90" s="3003"/>
      <c r="I90" s="3003"/>
      <c r="J90" s="3003"/>
      <c r="K90" s="3003"/>
      <c r="L90" s="3003"/>
      <c r="M90" s="3003"/>
      <c r="N90" s="3003"/>
      <c r="O90" s="3003"/>
      <c r="P90" s="3003"/>
      <c r="Q90" s="3003"/>
      <c r="R90" s="3003"/>
      <c r="S90" s="3003"/>
      <c r="T90" s="3003"/>
      <c r="U90" s="3003"/>
      <c r="V90" s="3003"/>
      <c r="W90" s="3003"/>
      <c r="X90" s="3003"/>
      <c r="Y90" s="3003"/>
      <c r="Z90" s="3003"/>
      <c r="AA90" s="3003"/>
      <c r="AB90" s="3003"/>
      <c r="AC90" s="3003"/>
      <c r="AD90" s="3003"/>
      <c r="AE90" s="3003"/>
      <c r="AF90" s="3003"/>
      <c r="AG90" s="3003"/>
      <c r="AH90" s="3003"/>
      <c r="AI90" s="3003"/>
      <c r="AJ90" s="2013"/>
      <c r="AK90" s="666"/>
      <c r="AL90" s="25"/>
      <c r="AQ90" s="1872"/>
      <c r="AR90" s="1872"/>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1872"/>
      <c r="AR91" s="1872"/>
    </row>
    <row r="92" spans="1:44" ht="1.5" customHeight="1" x14ac:dyDescent="0.2">
      <c r="A92" s="10"/>
      <c r="B92" s="867"/>
      <c r="C92" s="2005"/>
      <c r="D92" s="3047" t="s">
        <v>1364</v>
      </c>
      <c r="E92" s="3047"/>
      <c r="F92" s="3047"/>
      <c r="G92" s="1012"/>
      <c r="H92" s="1012"/>
      <c r="I92" s="1012"/>
      <c r="J92" s="1012"/>
      <c r="K92" s="1012"/>
      <c r="L92" s="3001" t="s">
        <v>1902</v>
      </c>
      <c r="M92" s="3001"/>
      <c r="N92" s="3001"/>
      <c r="O92" s="3001"/>
      <c r="P92" s="3001"/>
      <c r="Q92" s="3001"/>
      <c r="R92" s="3001"/>
      <c r="S92" s="1012"/>
      <c r="T92" s="1012"/>
      <c r="U92" s="1012"/>
      <c r="V92" s="1012"/>
      <c r="W92" s="1012"/>
      <c r="X92" s="1012"/>
      <c r="Y92" s="1012"/>
      <c r="Z92" s="1012"/>
      <c r="AA92" s="1012"/>
      <c r="AB92" s="1012"/>
      <c r="AC92" s="1012"/>
      <c r="AD92" s="1012"/>
      <c r="AE92" s="1012"/>
      <c r="AF92" s="1012"/>
      <c r="AG92" s="1012"/>
      <c r="AH92" s="1012"/>
      <c r="AI92" s="1012"/>
      <c r="AJ92" s="2007"/>
      <c r="AK92" s="666"/>
      <c r="AL92" s="24"/>
      <c r="AQ92" s="1872"/>
      <c r="AR92" s="1872"/>
    </row>
    <row r="93" spans="1:44" ht="12" customHeight="1" x14ac:dyDescent="0.2">
      <c r="A93" s="10"/>
      <c r="B93" s="866"/>
      <c r="C93" s="2000"/>
      <c r="D93" s="3047"/>
      <c r="E93" s="3047"/>
      <c r="F93" s="3047"/>
      <c r="G93" s="3044" t="str">
        <f>Tamaño&amp;", "&amp;Principal!L6</f>
        <v>1, Medio</v>
      </c>
      <c r="H93" s="3044"/>
      <c r="I93" s="3044"/>
      <c r="J93" s="3044"/>
      <c r="K93" s="3044"/>
      <c r="L93" s="3001"/>
      <c r="M93" s="3001"/>
      <c r="N93" s="3001"/>
      <c r="O93" s="3001"/>
      <c r="P93" s="3001"/>
      <c r="Q93" s="3001"/>
      <c r="R93" s="3001"/>
      <c r="S93" s="3054" t="str">
        <f>Tablas!T65</f>
        <v>1 (&lt; 1 m / asalto)</v>
      </c>
      <c r="T93" s="3054"/>
      <c r="U93" s="3054"/>
      <c r="V93" s="3054"/>
      <c r="W93" s="3054"/>
      <c r="X93" s="3054"/>
      <c r="Y93" s="3054"/>
      <c r="Z93" s="3054"/>
      <c r="AA93" s="3054"/>
      <c r="AB93" s="3054"/>
      <c r="AC93" s="3054"/>
      <c r="AD93" s="3054"/>
      <c r="AE93" s="3054"/>
      <c r="AF93" s="3054"/>
      <c r="AG93" s="3054"/>
      <c r="AH93" s="3054"/>
      <c r="AI93" s="3054"/>
      <c r="AJ93" s="2010"/>
      <c r="AK93" s="666"/>
      <c r="AL93" s="25"/>
      <c r="AQ93" s="1872"/>
      <c r="AR93" s="1872"/>
    </row>
    <row r="94" spans="1:44" ht="1.5" customHeight="1" x14ac:dyDescent="0.2">
      <c r="A94" s="10"/>
      <c r="B94" s="867"/>
      <c r="C94" s="2005"/>
      <c r="D94" s="1012"/>
      <c r="E94" s="1012"/>
      <c r="F94" s="1012"/>
      <c r="G94" s="1012"/>
      <c r="H94" s="1012"/>
      <c r="I94" s="1012"/>
      <c r="J94" s="1012"/>
      <c r="K94" s="1012"/>
      <c r="L94" s="3001" t="s">
        <v>1901</v>
      </c>
      <c r="M94" s="3001"/>
      <c r="N94" s="3001"/>
      <c r="O94" s="3001"/>
      <c r="P94" s="3001"/>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1872"/>
      <c r="AR94" s="1872"/>
    </row>
    <row r="95" spans="1:44" ht="13.5" customHeight="1" x14ac:dyDescent="0.2">
      <c r="A95" s="10"/>
      <c r="B95" s="866"/>
      <c r="C95" s="2000"/>
      <c r="D95" s="2342" t="s">
        <v>1903</v>
      </c>
      <c r="E95" s="1995"/>
      <c r="F95" s="1995"/>
      <c r="G95" s="1995"/>
      <c r="H95" s="3040" t="str">
        <f>IF(Cansancio=0,"Incansable",Cansancio)</f>
        <v>Incansable</v>
      </c>
      <c r="I95" s="3040"/>
      <c r="J95" s="3040"/>
      <c r="K95" s="3040"/>
      <c r="L95" s="3042"/>
      <c r="M95" s="3042"/>
      <c r="N95" s="3042"/>
      <c r="O95" s="3042"/>
      <c r="P95" s="3042"/>
      <c r="Q95" s="3043" t="str">
        <f>Regeneración&amp;IF(Regeneración=0," Ninguna"," ("&amp;Principal!K11&amp;" y pen: "&amp;Principal!K12&amp;")")</f>
        <v>0 Ninguna</v>
      </c>
      <c r="R95" s="3043"/>
      <c r="S95" s="3043"/>
      <c r="T95" s="3043"/>
      <c r="U95" s="3043"/>
      <c r="V95" s="3043"/>
      <c r="W95" s="3043"/>
      <c r="X95" s="3043"/>
      <c r="Y95" s="3043"/>
      <c r="Z95" s="3043"/>
      <c r="AA95" s="2342"/>
      <c r="AB95" s="2342"/>
      <c r="AC95" s="2342"/>
      <c r="AD95" s="2342"/>
      <c r="AE95" s="2342"/>
      <c r="AF95" s="2551" t="s">
        <v>1427</v>
      </c>
      <c r="AG95" s="2550" t="str">
        <f>"  "&amp;Principal!J32</f>
        <v xml:space="preserve">  1</v>
      </c>
      <c r="AH95" s="2550"/>
      <c r="AI95" s="2550"/>
      <c r="AJ95" s="2010"/>
      <c r="AK95" s="666"/>
      <c r="AL95" s="25"/>
      <c r="AQ95" s="1872"/>
      <c r="AR95" s="1872"/>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1872"/>
      <c r="AR96" s="1872"/>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2998" t="s">
        <v>9808</v>
      </c>
      <c r="AO97" s="2999"/>
      <c r="AP97" s="3000"/>
      <c r="AQ97" s="1872"/>
      <c r="AR97" s="1872"/>
    </row>
    <row r="98" spans="1:44" ht="12" customHeight="1" x14ac:dyDescent="0.2">
      <c r="A98" s="10"/>
      <c r="B98" s="866"/>
      <c r="C98" s="2000"/>
      <c r="D98" s="3002" t="str">
        <f>IF(AN99=AQ100,Tablas!N2000,Tablas!K2000)</f>
        <v/>
      </c>
      <c r="E98" s="3002"/>
      <c r="F98" s="3002"/>
      <c r="G98" s="3002"/>
      <c r="H98" s="3002"/>
      <c r="I98" s="3002"/>
      <c r="J98" s="3002"/>
      <c r="K98" s="3002"/>
      <c r="L98" s="3002"/>
      <c r="M98" s="3002"/>
      <c r="N98" s="3002"/>
      <c r="O98" s="3002"/>
      <c r="P98" s="3002"/>
      <c r="Q98" s="3002"/>
      <c r="R98" s="3002"/>
      <c r="S98" s="3002"/>
      <c r="T98" s="3002"/>
      <c r="U98" s="3002"/>
      <c r="V98" s="3002"/>
      <c r="W98" s="3002"/>
      <c r="X98" s="3002"/>
      <c r="Y98" s="3002"/>
      <c r="Z98" s="3002"/>
      <c r="AA98" s="3002"/>
      <c r="AB98" s="3002"/>
      <c r="AC98" s="3002"/>
      <c r="AD98" s="3002"/>
      <c r="AE98" s="3002"/>
      <c r="AF98" s="3002"/>
      <c r="AG98" s="3002"/>
      <c r="AH98" s="3002"/>
      <c r="AI98" s="3002"/>
      <c r="AJ98" s="2013"/>
      <c r="AK98" s="666"/>
      <c r="AL98" s="25"/>
      <c r="AN98" s="3005"/>
      <c r="AO98" s="3006"/>
      <c r="AP98" s="3007"/>
      <c r="AQ98" s="1872"/>
      <c r="AR98" s="1872"/>
    </row>
    <row r="99" spans="1:44" ht="12" customHeight="1" x14ac:dyDescent="0.2">
      <c r="A99" s="10"/>
      <c r="B99" s="866"/>
      <c r="C99" s="2000"/>
      <c r="D99" s="3002"/>
      <c r="E99" s="3002"/>
      <c r="F99" s="3002"/>
      <c r="G99" s="3002"/>
      <c r="H99" s="3002"/>
      <c r="I99" s="3002"/>
      <c r="J99" s="3002"/>
      <c r="K99" s="3002"/>
      <c r="L99" s="3002"/>
      <c r="M99" s="3002"/>
      <c r="N99" s="3002"/>
      <c r="O99" s="3002"/>
      <c r="P99" s="3002"/>
      <c r="Q99" s="3002"/>
      <c r="R99" s="3002"/>
      <c r="S99" s="3002"/>
      <c r="T99" s="3002"/>
      <c r="U99" s="3002"/>
      <c r="V99" s="3002"/>
      <c r="W99" s="3002"/>
      <c r="X99" s="3002"/>
      <c r="Y99" s="3002"/>
      <c r="Z99" s="3002"/>
      <c r="AA99" s="3002"/>
      <c r="AB99" s="3002"/>
      <c r="AC99" s="3002"/>
      <c r="AD99" s="3002"/>
      <c r="AE99" s="3002"/>
      <c r="AF99" s="3002"/>
      <c r="AG99" s="3002"/>
      <c r="AH99" s="3002"/>
      <c r="AI99" s="3002"/>
      <c r="AJ99" s="2013"/>
      <c r="AK99" s="666"/>
      <c r="AL99" s="25"/>
      <c r="AN99" s="3051" t="s">
        <v>9807</v>
      </c>
      <c r="AO99" s="3052"/>
      <c r="AP99" s="3053"/>
      <c r="AQ99" s="2890" t="s">
        <v>9806</v>
      </c>
      <c r="AR99" s="1872"/>
    </row>
    <row r="100" spans="1:44" ht="12" customHeight="1" thickBot="1" x14ac:dyDescent="0.25">
      <c r="A100" s="10"/>
      <c r="B100" s="866"/>
      <c r="C100" s="2000"/>
      <c r="D100" s="3002"/>
      <c r="E100" s="3002"/>
      <c r="F100" s="3002"/>
      <c r="G100" s="3002"/>
      <c r="H100" s="3002"/>
      <c r="I100" s="3002"/>
      <c r="J100" s="3002"/>
      <c r="K100" s="3002"/>
      <c r="L100" s="3002"/>
      <c r="M100" s="3002"/>
      <c r="N100" s="3002"/>
      <c r="O100" s="3002"/>
      <c r="P100" s="3002"/>
      <c r="Q100" s="3002"/>
      <c r="R100" s="3002"/>
      <c r="S100" s="3002"/>
      <c r="T100" s="3002"/>
      <c r="U100" s="3002"/>
      <c r="V100" s="3002"/>
      <c r="W100" s="3002"/>
      <c r="X100" s="3002"/>
      <c r="Y100" s="3002"/>
      <c r="Z100" s="3002"/>
      <c r="AA100" s="3002"/>
      <c r="AB100" s="3002"/>
      <c r="AC100" s="3002"/>
      <c r="AD100" s="3002"/>
      <c r="AE100" s="3002"/>
      <c r="AF100" s="3002"/>
      <c r="AG100" s="3002"/>
      <c r="AH100" s="3002"/>
      <c r="AI100" s="3002"/>
      <c r="AJ100" s="2013"/>
      <c r="AK100" s="666"/>
      <c r="AL100" s="25"/>
      <c r="AN100" s="3024"/>
      <c r="AO100" s="3025"/>
      <c r="AP100" s="3026"/>
      <c r="AQ100" s="1893" t="s">
        <v>9807</v>
      </c>
      <c r="AR100" s="1872"/>
    </row>
    <row r="101" spans="1:44" ht="12" customHeight="1" x14ac:dyDescent="0.2">
      <c r="A101" s="10"/>
      <c r="B101" s="866"/>
      <c r="C101" s="2000"/>
      <c r="D101" s="3002"/>
      <c r="E101" s="3002"/>
      <c r="F101" s="3002"/>
      <c r="G101" s="3002"/>
      <c r="H101" s="3002"/>
      <c r="I101" s="3002"/>
      <c r="J101" s="3002"/>
      <c r="K101" s="3002"/>
      <c r="L101" s="3002"/>
      <c r="M101" s="3002"/>
      <c r="N101" s="3002"/>
      <c r="O101" s="3002"/>
      <c r="P101" s="3002"/>
      <c r="Q101" s="3002"/>
      <c r="R101" s="3002"/>
      <c r="S101" s="3002"/>
      <c r="T101" s="3002"/>
      <c r="U101" s="3002"/>
      <c r="V101" s="3002"/>
      <c r="W101" s="3002"/>
      <c r="X101" s="3002"/>
      <c r="Y101" s="3002"/>
      <c r="Z101" s="3002"/>
      <c r="AA101" s="3002"/>
      <c r="AB101" s="3002"/>
      <c r="AC101" s="3002"/>
      <c r="AD101" s="3002"/>
      <c r="AE101" s="3002"/>
      <c r="AF101" s="3002"/>
      <c r="AG101" s="3002"/>
      <c r="AH101" s="3002"/>
      <c r="AI101" s="3002"/>
      <c r="AJ101" s="2013"/>
      <c r="AK101" s="666"/>
      <c r="AL101" s="25"/>
      <c r="AN101" s="2998" t="s">
        <v>10279</v>
      </c>
      <c r="AO101" s="2999"/>
      <c r="AP101" s="3000"/>
      <c r="AQ101" s="1872"/>
      <c r="AR101" s="1872"/>
    </row>
    <row r="102" spans="1:44" ht="12" customHeight="1" x14ac:dyDescent="0.2">
      <c r="A102" s="10"/>
      <c r="B102" s="866"/>
      <c r="C102" s="2000"/>
      <c r="D102" s="3002"/>
      <c r="E102" s="3002"/>
      <c r="F102" s="3002"/>
      <c r="G102" s="3002"/>
      <c r="H102" s="3002"/>
      <c r="I102" s="3002"/>
      <c r="J102" s="3002"/>
      <c r="K102" s="3002"/>
      <c r="L102" s="3002"/>
      <c r="M102" s="3002"/>
      <c r="N102" s="3002"/>
      <c r="O102" s="3002"/>
      <c r="P102" s="3002"/>
      <c r="Q102" s="3002"/>
      <c r="R102" s="3002"/>
      <c r="S102" s="3002"/>
      <c r="T102" s="3002"/>
      <c r="U102" s="3002"/>
      <c r="V102" s="3002"/>
      <c r="W102" s="3002"/>
      <c r="X102" s="3002"/>
      <c r="Y102" s="3002"/>
      <c r="Z102" s="3002"/>
      <c r="AA102" s="3002"/>
      <c r="AB102" s="3002"/>
      <c r="AC102" s="3002"/>
      <c r="AD102" s="3002"/>
      <c r="AE102" s="3002"/>
      <c r="AF102" s="3002"/>
      <c r="AG102" s="3002"/>
      <c r="AH102" s="3002"/>
      <c r="AI102" s="3002"/>
      <c r="AJ102" s="2013"/>
      <c r="AK102" s="666"/>
      <c r="AL102" s="25"/>
      <c r="AN102" s="3021" t="s">
        <v>1384</v>
      </c>
      <c r="AO102" s="3022"/>
      <c r="AP102" s="3023"/>
      <c r="AQ102" s="1872"/>
      <c r="AR102" s="1872"/>
    </row>
    <row r="103" spans="1:44" ht="12" customHeight="1" thickBot="1" x14ac:dyDescent="0.25">
      <c r="A103" s="10"/>
      <c r="B103" s="866"/>
      <c r="C103" s="2001"/>
      <c r="D103" s="3055"/>
      <c r="E103" s="3055"/>
      <c r="F103" s="3055"/>
      <c r="G103" s="3055"/>
      <c r="H103" s="3055"/>
      <c r="I103" s="3055"/>
      <c r="J103" s="3055"/>
      <c r="K103" s="3055"/>
      <c r="L103" s="3055"/>
      <c r="M103" s="3055"/>
      <c r="N103" s="3055"/>
      <c r="O103" s="3055"/>
      <c r="P103" s="3055"/>
      <c r="Q103" s="3055"/>
      <c r="R103" s="3055"/>
      <c r="S103" s="3055"/>
      <c r="T103" s="3055"/>
      <c r="U103" s="3055"/>
      <c r="V103" s="3055"/>
      <c r="W103" s="3055"/>
      <c r="X103" s="3055"/>
      <c r="Y103" s="3055"/>
      <c r="Z103" s="3055"/>
      <c r="AA103" s="3055"/>
      <c r="AB103" s="3055"/>
      <c r="AC103" s="3055"/>
      <c r="AD103" s="3055"/>
      <c r="AE103" s="3055"/>
      <c r="AF103" s="3055"/>
      <c r="AG103" s="3055"/>
      <c r="AH103" s="3055"/>
      <c r="AI103" s="3055"/>
      <c r="AJ103" s="2015"/>
      <c r="AK103" s="666"/>
      <c r="AL103" s="25"/>
      <c r="AN103" s="3024"/>
      <c r="AO103" s="3025"/>
      <c r="AP103" s="3026"/>
      <c r="AQ103" s="1872"/>
      <c r="AR103" s="1872"/>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1872"/>
      <c r="AR104" s="1872"/>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10280</v>
      </c>
      <c r="AL105" s="25"/>
      <c r="AQ105" s="1872"/>
      <c r="AR105" s="1872"/>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1872"/>
      <c r="AR106" s="1872"/>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1872"/>
      <c r="AR107" s="1872"/>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1872"/>
      <c r="AR108" s="1872"/>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1872"/>
      <c r="AR109" s="1872"/>
    </row>
    <row r="110" spans="1:44" ht="12.75" customHeight="1" x14ac:dyDescent="0.2">
      <c r="A110" s="2574"/>
      <c r="B110" s="2541"/>
      <c r="C110" s="2000"/>
      <c r="D110" s="2578"/>
      <c r="E110" s="3041" t="s">
        <v>9814</v>
      </c>
      <c r="F110" s="3041"/>
      <c r="G110" s="3041"/>
      <c r="H110" s="3041"/>
      <c r="I110" s="3041"/>
      <c r="J110" s="3041"/>
      <c r="K110" s="3041"/>
      <c r="L110" s="3041"/>
      <c r="M110" s="3041"/>
      <c r="N110" s="3041"/>
      <c r="O110" s="3041"/>
      <c r="P110" s="3041"/>
      <c r="Q110" s="3041"/>
      <c r="R110" s="3041"/>
      <c r="S110" s="3041"/>
      <c r="T110" s="3041"/>
      <c r="U110" s="3041"/>
      <c r="V110" s="3041"/>
      <c r="W110" s="3041"/>
      <c r="X110" s="3041"/>
      <c r="Y110" s="3041"/>
      <c r="Z110" s="3041"/>
      <c r="AA110" s="3041"/>
      <c r="AB110" s="3041"/>
      <c r="AC110" s="3041"/>
      <c r="AD110" s="3041"/>
      <c r="AE110" s="3041"/>
      <c r="AF110" s="3041"/>
      <c r="AG110" s="3041"/>
      <c r="AH110" s="3041"/>
      <c r="AI110" s="2578"/>
      <c r="AJ110" s="2620"/>
      <c r="AK110" s="1983"/>
      <c r="AL110" s="1981"/>
      <c r="AQ110" s="1872"/>
      <c r="AR110" s="1872"/>
    </row>
    <row r="111" spans="1:44" ht="12.75" customHeight="1" x14ac:dyDescent="0.2">
      <c r="A111" s="2574"/>
      <c r="B111" s="2541"/>
      <c r="C111" s="2000"/>
      <c r="D111" s="2580"/>
      <c r="E111" s="3041"/>
      <c r="F111" s="3041"/>
      <c r="G111" s="3041"/>
      <c r="H111" s="3041"/>
      <c r="I111" s="3041"/>
      <c r="J111" s="3041"/>
      <c r="K111" s="3041"/>
      <c r="L111" s="3041"/>
      <c r="M111" s="3041"/>
      <c r="N111" s="3041"/>
      <c r="O111" s="3041"/>
      <c r="P111" s="3041"/>
      <c r="Q111" s="3041"/>
      <c r="R111" s="3041"/>
      <c r="S111" s="3041"/>
      <c r="T111" s="3041"/>
      <c r="U111" s="3041"/>
      <c r="V111" s="3041"/>
      <c r="W111" s="3041"/>
      <c r="X111" s="3041"/>
      <c r="Y111" s="3041"/>
      <c r="Z111" s="3041"/>
      <c r="AA111" s="3041"/>
      <c r="AB111" s="3041"/>
      <c r="AC111" s="3041"/>
      <c r="AD111" s="3041"/>
      <c r="AE111" s="3041"/>
      <c r="AF111" s="3041"/>
      <c r="AG111" s="3041"/>
      <c r="AH111" s="3041"/>
      <c r="AI111" s="2579"/>
      <c r="AJ111" s="2620"/>
      <c r="AK111" s="1983"/>
      <c r="AL111" s="1981"/>
      <c r="AQ111" s="1872"/>
      <c r="AR111" s="1872"/>
    </row>
    <row r="112" spans="1:44" ht="13.5" customHeight="1" x14ac:dyDescent="0.2">
      <c r="A112" s="2574"/>
      <c r="B112" s="2541"/>
      <c r="C112" s="2000"/>
      <c r="D112" s="3038"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38"/>
      <c r="F112" s="3038"/>
      <c r="G112" s="3038"/>
      <c r="H112" s="3038"/>
      <c r="I112" s="3038"/>
      <c r="J112" s="3038"/>
      <c r="K112" s="3038"/>
      <c r="L112" s="3038"/>
      <c r="M112" s="3038"/>
      <c r="N112" s="3038"/>
      <c r="O112" s="3038"/>
      <c r="P112" s="3038"/>
      <c r="Q112" s="3038"/>
      <c r="R112" s="3038"/>
      <c r="S112" s="3038"/>
      <c r="T112" s="3038"/>
      <c r="U112" s="3038"/>
      <c r="V112" s="3038"/>
      <c r="W112" s="3038"/>
      <c r="X112" s="3038"/>
      <c r="Y112" s="3038"/>
      <c r="Z112" s="3038"/>
      <c r="AA112" s="3038"/>
      <c r="AB112" s="3038"/>
      <c r="AC112" s="3038"/>
      <c r="AD112" s="3038"/>
      <c r="AE112" s="3038"/>
      <c r="AF112" s="3038"/>
      <c r="AG112" s="3038"/>
      <c r="AH112" s="3038"/>
      <c r="AI112" s="3038"/>
      <c r="AJ112" s="2620"/>
      <c r="AK112" s="1983"/>
      <c r="AL112" s="1981"/>
      <c r="AN112" s="3039"/>
      <c r="AO112" s="3039"/>
      <c r="AP112" s="3039"/>
      <c r="AQ112" s="1872"/>
      <c r="AR112" s="1872"/>
    </row>
    <row r="113" spans="1:44" ht="11.45" customHeight="1" x14ac:dyDescent="0.2">
      <c r="A113" s="2574"/>
      <c r="B113" s="2541"/>
      <c r="C113" s="2000"/>
      <c r="D113" s="3038"/>
      <c r="E113" s="3038"/>
      <c r="F113" s="3038"/>
      <c r="G113" s="3038"/>
      <c r="H113" s="3038"/>
      <c r="I113" s="3038"/>
      <c r="J113" s="3038"/>
      <c r="K113" s="3038"/>
      <c r="L113" s="3038"/>
      <c r="M113" s="3038"/>
      <c r="N113" s="3038"/>
      <c r="O113" s="3038"/>
      <c r="P113" s="3038"/>
      <c r="Q113" s="3038"/>
      <c r="R113" s="3038"/>
      <c r="S113" s="3038"/>
      <c r="T113" s="3038"/>
      <c r="U113" s="3038"/>
      <c r="V113" s="3038"/>
      <c r="W113" s="3038"/>
      <c r="X113" s="3038"/>
      <c r="Y113" s="3038"/>
      <c r="Z113" s="3038"/>
      <c r="AA113" s="3038"/>
      <c r="AB113" s="3038"/>
      <c r="AC113" s="3038"/>
      <c r="AD113" s="3038"/>
      <c r="AE113" s="3038"/>
      <c r="AF113" s="3038"/>
      <c r="AG113" s="3038"/>
      <c r="AH113" s="3038"/>
      <c r="AI113" s="3038"/>
      <c r="AJ113" s="2620"/>
      <c r="AK113" s="1983"/>
      <c r="AL113" s="1981"/>
      <c r="AQ113" s="1872"/>
      <c r="AR113" s="1872"/>
    </row>
    <row r="114" spans="1:44" ht="11.45" customHeight="1" x14ac:dyDescent="0.2">
      <c r="A114" s="2574"/>
      <c r="B114" s="2541"/>
      <c r="C114" s="2000"/>
      <c r="D114" s="3038"/>
      <c r="E114" s="3038"/>
      <c r="F114" s="3038"/>
      <c r="G114" s="3038"/>
      <c r="H114" s="3038"/>
      <c r="I114" s="3038"/>
      <c r="J114" s="3038"/>
      <c r="K114" s="3038"/>
      <c r="L114" s="3038"/>
      <c r="M114" s="3038"/>
      <c r="N114" s="3038"/>
      <c r="O114" s="3038"/>
      <c r="P114" s="3038"/>
      <c r="Q114" s="3038"/>
      <c r="R114" s="3038"/>
      <c r="S114" s="3038"/>
      <c r="T114" s="3038"/>
      <c r="U114" s="3038"/>
      <c r="V114" s="3038"/>
      <c r="W114" s="3038"/>
      <c r="X114" s="3038"/>
      <c r="Y114" s="3038"/>
      <c r="Z114" s="3038"/>
      <c r="AA114" s="3038"/>
      <c r="AB114" s="3038"/>
      <c r="AC114" s="3038"/>
      <c r="AD114" s="3038"/>
      <c r="AE114" s="3038"/>
      <c r="AF114" s="3038"/>
      <c r="AG114" s="3038"/>
      <c r="AH114" s="3038"/>
      <c r="AI114" s="3038"/>
      <c r="AJ114" s="2620"/>
      <c r="AK114" s="1983"/>
      <c r="AL114" s="1981"/>
      <c r="AQ114" s="1872"/>
      <c r="AR114" s="1872"/>
    </row>
    <row r="115" spans="1:44" ht="11.45" customHeight="1" x14ac:dyDescent="0.2">
      <c r="A115" s="2574"/>
      <c r="B115" s="2541"/>
      <c r="C115" s="2000"/>
      <c r="D115" s="3038"/>
      <c r="E115" s="3038"/>
      <c r="F115" s="3038"/>
      <c r="G115" s="3038"/>
      <c r="H115" s="3038"/>
      <c r="I115" s="3038"/>
      <c r="J115" s="3038"/>
      <c r="K115" s="3038"/>
      <c r="L115" s="3038"/>
      <c r="M115" s="3038"/>
      <c r="N115" s="3038"/>
      <c r="O115" s="3038"/>
      <c r="P115" s="3038"/>
      <c r="Q115" s="3038"/>
      <c r="R115" s="3038"/>
      <c r="S115" s="3038"/>
      <c r="T115" s="3038"/>
      <c r="U115" s="3038"/>
      <c r="V115" s="3038"/>
      <c r="W115" s="3038"/>
      <c r="X115" s="3038"/>
      <c r="Y115" s="3038"/>
      <c r="Z115" s="3038"/>
      <c r="AA115" s="3038"/>
      <c r="AB115" s="3038"/>
      <c r="AC115" s="3038"/>
      <c r="AD115" s="3038"/>
      <c r="AE115" s="3038"/>
      <c r="AF115" s="3038"/>
      <c r="AG115" s="3038"/>
      <c r="AH115" s="3038"/>
      <c r="AI115" s="3038"/>
      <c r="AJ115" s="2620"/>
      <c r="AK115" s="1984"/>
      <c r="AL115" s="1989"/>
      <c r="AQ115" s="1872"/>
      <c r="AR115" s="1872"/>
    </row>
    <row r="116" spans="1:44" ht="11.45" customHeight="1" x14ac:dyDescent="0.2">
      <c r="A116" s="2574"/>
      <c r="B116" s="2541"/>
      <c r="C116" s="2000"/>
      <c r="D116" s="3038"/>
      <c r="E116" s="3038"/>
      <c r="F116" s="3038"/>
      <c r="G116" s="3038"/>
      <c r="H116" s="3038"/>
      <c r="I116" s="3038"/>
      <c r="J116" s="3038"/>
      <c r="K116" s="3038"/>
      <c r="L116" s="3038"/>
      <c r="M116" s="3038"/>
      <c r="N116" s="3038"/>
      <c r="O116" s="3038"/>
      <c r="P116" s="3038"/>
      <c r="Q116" s="3038"/>
      <c r="R116" s="3038"/>
      <c r="S116" s="3038"/>
      <c r="T116" s="3038"/>
      <c r="U116" s="3038"/>
      <c r="V116" s="3038"/>
      <c r="W116" s="3038"/>
      <c r="X116" s="3038"/>
      <c r="Y116" s="3038"/>
      <c r="Z116" s="3038"/>
      <c r="AA116" s="3038"/>
      <c r="AB116" s="3038"/>
      <c r="AC116" s="3038"/>
      <c r="AD116" s="3038"/>
      <c r="AE116" s="3038"/>
      <c r="AF116" s="3038"/>
      <c r="AG116" s="3038"/>
      <c r="AH116" s="3038"/>
      <c r="AI116" s="3038"/>
      <c r="AJ116" s="2620"/>
      <c r="AK116" s="1984"/>
      <c r="AL116" s="1989"/>
      <c r="AQ116" s="1872"/>
      <c r="AR116" s="1872"/>
    </row>
    <row r="117" spans="1:44" ht="11.45" customHeight="1" x14ac:dyDescent="0.2">
      <c r="A117" s="2574"/>
      <c r="B117" s="2541"/>
      <c r="C117" s="2005"/>
      <c r="D117" s="3038"/>
      <c r="E117" s="3038"/>
      <c r="F117" s="3038"/>
      <c r="G117" s="3038"/>
      <c r="H117" s="3038"/>
      <c r="I117" s="3038"/>
      <c r="J117" s="3038"/>
      <c r="K117" s="3038"/>
      <c r="L117" s="3038"/>
      <c r="M117" s="3038"/>
      <c r="N117" s="3038"/>
      <c r="O117" s="3038"/>
      <c r="P117" s="3038"/>
      <c r="Q117" s="3038"/>
      <c r="R117" s="3038"/>
      <c r="S117" s="3038"/>
      <c r="T117" s="3038"/>
      <c r="U117" s="3038"/>
      <c r="V117" s="3038"/>
      <c r="W117" s="3038"/>
      <c r="X117" s="3038"/>
      <c r="Y117" s="3038"/>
      <c r="Z117" s="3038"/>
      <c r="AA117" s="3038"/>
      <c r="AB117" s="3038"/>
      <c r="AC117" s="3038"/>
      <c r="AD117" s="3038"/>
      <c r="AE117" s="3038"/>
      <c r="AF117" s="3038"/>
      <c r="AG117" s="3038"/>
      <c r="AH117" s="3038"/>
      <c r="AI117" s="3038"/>
      <c r="AJ117" s="2620"/>
      <c r="AK117" s="1984"/>
      <c r="AL117" s="1989"/>
      <c r="AQ117" s="1872"/>
      <c r="AR117" s="1872"/>
    </row>
    <row r="118" spans="1:44" ht="11.45" customHeight="1" x14ac:dyDescent="0.2">
      <c r="A118" s="2574"/>
      <c r="B118" s="2541"/>
      <c r="C118" s="2005"/>
      <c r="D118" s="3038"/>
      <c r="E118" s="3038"/>
      <c r="F118" s="3038"/>
      <c r="G118" s="3038"/>
      <c r="H118" s="3038"/>
      <c r="I118" s="3038"/>
      <c r="J118" s="3038"/>
      <c r="K118" s="3038"/>
      <c r="L118" s="3038"/>
      <c r="M118" s="3038"/>
      <c r="N118" s="3038"/>
      <c r="O118" s="3038"/>
      <c r="P118" s="3038"/>
      <c r="Q118" s="3038"/>
      <c r="R118" s="3038"/>
      <c r="S118" s="3038"/>
      <c r="T118" s="3038"/>
      <c r="U118" s="3038"/>
      <c r="V118" s="3038"/>
      <c r="W118" s="3038"/>
      <c r="X118" s="3038"/>
      <c r="Y118" s="3038"/>
      <c r="Z118" s="3038"/>
      <c r="AA118" s="3038"/>
      <c r="AB118" s="3038"/>
      <c r="AC118" s="3038"/>
      <c r="AD118" s="3038"/>
      <c r="AE118" s="3038"/>
      <c r="AF118" s="3038"/>
      <c r="AG118" s="3038"/>
      <c r="AH118" s="3038"/>
      <c r="AI118" s="3038"/>
      <c r="AJ118" s="2620"/>
      <c r="AK118" s="1984"/>
      <c r="AL118" s="1989"/>
      <c r="AQ118" s="1872"/>
      <c r="AR118" s="1872"/>
    </row>
    <row r="119" spans="1:44" ht="11.45" customHeight="1" x14ac:dyDescent="0.2">
      <c r="A119" s="2574"/>
      <c r="B119" s="2541"/>
      <c r="C119" s="2005"/>
      <c r="D119" s="3038"/>
      <c r="E119" s="3038"/>
      <c r="F119" s="3038"/>
      <c r="G119" s="3038"/>
      <c r="H119" s="3038"/>
      <c r="I119" s="3038"/>
      <c r="J119" s="3038"/>
      <c r="K119" s="3038"/>
      <c r="L119" s="3038"/>
      <c r="M119" s="3038"/>
      <c r="N119" s="3038"/>
      <c r="O119" s="3038"/>
      <c r="P119" s="3038"/>
      <c r="Q119" s="3038"/>
      <c r="R119" s="3038"/>
      <c r="S119" s="3038"/>
      <c r="T119" s="3038"/>
      <c r="U119" s="3038"/>
      <c r="V119" s="3038"/>
      <c r="W119" s="3038"/>
      <c r="X119" s="3038"/>
      <c r="Y119" s="3038"/>
      <c r="Z119" s="3038"/>
      <c r="AA119" s="3038"/>
      <c r="AB119" s="3038"/>
      <c r="AC119" s="3038"/>
      <c r="AD119" s="3038"/>
      <c r="AE119" s="3038"/>
      <c r="AF119" s="3038"/>
      <c r="AG119" s="3038"/>
      <c r="AH119" s="3038"/>
      <c r="AI119" s="3038"/>
      <c r="AJ119" s="2620"/>
      <c r="AK119" s="1984"/>
      <c r="AL119" s="1989"/>
      <c r="AQ119" s="1872"/>
      <c r="AR119" s="1872"/>
    </row>
    <row r="120" spans="1:44" ht="11.45" customHeight="1" x14ac:dyDescent="0.2">
      <c r="A120" s="2574"/>
      <c r="B120" s="2541"/>
      <c r="C120" s="2005"/>
      <c r="D120" s="3038"/>
      <c r="E120" s="3038"/>
      <c r="F120" s="3038"/>
      <c r="G120" s="3038"/>
      <c r="H120" s="3038"/>
      <c r="I120" s="3038"/>
      <c r="J120" s="3038"/>
      <c r="K120" s="3038"/>
      <c r="L120" s="3038"/>
      <c r="M120" s="3038"/>
      <c r="N120" s="3038"/>
      <c r="O120" s="3038"/>
      <c r="P120" s="3038"/>
      <c r="Q120" s="3038"/>
      <c r="R120" s="3038"/>
      <c r="S120" s="3038"/>
      <c r="T120" s="3038"/>
      <c r="U120" s="3038"/>
      <c r="V120" s="3038"/>
      <c r="W120" s="3038"/>
      <c r="X120" s="3038"/>
      <c r="Y120" s="3038"/>
      <c r="Z120" s="3038"/>
      <c r="AA120" s="3038"/>
      <c r="AB120" s="3038"/>
      <c r="AC120" s="3038"/>
      <c r="AD120" s="3038"/>
      <c r="AE120" s="3038"/>
      <c r="AF120" s="3038"/>
      <c r="AG120" s="3038"/>
      <c r="AH120" s="3038"/>
      <c r="AI120" s="3038"/>
      <c r="AJ120" s="2620"/>
      <c r="AK120" s="1984"/>
      <c r="AL120" s="1989"/>
      <c r="AQ120" s="1872"/>
      <c r="AR120" s="1872"/>
    </row>
    <row r="121" spans="1:44" ht="11.45" customHeight="1" x14ac:dyDescent="0.2">
      <c r="A121" s="2574"/>
      <c r="B121" s="2541"/>
      <c r="C121" s="2005"/>
      <c r="D121" s="3038"/>
      <c r="E121" s="3038"/>
      <c r="F121" s="3038"/>
      <c r="G121" s="3038"/>
      <c r="H121" s="3038"/>
      <c r="I121" s="3038"/>
      <c r="J121" s="3038"/>
      <c r="K121" s="3038"/>
      <c r="L121" s="3038"/>
      <c r="M121" s="3038"/>
      <c r="N121" s="3038"/>
      <c r="O121" s="3038"/>
      <c r="P121" s="3038"/>
      <c r="Q121" s="3038"/>
      <c r="R121" s="3038"/>
      <c r="S121" s="3038"/>
      <c r="T121" s="3038"/>
      <c r="U121" s="3038"/>
      <c r="V121" s="3038"/>
      <c r="W121" s="3038"/>
      <c r="X121" s="3038"/>
      <c r="Y121" s="3038"/>
      <c r="Z121" s="3038"/>
      <c r="AA121" s="3038"/>
      <c r="AB121" s="3038"/>
      <c r="AC121" s="3038"/>
      <c r="AD121" s="3038"/>
      <c r="AE121" s="3038"/>
      <c r="AF121" s="3038"/>
      <c r="AG121" s="3038"/>
      <c r="AH121" s="3038"/>
      <c r="AI121" s="3038"/>
      <c r="AJ121" s="2620"/>
      <c r="AK121" s="1984"/>
      <c r="AL121" s="1989"/>
      <c r="AQ121" s="1872"/>
      <c r="AR121" s="1872"/>
    </row>
    <row r="122" spans="1:44" ht="11.45" customHeight="1" x14ac:dyDescent="0.2">
      <c r="A122" s="2574"/>
      <c r="B122" s="2541"/>
      <c r="C122" s="2005"/>
      <c r="D122" s="3038"/>
      <c r="E122" s="3038"/>
      <c r="F122" s="3038"/>
      <c r="G122" s="3038"/>
      <c r="H122" s="3038"/>
      <c r="I122" s="3038"/>
      <c r="J122" s="3038"/>
      <c r="K122" s="3038"/>
      <c r="L122" s="3038"/>
      <c r="M122" s="3038"/>
      <c r="N122" s="3038"/>
      <c r="O122" s="3038"/>
      <c r="P122" s="3038"/>
      <c r="Q122" s="3038"/>
      <c r="R122" s="3038"/>
      <c r="S122" s="3038"/>
      <c r="T122" s="3038"/>
      <c r="U122" s="3038"/>
      <c r="V122" s="3038"/>
      <c r="W122" s="3038"/>
      <c r="X122" s="3038"/>
      <c r="Y122" s="3038"/>
      <c r="Z122" s="3038"/>
      <c r="AA122" s="3038"/>
      <c r="AB122" s="3038"/>
      <c r="AC122" s="3038"/>
      <c r="AD122" s="3038"/>
      <c r="AE122" s="3038"/>
      <c r="AF122" s="3038"/>
      <c r="AG122" s="3038"/>
      <c r="AH122" s="3038"/>
      <c r="AI122" s="3038"/>
      <c r="AJ122" s="2621"/>
      <c r="AK122" s="1984"/>
      <c r="AL122" s="1989"/>
      <c r="AQ122" s="1872"/>
      <c r="AR122" s="1872"/>
    </row>
    <row r="123" spans="1:44" ht="11.45" customHeight="1" x14ac:dyDescent="0.2">
      <c r="A123" s="2574"/>
      <c r="B123" s="2541"/>
      <c r="C123" s="2000"/>
      <c r="D123" s="3038"/>
      <c r="E123" s="3038"/>
      <c r="F123" s="3038"/>
      <c r="G123" s="3038"/>
      <c r="H123" s="3038"/>
      <c r="I123" s="3038"/>
      <c r="J123" s="3038"/>
      <c r="K123" s="3038"/>
      <c r="L123" s="3038"/>
      <c r="M123" s="3038"/>
      <c r="N123" s="3038"/>
      <c r="O123" s="3038"/>
      <c r="P123" s="3038"/>
      <c r="Q123" s="3038"/>
      <c r="R123" s="3038"/>
      <c r="S123" s="3038"/>
      <c r="T123" s="3038"/>
      <c r="U123" s="3038"/>
      <c r="V123" s="3038"/>
      <c r="W123" s="3038"/>
      <c r="X123" s="3038"/>
      <c r="Y123" s="3038"/>
      <c r="Z123" s="3038"/>
      <c r="AA123" s="3038"/>
      <c r="AB123" s="3038"/>
      <c r="AC123" s="3038"/>
      <c r="AD123" s="3038"/>
      <c r="AE123" s="3038"/>
      <c r="AF123" s="3038"/>
      <c r="AG123" s="3038"/>
      <c r="AH123" s="3038"/>
      <c r="AI123" s="3038"/>
      <c r="AJ123" s="2621"/>
      <c r="AK123" s="1984"/>
      <c r="AL123" s="1989"/>
      <c r="AQ123" s="1872"/>
      <c r="AR123" s="1872"/>
    </row>
    <row r="124" spans="1:44" ht="11.45" customHeight="1" x14ac:dyDescent="0.2">
      <c r="A124" s="2573"/>
      <c r="B124" s="2549"/>
      <c r="C124" s="2622"/>
      <c r="D124" s="3038"/>
      <c r="E124" s="3038"/>
      <c r="F124" s="3038"/>
      <c r="G124" s="3038"/>
      <c r="H124" s="3038"/>
      <c r="I124" s="3038"/>
      <c r="J124" s="3038"/>
      <c r="K124" s="3038"/>
      <c r="L124" s="3038"/>
      <c r="M124" s="3038"/>
      <c r="N124" s="3038"/>
      <c r="O124" s="3038"/>
      <c r="P124" s="3038"/>
      <c r="Q124" s="3038"/>
      <c r="R124" s="3038"/>
      <c r="S124" s="3038"/>
      <c r="T124" s="3038"/>
      <c r="U124" s="3038"/>
      <c r="V124" s="3038"/>
      <c r="W124" s="3038"/>
      <c r="X124" s="3038"/>
      <c r="Y124" s="3038"/>
      <c r="Z124" s="3038"/>
      <c r="AA124" s="3038"/>
      <c r="AB124" s="3038"/>
      <c r="AC124" s="3038"/>
      <c r="AD124" s="3038"/>
      <c r="AE124" s="3038"/>
      <c r="AF124" s="3038"/>
      <c r="AG124" s="3038"/>
      <c r="AH124" s="3038"/>
      <c r="AI124" s="3038"/>
      <c r="AJ124" s="2623"/>
      <c r="AK124" s="1486"/>
      <c r="AL124" s="1012"/>
      <c r="AQ124" s="1872"/>
      <c r="AR124" s="1872"/>
    </row>
    <row r="125" spans="1:44" ht="11.45" customHeight="1" x14ac:dyDescent="0.2">
      <c r="A125" s="2574"/>
      <c r="B125" s="2541"/>
      <c r="C125" s="2005"/>
      <c r="D125" s="3038"/>
      <c r="E125" s="3038"/>
      <c r="F125" s="3038"/>
      <c r="G125" s="3038"/>
      <c r="H125" s="3038"/>
      <c r="I125" s="3038"/>
      <c r="J125" s="3038"/>
      <c r="K125" s="3038"/>
      <c r="L125" s="3038"/>
      <c r="M125" s="3038"/>
      <c r="N125" s="3038"/>
      <c r="O125" s="3038"/>
      <c r="P125" s="3038"/>
      <c r="Q125" s="3038"/>
      <c r="R125" s="3038"/>
      <c r="S125" s="3038"/>
      <c r="T125" s="3038"/>
      <c r="U125" s="3038"/>
      <c r="V125" s="3038"/>
      <c r="W125" s="3038"/>
      <c r="X125" s="3038"/>
      <c r="Y125" s="3038"/>
      <c r="Z125" s="3038"/>
      <c r="AA125" s="3038"/>
      <c r="AB125" s="3038"/>
      <c r="AC125" s="3038"/>
      <c r="AD125" s="3038"/>
      <c r="AE125" s="3038"/>
      <c r="AF125" s="3038"/>
      <c r="AG125" s="3038"/>
      <c r="AH125" s="3038"/>
      <c r="AI125" s="3038"/>
      <c r="AJ125" s="2624"/>
      <c r="AK125" s="1984"/>
      <c r="AL125" s="1989"/>
      <c r="AQ125" s="1872"/>
      <c r="AR125" s="1872"/>
    </row>
    <row r="126" spans="1:44" ht="11.45" customHeight="1" x14ac:dyDescent="0.2">
      <c r="A126" s="2574"/>
      <c r="B126" s="2541"/>
      <c r="C126" s="2005"/>
      <c r="D126" s="3038"/>
      <c r="E126" s="3038"/>
      <c r="F126" s="3038"/>
      <c r="G126" s="3038"/>
      <c r="H126" s="3038"/>
      <c r="I126" s="3038"/>
      <c r="J126" s="3038"/>
      <c r="K126" s="3038"/>
      <c r="L126" s="3038"/>
      <c r="M126" s="3038"/>
      <c r="N126" s="3038"/>
      <c r="O126" s="3038"/>
      <c r="P126" s="3038"/>
      <c r="Q126" s="3038"/>
      <c r="R126" s="3038"/>
      <c r="S126" s="3038"/>
      <c r="T126" s="3038"/>
      <c r="U126" s="3038"/>
      <c r="V126" s="3038"/>
      <c r="W126" s="3038"/>
      <c r="X126" s="3038"/>
      <c r="Y126" s="3038"/>
      <c r="Z126" s="3038"/>
      <c r="AA126" s="3038"/>
      <c r="AB126" s="3038"/>
      <c r="AC126" s="3038"/>
      <c r="AD126" s="3038"/>
      <c r="AE126" s="3038"/>
      <c r="AF126" s="3038"/>
      <c r="AG126" s="3038"/>
      <c r="AH126" s="3038"/>
      <c r="AI126" s="3038"/>
      <c r="AJ126" s="2624"/>
      <c r="AK126" s="1984"/>
      <c r="AL126" s="1989"/>
      <c r="AQ126" s="1872"/>
      <c r="AR126" s="1872"/>
    </row>
    <row r="127" spans="1:44" ht="11.45" customHeight="1" x14ac:dyDescent="0.2">
      <c r="A127" s="2573"/>
      <c r="B127" s="2549"/>
      <c r="C127" s="2622"/>
      <c r="D127" s="3038"/>
      <c r="E127" s="3038"/>
      <c r="F127" s="3038"/>
      <c r="G127" s="3038"/>
      <c r="H127" s="3038"/>
      <c r="I127" s="3038"/>
      <c r="J127" s="3038"/>
      <c r="K127" s="3038"/>
      <c r="L127" s="3038"/>
      <c r="M127" s="3038"/>
      <c r="N127" s="3038"/>
      <c r="O127" s="3038"/>
      <c r="P127" s="3038"/>
      <c r="Q127" s="3038"/>
      <c r="R127" s="3038"/>
      <c r="S127" s="3038"/>
      <c r="T127" s="3038"/>
      <c r="U127" s="3038"/>
      <c r="V127" s="3038"/>
      <c r="W127" s="3038"/>
      <c r="X127" s="3038"/>
      <c r="Y127" s="3038"/>
      <c r="Z127" s="3038"/>
      <c r="AA127" s="3038"/>
      <c r="AB127" s="3038"/>
      <c r="AC127" s="3038"/>
      <c r="AD127" s="3038"/>
      <c r="AE127" s="3038"/>
      <c r="AF127" s="3038"/>
      <c r="AG127" s="3038"/>
      <c r="AH127" s="3038"/>
      <c r="AI127" s="3038"/>
      <c r="AJ127" s="2623"/>
      <c r="AK127" s="1486"/>
      <c r="AL127" s="1012"/>
      <c r="AQ127" s="1872"/>
      <c r="AR127" s="1872"/>
    </row>
    <row r="128" spans="1:44" ht="11.45" customHeight="1" x14ac:dyDescent="0.2">
      <c r="A128" s="2574"/>
      <c r="B128" s="2541"/>
      <c r="C128" s="2005"/>
      <c r="D128" s="3038"/>
      <c r="E128" s="3038"/>
      <c r="F128" s="3038"/>
      <c r="G128" s="3038"/>
      <c r="H128" s="3038"/>
      <c r="I128" s="3038"/>
      <c r="J128" s="3038"/>
      <c r="K128" s="3038"/>
      <c r="L128" s="3038"/>
      <c r="M128" s="3038"/>
      <c r="N128" s="3038"/>
      <c r="O128" s="3038"/>
      <c r="P128" s="3038"/>
      <c r="Q128" s="3038"/>
      <c r="R128" s="3038"/>
      <c r="S128" s="3038"/>
      <c r="T128" s="3038"/>
      <c r="U128" s="3038"/>
      <c r="V128" s="3038"/>
      <c r="W128" s="3038"/>
      <c r="X128" s="3038"/>
      <c r="Y128" s="3038"/>
      <c r="Z128" s="3038"/>
      <c r="AA128" s="3038"/>
      <c r="AB128" s="3038"/>
      <c r="AC128" s="3038"/>
      <c r="AD128" s="3038"/>
      <c r="AE128" s="3038"/>
      <c r="AF128" s="3038"/>
      <c r="AG128" s="3038"/>
      <c r="AH128" s="3038"/>
      <c r="AI128" s="3038"/>
      <c r="AJ128" s="2625"/>
      <c r="AK128" s="1984"/>
      <c r="AL128" s="1989"/>
      <c r="AQ128" s="1872"/>
      <c r="AR128" s="1872"/>
    </row>
    <row r="129" spans="1:44" ht="11.45" customHeight="1" x14ac:dyDescent="0.2">
      <c r="A129" s="2574"/>
      <c r="B129" s="2541"/>
      <c r="C129" s="2005"/>
      <c r="D129" s="3038"/>
      <c r="E129" s="3038"/>
      <c r="F129" s="3038"/>
      <c r="G129" s="3038"/>
      <c r="H129" s="3038"/>
      <c r="I129" s="3038"/>
      <c r="J129" s="3038"/>
      <c r="K129" s="3038"/>
      <c r="L129" s="3038"/>
      <c r="M129" s="3038"/>
      <c r="N129" s="3038"/>
      <c r="O129" s="3038"/>
      <c r="P129" s="3038"/>
      <c r="Q129" s="3038"/>
      <c r="R129" s="3038"/>
      <c r="S129" s="3038"/>
      <c r="T129" s="3038"/>
      <c r="U129" s="3038"/>
      <c r="V129" s="3038"/>
      <c r="W129" s="3038"/>
      <c r="X129" s="3038"/>
      <c r="Y129" s="3038"/>
      <c r="Z129" s="3038"/>
      <c r="AA129" s="3038"/>
      <c r="AB129" s="3038"/>
      <c r="AC129" s="3038"/>
      <c r="AD129" s="3038"/>
      <c r="AE129" s="3038"/>
      <c r="AF129" s="3038"/>
      <c r="AG129" s="3038"/>
      <c r="AH129" s="3038"/>
      <c r="AI129" s="3038"/>
      <c r="AJ129" s="2625"/>
      <c r="AK129" s="1984"/>
      <c r="AL129" s="1989"/>
      <c r="AQ129" s="1872"/>
      <c r="AR129" s="1872"/>
    </row>
    <row r="130" spans="1:44" ht="11.45" customHeight="1" x14ac:dyDescent="0.2">
      <c r="A130" s="2573"/>
      <c r="B130" s="2549"/>
      <c r="C130" s="2622"/>
      <c r="D130" s="3038"/>
      <c r="E130" s="3038"/>
      <c r="F130" s="3038"/>
      <c r="G130" s="3038"/>
      <c r="H130" s="3038"/>
      <c r="I130" s="3038"/>
      <c r="J130" s="3038"/>
      <c r="K130" s="3038"/>
      <c r="L130" s="3038"/>
      <c r="M130" s="3038"/>
      <c r="N130" s="3038"/>
      <c r="O130" s="3038"/>
      <c r="P130" s="3038"/>
      <c r="Q130" s="3038"/>
      <c r="R130" s="3038"/>
      <c r="S130" s="3038"/>
      <c r="T130" s="3038"/>
      <c r="U130" s="3038"/>
      <c r="V130" s="3038"/>
      <c r="W130" s="3038"/>
      <c r="X130" s="3038"/>
      <c r="Y130" s="3038"/>
      <c r="Z130" s="3038"/>
      <c r="AA130" s="3038"/>
      <c r="AB130" s="3038"/>
      <c r="AC130" s="3038"/>
      <c r="AD130" s="3038"/>
      <c r="AE130" s="3038"/>
      <c r="AF130" s="3038"/>
      <c r="AG130" s="3038"/>
      <c r="AH130" s="3038"/>
      <c r="AI130" s="3038"/>
      <c r="AJ130" s="2623"/>
      <c r="AK130" s="1486"/>
      <c r="AL130" s="1012"/>
      <c r="AQ130" s="1872"/>
      <c r="AR130" s="1872"/>
    </row>
    <row r="131" spans="1:44" ht="11.45" customHeight="1" x14ac:dyDescent="0.2">
      <c r="A131" s="2574"/>
      <c r="B131" s="2541"/>
      <c r="C131" s="2000"/>
      <c r="D131" s="3038"/>
      <c r="E131" s="3038"/>
      <c r="F131" s="3038"/>
      <c r="G131" s="3038"/>
      <c r="H131" s="3038"/>
      <c r="I131" s="3038"/>
      <c r="J131" s="3038"/>
      <c r="K131" s="3038"/>
      <c r="L131" s="3038"/>
      <c r="M131" s="3038"/>
      <c r="N131" s="3038"/>
      <c r="O131" s="3038"/>
      <c r="P131" s="3038"/>
      <c r="Q131" s="3038"/>
      <c r="R131" s="3038"/>
      <c r="S131" s="3038"/>
      <c r="T131" s="3038"/>
      <c r="U131" s="3038"/>
      <c r="V131" s="3038"/>
      <c r="W131" s="3038"/>
      <c r="X131" s="3038"/>
      <c r="Y131" s="3038"/>
      <c r="Z131" s="3038"/>
      <c r="AA131" s="3038"/>
      <c r="AB131" s="3038"/>
      <c r="AC131" s="3038"/>
      <c r="AD131" s="3038"/>
      <c r="AE131" s="3038"/>
      <c r="AF131" s="3038"/>
      <c r="AG131" s="3038"/>
      <c r="AH131" s="3038"/>
      <c r="AI131" s="3038"/>
      <c r="AJ131" s="2625"/>
      <c r="AK131" s="1984"/>
      <c r="AL131" s="1989"/>
      <c r="AQ131" s="1872"/>
      <c r="AR131" s="1872"/>
    </row>
    <row r="132" spans="1:44" ht="11.45" customHeight="1" x14ac:dyDescent="0.2">
      <c r="A132" s="2574"/>
      <c r="B132" s="2541"/>
      <c r="C132" s="2000"/>
      <c r="D132" s="3038"/>
      <c r="E132" s="3038"/>
      <c r="F132" s="3038"/>
      <c r="G132" s="3038"/>
      <c r="H132" s="3038"/>
      <c r="I132" s="3038"/>
      <c r="J132" s="3038"/>
      <c r="K132" s="3038"/>
      <c r="L132" s="3038"/>
      <c r="M132" s="3038"/>
      <c r="N132" s="3038"/>
      <c r="O132" s="3038"/>
      <c r="P132" s="3038"/>
      <c r="Q132" s="3038"/>
      <c r="R132" s="3038"/>
      <c r="S132" s="3038"/>
      <c r="T132" s="3038"/>
      <c r="U132" s="3038"/>
      <c r="V132" s="3038"/>
      <c r="W132" s="3038"/>
      <c r="X132" s="3038"/>
      <c r="Y132" s="3038"/>
      <c r="Z132" s="3038"/>
      <c r="AA132" s="3038"/>
      <c r="AB132" s="3038"/>
      <c r="AC132" s="3038"/>
      <c r="AD132" s="3038"/>
      <c r="AE132" s="3038"/>
      <c r="AF132" s="3038"/>
      <c r="AG132" s="3038"/>
      <c r="AH132" s="3038"/>
      <c r="AI132" s="3038"/>
      <c r="AJ132" s="2625"/>
      <c r="AK132" s="1984"/>
      <c r="AL132" s="1989"/>
      <c r="AQ132" s="1872"/>
      <c r="AR132" s="1872"/>
    </row>
    <row r="133" spans="1:44" ht="11.45" customHeight="1" x14ac:dyDescent="0.2">
      <c r="A133" s="2573"/>
      <c r="B133" s="2549"/>
      <c r="C133" s="2622"/>
      <c r="D133" s="3038"/>
      <c r="E133" s="3038"/>
      <c r="F133" s="3038"/>
      <c r="G133" s="3038"/>
      <c r="H133" s="3038"/>
      <c r="I133" s="3038"/>
      <c r="J133" s="3038"/>
      <c r="K133" s="3038"/>
      <c r="L133" s="3038"/>
      <c r="M133" s="3038"/>
      <c r="N133" s="3038"/>
      <c r="O133" s="3038"/>
      <c r="P133" s="3038"/>
      <c r="Q133" s="3038"/>
      <c r="R133" s="3038"/>
      <c r="S133" s="3038"/>
      <c r="T133" s="3038"/>
      <c r="U133" s="3038"/>
      <c r="V133" s="3038"/>
      <c r="W133" s="3038"/>
      <c r="X133" s="3038"/>
      <c r="Y133" s="3038"/>
      <c r="Z133" s="3038"/>
      <c r="AA133" s="3038"/>
      <c r="AB133" s="3038"/>
      <c r="AC133" s="3038"/>
      <c r="AD133" s="3038"/>
      <c r="AE133" s="3038"/>
      <c r="AF133" s="3038"/>
      <c r="AG133" s="3038"/>
      <c r="AH133" s="3038"/>
      <c r="AI133" s="3038"/>
      <c r="AJ133" s="2623"/>
      <c r="AK133" s="1486"/>
      <c r="AL133" s="1012"/>
      <c r="AQ133" s="1872"/>
      <c r="AR133" s="1872"/>
    </row>
    <row r="134" spans="1:44" ht="11.45" customHeight="1" x14ac:dyDescent="0.2">
      <c r="A134" s="2574"/>
      <c r="B134" s="2541"/>
      <c r="C134" s="2000"/>
      <c r="D134" s="3038"/>
      <c r="E134" s="3038"/>
      <c r="F134" s="3038"/>
      <c r="G134" s="3038"/>
      <c r="H134" s="3038"/>
      <c r="I134" s="3038"/>
      <c r="J134" s="3038"/>
      <c r="K134" s="3038"/>
      <c r="L134" s="3038"/>
      <c r="M134" s="3038"/>
      <c r="N134" s="3038"/>
      <c r="O134" s="3038"/>
      <c r="P134" s="3038"/>
      <c r="Q134" s="3038"/>
      <c r="R134" s="3038"/>
      <c r="S134" s="3038"/>
      <c r="T134" s="3038"/>
      <c r="U134" s="3038"/>
      <c r="V134" s="3038"/>
      <c r="W134" s="3038"/>
      <c r="X134" s="3038"/>
      <c r="Y134" s="3038"/>
      <c r="Z134" s="3038"/>
      <c r="AA134" s="3038"/>
      <c r="AB134" s="3038"/>
      <c r="AC134" s="3038"/>
      <c r="AD134" s="3038"/>
      <c r="AE134" s="3038"/>
      <c r="AF134" s="3038"/>
      <c r="AG134" s="3038"/>
      <c r="AH134" s="3038"/>
      <c r="AI134" s="3038"/>
      <c r="AJ134" s="2624"/>
      <c r="AK134" s="1984"/>
      <c r="AL134" s="1989"/>
      <c r="AQ134" s="1872"/>
      <c r="AR134" s="1872"/>
    </row>
    <row r="135" spans="1:44" ht="11.45" customHeight="1" x14ac:dyDescent="0.2">
      <c r="A135" s="2574"/>
      <c r="B135" s="2541"/>
      <c r="C135" s="2000"/>
      <c r="D135" s="3038"/>
      <c r="E135" s="3038"/>
      <c r="F135" s="3038"/>
      <c r="G135" s="3038"/>
      <c r="H135" s="3038"/>
      <c r="I135" s="3038"/>
      <c r="J135" s="3038"/>
      <c r="K135" s="3038"/>
      <c r="L135" s="3038"/>
      <c r="M135" s="3038"/>
      <c r="N135" s="3038"/>
      <c r="O135" s="3038"/>
      <c r="P135" s="3038"/>
      <c r="Q135" s="3038"/>
      <c r="R135" s="3038"/>
      <c r="S135" s="3038"/>
      <c r="T135" s="3038"/>
      <c r="U135" s="3038"/>
      <c r="V135" s="3038"/>
      <c r="W135" s="3038"/>
      <c r="X135" s="3038"/>
      <c r="Y135" s="3038"/>
      <c r="Z135" s="3038"/>
      <c r="AA135" s="3038"/>
      <c r="AB135" s="3038"/>
      <c r="AC135" s="3038"/>
      <c r="AD135" s="3038"/>
      <c r="AE135" s="3038"/>
      <c r="AF135" s="3038"/>
      <c r="AG135" s="3038"/>
      <c r="AH135" s="3038"/>
      <c r="AI135" s="3038"/>
      <c r="AJ135" s="2624"/>
      <c r="AK135" s="1984"/>
      <c r="AL135" s="1989"/>
      <c r="AQ135" s="1872"/>
      <c r="AR135" s="1872"/>
    </row>
    <row r="136" spans="1:44" ht="11.45" customHeight="1" x14ac:dyDescent="0.2">
      <c r="A136" s="2573"/>
      <c r="B136" s="2549"/>
      <c r="C136" s="2622"/>
      <c r="D136" s="3038"/>
      <c r="E136" s="3038"/>
      <c r="F136" s="3038"/>
      <c r="G136" s="3038"/>
      <c r="H136" s="3038"/>
      <c r="I136" s="3038"/>
      <c r="J136" s="3038"/>
      <c r="K136" s="3038"/>
      <c r="L136" s="3038"/>
      <c r="M136" s="3038"/>
      <c r="N136" s="3038"/>
      <c r="O136" s="3038"/>
      <c r="P136" s="3038"/>
      <c r="Q136" s="3038"/>
      <c r="R136" s="3038"/>
      <c r="S136" s="3038"/>
      <c r="T136" s="3038"/>
      <c r="U136" s="3038"/>
      <c r="V136" s="3038"/>
      <c r="W136" s="3038"/>
      <c r="X136" s="3038"/>
      <c r="Y136" s="3038"/>
      <c r="Z136" s="3038"/>
      <c r="AA136" s="3038"/>
      <c r="AB136" s="3038"/>
      <c r="AC136" s="3038"/>
      <c r="AD136" s="3038"/>
      <c r="AE136" s="3038"/>
      <c r="AF136" s="3038"/>
      <c r="AG136" s="3038"/>
      <c r="AH136" s="3038"/>
      <c r="AI136" s="3038"/>
      <c r="AJ136" s="2623"/>
      <c r="AK136" s="1486"/>
      <c r="AL136" s="1012"/>
      <c r="AQ136" s="1872"/>
      <c r="AR136" s="1872"/>
    </row>
    <row r="137" spans="1:44" ht="11.45" customHeight="1" x14ac:dyDescent="0.2">
      <c r="A137" s="2574"/>
      <c r="B137" s="2541"/>
      <c r="C137" s="2000"/>
      <c r="D137" s="3038"/>
      <c r="E137" s="3038"/>
      <c r="F137" s="3038"/>
      <c r="G137" s="3038"/>
      <c r="H137" s="3038"/>
      <c r="I137" s="3038"/>
      <c r="J137" s="3038"/>
      <c r="K137" s="3038"/>
      <c r="L137" s="3038"/>
      <c r="M137" s="3038"/>
      <c r="N137" s="3038"/>
      <c r="O137" s="3038"/>
      <c r="P137" s="3038"/>
      <c r="Q137" s="3038"/>
      <c r="R137" s="3038"/>
      <c r="S137" s="3038"/>
      <c r="T137" s="3038"/>
      <c r="U137" s="3038"/>
      <c r="V137" s="3038"/>
      <c r="W137" s="3038"/>
      <c r="X137" s="3038"/>
      <c r="Y137" s="3038"/>
      <c r="Z137" s="3038"/>
      <c r="AA137" s="3038"/>
      <c r="AB137" s="3038"/>
      <c r="AC137" s="3038"/>
      <c r="AD137" s="3038"/>
      <c r="AE137" s="3038"/>
      <c r="AF137" s="3038"/>
      <c r="AG137" s="3038"/>
      <c r="AH137" s="3038"/>
      <c r="AI137" s="3038"/>
      <c r="AJ137" s="2626"/>
      <c r="AK137" s="1984"/>
      <c r="AL137" s="1989"/>
      <c r="AQ137" s="1872"/>
      <c r="AR137" s="1872"/>
    </row>
    <row r="138" spans="1:44" ht="11.45" customHeight="1" x14ac:dyDescent="0.2">
      <c r="A138" s="2574"/>
      <c r="B138" s="2541"/>
      <c r="C138" s="2000"/>
      <c r="D138" s="3038"/>
      <c r="E138" s="3038"/>
      <c r="F138" s="3038"/>
      <c r="G138" s="3038"/>
      <c r="H138" s="3038"/>
      <c r="I138" s="3038"/>
      <c r="J138" s="3038"/>
      <c r="K138" s="3038"/>
      <c r="L138" s="3038"/>
      <c r="M138" s="3038"/>
      <c r="N138" s="3038"/>
      <c r="O138" s="3038"/>
      <c r="P138" s="3038"/>
      <c r="Q138" s="3038"/>
      <c r="R138" s="3038"/>
      <c r="S138" s="3038"/>
      <c r="T138" s="3038"/>
      <c r="U138" s="3038"/>
      <c r="V138" s="3038"/>
      <c r="W138" s="3038"/>
      <c r="X138" s="3038"/>
      <c r="Y138" s="3038"/>
      <c r="Z138" s="3038"/>
      <c r="AA138" s="3038"/>
      <c r="AB138" s="3038"/>
      <c r="AC138" s="3038"/>
      <c r="AD138" s="3038"/>
      <c r="AE138" s="3038"/>
      <c r="AF138" s="3038"/>
      <c r="AG138" s="3038"/>
      <c r="AH138" s="3038"/>
      <c r="AI138" s="3038"/>
      <c r="AJ138" s="2621"/>
      <c r="AK138" s="1984"/>
      <c r="AL138" s="1989"/>
      <c r="AQ138" s="1872"/>
      <c r="AR138" s="1872"/>
    </row>
    <row r="139" spans="1:44" ht="11.45" customHeight="1" x14ac:dyDescent="0.2">
      <c r="A139" s="2574"/>
      <c r="B139" s="2541"/>
      <c r="C139" s="2000"/>
      <c r="D139" s="3038"/>
      <c r="E139" s="3038"/>
      <c r="F139" s="3038"/>
      <c r="G139" s="3038"/>
      <c r="H139" s="3038"/>
      <c r="I139" s="3038"/>
      <c r="J139" s="3038"/>
      <c r="K139" s="3038"/>
      <c r="L139" s="3038"/>
      <c r="M139" s="3038"/>
      <c r="N139" s="3038"/>
      <c r="O139" s="3038"/>
      <c r="P139" s="3038"/>
      <c r="Q139" s="3038"/>
      <c r="R139" s="3038"/>
      <c r="S139" s="3038"/>
      <c r="T139" s="3038"/>
      <c r="U139" s="3038"/>
      <c r="V139" s="3038"/>
      <c r="W139" s="3038"/>
      <c r="X139" s="3038"/>
      <c r="Y139" s="3038"/>
      <c r="Z139" s="3038"/>
      <c r="AA139" s="3038"/>
      <c r="AB139" s="3038"/>
      <c r="AC139" s="3038"/>
      <c r="AD139" s="3038"/>
      <c r="AE139" s="3038"/>
      <c r="AF139" s="3038"/>
      <c r="AG139" s="3038"/>
      <c r="AH139" s="3038"/>
      <c r="AI139" s="3038"/>
      <c r="AJ139" s="2621"/>
      <c r="AK139" s="1984"/>
      <c r="AL139" s="1989"/>
      <c r="AQ139" s="1872"/>
      <c r="AR139" s="1872"/>
    </row>
    <row r="140" spans="1:44" ht="11.45" customHeight="1" x14ac:dyDescent="0.2">
      <c r="A140" s="2573"/>
      <c r="B140" s="2549"/>
      <c r="C140" s="2622"/>
      <c r="D140" s="3038"/>
      <c r="E140" s="3038"/>
      <c r="F140" s="3038"/>
      <c r="G140" s="3038"/>
      <c r="H140" s="3038"/>
      <c r="I140" s="3038"/>
      <c r="J140" s="3038"/>
      <c r="K140" s="3038"/>
      <c r="L140" s="3038"/>
      <c r="M140" s="3038"/>
      <c r="N140" s="3038"/>
      <c r="O140" s="3038"/>
      <c r="P140" s="3038"/>
      <c r="Q140" s="3038"/>
      <c r="R140" s="3038"/>
      <c r="S140" s="3038"/>
      <c r="T140" s="3038"/>
      <c r="U140" s="3038"/>
      <c r="V140" s="3038"/>
      <c r="W140" s="3038"/>
      <c r="X140" s="3038"/>
      <c r="Y140" s="3038"/>
      <c r="Z140" s="3038"/>
      <c r="AA140" s="3038"/>
      <c r="AB140" s="3038"/>
      <c r="AC140" s="3038"/>
      <c r="AD140" s="3038"/>
      <c r="AE140" s="3038"/>
      <c r="AF140" s="3038"/>
      <c r="AG140" s="3038"/>
      <c r="AH140" s="3038"/>
      <c r="AI140" s="3038"/>
      <c r="AJ140" s="2623"/>
      <c r="AK140" s="1486"/>
      <c r="AL140" s="1012"/>
      <c r="AQ140" s="1872"/>
      <c r="AR140" s="1872"/>
    </row>
    <row r="141" spans="1:44" ht="11.45" customHeight="1" x14ac:dyDescent="0.2">
      <c r="A141" s="2574"/>
      <c r="B141" s="2541"/>
      <c r="C141" s="2011"/>
      <c r="D141" s="3038"/>
      <c r="E141" s="3038"/>
      <c r="F141" s="3038"/>
      <c r="G141" s="3038"/>
      <c r="H141" s="3038"/>
      <c r="I141" s="3038"/>
      <c r="J141" s="3038"/>
      <c r="K141" s="3038"/>
      <c r="L141" s="3038"/>
      <c r="M141" s="3038"/>
      <c r="N141" s="3038"/>
      <c r="O141" s="3038"/>
      <c r="P141" s="3038"/>
      <c r="Q141" s="3038"/>
      <c r="R141" s="3038"/>
      <c r="S141" s="3038"/>
      <c r="T141" s="3038"/>
      <c r="U141" s="3038"/>
      <c r="V141" s="3038"/>
      <c r="W141" s="3038"/>
      <c r="X141" s="3038"/>
      <c r="Y141" s="3038"/>
      <c r="Z141" s="3038"/>
      <c r="AA141" s="3038"/>
      <c r="AB141" s="3038"/>
      <c r="AC141" s="3038"/>
      <c r="AD141" s="3038"/>
      <c r="AE141" s="3038"/>
      <c r="AF141" s="3038"/>
      <c r="AG141" s="3038"/>
      <c r="AH141" s="3038"/>
      <c r="AI141" s="3038"/>
      <c r="AJ141" s="2626"/>
      <c r="AK141" s="1984"/>
      <c r="AL141" s="1989"/>
      <c r="AQ141" s="1872"/>
      <c r="AR141" s="1872"/>
    </row>
    <row r="142" spans="1:44" ht="11.45" customHeight="1" x14ac:dyDescent="0.2">
      <c r="A142" s="2573"/>
      <c r="B142" s="2549"/>
      <c r="C142" s="2622"/>
      <c r="D142" s="3038"/>
      <c r="E142" s="3038"/>
      <c r="F142" s="3038"/>
      <c r="G142" s="3038"/>
      <c r="H142" s="3038"/>
      <c r="I142" s="3038"/>
      <c r="J142" s="3038"/>
      <c r="K142" s="3038"/>
      <c r="L142" s="3038"/>
      <c r="M142" s="3038"/>
      <c r="N142" s="3038"/>
      <c r="O142" s="3038"/>
      <c r="P142" s="3038"/>
      <c r="Q142" s="3038"/>
      <c r="R142" s="3038"/>
      <c r="S142" s="3038"/>
      <c r="T142" s="3038"/>
      <c r="U142" s="3038"/>
      <c r="V142" s="3038"/>
      <c r="W142" s="3038"/>
      <c r="X142" s="3038"/>
      <c r="Y142" s="3038"/>
      <c r="Z142" s="3038"/>
      <c r="AA142" s="3038"/>
      <c r="AB142" s="3038"/>
      <c r="AC142" s="3038"/>
      <c r="AD142" s="3038"/>
      <c r="AE142" s="3038"/>
      <c r="AF142" s="3038"/>
      <c r="AG142" s="3038"/>
      <c r="AH142" s="3038"/>
      <c r="AI142" s="3038"/>
      <c r="AJ142" s="2623"/>
      <c r="AK142" s="1486"/>
      <c r="AL142" s="1012"/>
      <c r="AQ142" s="1872"/>
      <c r="AR142" s="1872"/>
    </row>
    <row r="143" spans="1:44" ht="11.45" customHeight="1" x14ac:dyDescent="0.2">
      <c r="A143" s="2574"/>
      <c r="B143" s="2541"/>
      <c r="C143" s="2012"/>
      <c r="D143" s="3038"/>
      <c r="E143" s="3038"/>
      <c r="F143" s="3038"/>
      <c r="G143" s="3038"/>
      <c r="H143" s="3038"/>
      <c r="I143" s="3038"/>
      <c r="J143" s="3038"/>
      <c r="K143" s="3038"/>
      <c r="L143" s="3038"/>
      <c r="M143" s="3038"/>
      <c r="N143" s="3038"/>
      <c r="O143" s="3038"/>
      <c r="P143" s="3038"/>
      <c r="Q143" s="3038"/>
      <c r="R143" s="3038"/>
      <c r="S143" s="3038"/>
      <c r="T143" s="3038"/>
      <c r="U143" s="3038"/>
      <c r="V143" s="3038"/>
      <c r="W143" s="3038"/>
      <c r="X143" s="3038"/>
      <c r="Y143" s="3038"/>
      <c r="Z143" s="3038"/>
      <c r="AA143" s="3038"/>
      <c r="AB143" s="3038"/>
      <c r="AC143" s="3038"/>
      <c r="AD143" s="3038"/>
      <c r="AE143" s="3038"/>
      <c r="AF143" s="3038"/>
      <c r="AG143" s="3038"/>
      <c r="AH143" s="3038"/>
      <c r="AI143" s="3038"/>
      <c r="AJ143" s="2626"/>
      <c r="AK143" s="1984"/>
      <c r="AL143" s="1989"/>
      <c r="AQ143" s="1872"/>
      <c r="AR143" s="1872"/>
    </row>
    <row r="144" spans="1:44" ht="11.45" customHeight="1" x14ac:dyDescent="0.2">
      <c r="A144" s="2573"/>
      <c r="B144" s="2549"/>
      <c r="C144" s="2622"/>
      <c r="D144" s="3038"/>
      <c r="E144" s="3038"/>
      <c r="F144" s="3038"/>
      <c r="G144" s="3038"/>
      <c r="H144" s="3038"/>
      <c r="I144" s="3038"/>
      <c r="J144" s="3038"/>
      <c r="K144" s="3038"/>
      <c r="L144" s="3038"/>
      <c r="M144" s="3038"/>
      <c r="N144" s="3038"/>
      <c r="O144" s="3038"/>
      <c r="P144" s="3038"/>
      <c r="Q144" s="3038"/>
      <c r="R144" s="3038"/>
      <c r="S144" s="3038"/>
      <c r="T144" s="3038"/>
      <c r="U144" s="3038"/>
      <c r="V144" s="3038"/>
      <c r="W144" s="3038"/>
      <c r="X144" s="3038"/>
      <c r="Y144" s="3038"/>
      <c r="Z144" s="3038"/>
      <c r="AA144" s="3038"/>
      <c r="AB144" s="3038"/>
      <c r="AC144" s="3038"/>
      <c r="AD144" s="3038"/>
      <c r="AE144" s="3038"/>
      <c r="AF144" s="3038"/>
      <c r="AG144" s="3038"/>
      <c r="AH144" s="3038"/>
      <c r="AI144" s="3038"/>
      <c r="AJ144" s="2623"/>
      <c r="AK144" s="1486"/>
      <c r="AL144" s="1012"/>
      <c r="AQ144" s="1872"/>
      <c r="AR144" s="1872"/>
    </row>
    <row r="145" spans="1:44" ht="11.45" customHeight="1" x14ac:dyDescent="0.2">
      <c r="A145" s="2574"/>
      <c r="B145" s="2541"/>
      <c r="C145" s="2012"/>
      <c r="D145" s="3038"/>
      <c r="E145" s="3038"/>
      <c r="F145" s="3038"/>
      <c r="G145" s="3038"/>
      <c r="H145" s="3038"/>
      <c r="I145" s="3038"/>
      <c r="J145" s="3038"/>
      <c r="K145" s="3038"/>
      <c r="L145" s="3038"/>
      <c r="M145" s="3038"/>
      <c r="N145" s="3038"/>
      <c r="O145" s="3038"/>
      <c r="P145" s="3038"/>
      <c r="Q145" s="3038"/>
      <c r="R145" s="3038"/>
      <c r="S145" s="3038"/>
      <c r="T145" s="3038"/>
      <c r="U145" s="3038"/>
      <c r="V145" s="3038"/>
      <c r="W145" s="3038"/>
      <c r="X145" s="3038"/>
      <c r="Y145" s="3038"/>
      <c r="Z145" s="3038"/>
      <c r="AA145" s="3038"/>
      <c r="AB145" s="3038"/>
      <c r="AC145" s="3038"/>
      <c r="AD145" s="3038"/>
      <c r="AE145" s="3038"/>
      <c r="AF145" s="3038"/>
      <c r="AG145" s="3038"/>
      <c r="AH145" s="3038"/>
      <c r="AI145" s="3038"/>
      <c r="AJ145" s="2627"/>
      <c r="AK145" s="1984"/>
      <c r="AL145" s="1989"/>
      <c r="AQ145" s="1872"/>
      <c r="AR145" s="1872"/>
    </row>
    <row r="146" spans="1:44" ht="11.45" customHeight="1" x14ac:dyDescent="0.2">
      <c r="A146" s="2574"/>
      <c r="B146" s="2541"/>
      <c r="C146" s="2012"/>
      <c r="D146" s="3038"/>
      <c r="E146" s="3038"/>
      <c r="F146" s="3038"/>
      <c r="G146" s="3038"/>
      <c r="H146" s="3038"/>
      <c r="I146" s="3038"/>
      <c r="J146" s="3038"/>
      <c r="K146" s="3038"/>
      <c r="L146" s="3038"/>
      <c r="M146" s="3038"/>
      <c r="N146" s="3038"/>
      <c r="O146" s="3038"/>
      <c r="P146" s="3038"/>
      <c r="Q146" s="3038"/>
      <c r="R146" s="3038"/>
      <c r="S146" s="3038"/>
      <c r="T146" s="3038"/>
      <c r="U146" s="3038"/>
      <c r="V146" s="3038"/>
      <c r="W146" s="3038"/>
      <c r="X146" s="3038"/>
      <c r="Y146" s="3038"/>
      <c r="Z146" s="3038"/>
      <c r="AA146" s="3038"/>
      <c r="AB146" s="3038"/>
      <c r="AC146" s="3038"/>
      <c r="AD146" s="3038"/>
      <c r="AE146" s="3038"/>
      <c r="AF146" s="3038"/>
      <c r="AG146" s="3038"/>
      <c r="AH146" s="3038"/>
      <c r="AI146" s="3038"/>
      <c r="AJ146" s="2627"/>
      <c r="AK146" s="1984"/>
      <c r="AL146" s="2272"/>
      <c r="AQ146" s="1872"/>
      <c r="AR146" s="1872"/>
    </row>
    <row r="147" spans="1:44" ht="11.45" customHeight="1" x14ac:dyDescent="0.2">
      <c r="A147" s="2574"/>
      <c r="B147" s="2541"/>
      <c r="C147" s="2012"/>
      <c r="D147" s="3038"/>
      <c r="E147" s="3038"/>
      <c r="F147" s="3038"/>
      <c r="G147" s="3038"/>
      <c r="H147" s="3038"/>
      <c r="I147" s="3038"/>
      <c r="J147" s="3038"/>
      <c r="K147" s="3038"/>
      <c r="L147" s="3038"/>
      <c r="M147" s="3038"/>
      <c r="N147" s="3038"/>
      <c r="O147" s="3038"/>
      <c r="P147" s="3038"/>
      <c r="Q147" s="3038"/>
      <c r="R147" s="3038"/>
      <c r="S147" s="3038"/>
      <c r="T147" s="3038"/>
      <c r="U147" s="3038"/>
      <c r="V147" s="3038"/>
      <c r="W147" s="3038"/>
      <c r="X147" s="3038"/>
      <c r="Y147" s="3038"/>
      <c r="Z147" s="3038"/>
      <c r="AA147" s="3038"/>
      <c r="AB147" s="3038"/>
      <c r="AC147" s="3038"/>
      <c r="AD147" s="3038"/>
      <c r="AE147" s="3038"/>
      <c r="AF147" s="3038"/>
      <c r="AG147" s="3038"/>
      <c r="AH147" s="3038"/>
      <c r="AI147" s="3038"/>
      <c r="AJ147" s="2627"/>
      <c r="AK147" s="1984"/>
      <c r="AL147" s="2272"/>
      <c r="AQ147" s="1872"/>
      <c r="AR147" s="1872"/>
    </row>
    <row r="148" spans="1:44" ht="11.45" customHeight="1" x14ac:dyDescent="0.2">
      <c r="A148" s="2573"/>
      <c r="B148" s="2549"/>
      <c r="C148" s="2622"/>
      <c r="D148" s="3038"/>
      <c r="E148" s="3038"/>
      <c r="F148" s="3038"/>
      <c r="G148" s="3038"/>
      <c r="H148" s="3038"/>
      <c r="I148" s="3038"/>
      <c r="J148" s="3038"/>
      <c r="K148" s="3038"/>
      <c r="L148" s="3038"/>
      <c r="M148" s="3038"/>
      <c r="N148" s="3038"/>
      <c r="O148" s="3038"/>
      <c r="P148" s="3038"/>
      <c r="Q148" s="3038"/>
      <c r="R148" s="3038"/>
      <c r="S148" s="3038"/>
      <c r="T148" s="3038"/>
      <c r="U148" s="3038"/>
      <c r="V148" s="3038"/>
      <c r="W148" s="3038"/>
      <c r="X148" s="3038"/>
      <c r="Y148" s="3038"/>
      <c r="Z148" s="3038"/>
      <c r="AA148" s="3038"/>
      <c r="AB148" s="3038"/>
      <c r="AC148" s="3038"/>
      <c r="AD148" s="3038"/>
      <c r="AE148" s="3038"/>
      <c r="AF148" s="3038"/>
      <c r="AG148" s="3038"/>
      <c r="AH148" s="3038"/>
      <c r="AI148" s="3038"/>
      <c r="AJ148" s="2623"/>
      <c r="AK148" s="1486"/>
      <c r="AL148" s="1012"/>
      <c r="AQ148" s="1872"/>
      <c r="AR148" s="1872"/>
    </row>
    <row r="149" spans="1:44" ht="11.45" customHeight="1" x14ac:dyDescent="0.2">
      <c r="A149" s="2574"/>
      <c r="B149" s="2541"/>
      <c r="C149" s="2012"/>
      <c r="D149" s="3038"/>
      <c r="E149" s="3038"/>
      <c r="F149" s="3038"/>
      <c r="G149" s="3038"/>
      <c r="H149" s="3038"/>
      <c r="I149" s="3038"/>
      <c r="J149" s="3038"/>
      <c r="K149" s="3038"/>
      <c r="L149" s="3038"/>
      <c r="M149" s="3038"/>
      <c r="N149" s="3038"/>
      <c r="O149" s="3038"/>
      <c r="P149" s="3038"/>
      <c r="Q149" s="3038"/>
      <c r="R149" s="3038"/>
      <c r="S149" s="3038"/>
      <c r="T149" s="3038"/>
      <c r="U149" s="3038"/>
      <c r="V149" s="3038"/>
      <c r="W149" s="3038"/>
      <c r="X149" s="3038"/>
      <c r="Y149" s="3038"/>
      <c r="Z149" s="3038"/>
      <c r="AA149" s="3038"/>
      <c r="AB149" s="3038"/>
      <c r="AC149" s="3038"/>
      <c r="AD149" s="3038"/>
      <c r="AE149" s="3038"/>
      <c r="AF149" s="3038"/>
      <c r="AG149" s="3038"/>
      <c r="AH149" s="3038"/>
      <c r="AI149" s="3038"/>
      <c r="AJ149" s="2627"/>
      <c r="AK149" s="1984"/>
      <c r="AL149" s="2272"/>
      <c r="AQ149" s="1872"/>
      <c r="AR149" s="1872"/>
    </row>
    <row r="150" spans="1:44" ht="11.45" customHeight="1" x14ac:dyDescent="0.2">
      <c r="A150" s="2574"/>
      <c r="B150" s="2541"/>
      <c r="C150" s="2012"/>
      <c r="D150" s="3038"/>
      <c r="E150" s="3038"/>
      <c r="F150" s="3038"/>
      <c r="G150" s="3038"/>
      <c r="H150" s="3038"/>
      <c r="I150" s="3038"/>
      <c r="J150" s="3038"/>
      <c r="K150" s="3038"/>
      <c r="L150" s="3038"/>
      <c r="M150" s="3038"/>
      <c r="N150" s="3038"/>
      <c r="O150" s="3038"/>
      <c r="P150" s="3038"/>
      <c r="Q150" s="3038"/>
      <c r="R150" s="3038"/>
      <c r="S150" s="3038"/>
      <c r="T150" s="3038"/>
      <c r="U150" s="3038"/>
      <c r="V150" s="3038"/>
      <c r="W150" s="3038"/>
      <c r="X150" s="3038"/>
      <c r="Y150" s="3038"/>
      <c r="Z150" s="3038"/>
      <c r="AA150" s="3038"/>
      <c r="AB150" s="3038"/>
      <c r="AC150" s="3038"/>
      <c r="AD150" s="3038"/>
      <c r="AE150" s="3038"/>
      <c r="AF150" s="3038"/>
      <c r="AG150" s="3038"/>
      <c r="AH150" s="3038"/>
      <c r="AI150" s="3038"/>
      <c r="AJ150" s="2627"/>
      <c r="AK150" s="1984"/>
      <c r="AL150" s="2272"/>
      <c r="AQ150" s="1872"/>
      <c r="AR150" s="1872"/>
    </row>
    <row r="151" spans="1:44" ht="11.45" customHeight="1" x14ac:dyDescent="0.2">
      <c r="A151" s="2574"/>
      <c r="B151" s="2541"/>
      <c r="C151" s="2012"/>
      <c r="D151" s="3038"/>
      <c r="E151" s="3038"/>
      <c r="F151" s="3038"/>
      <c r="G151" s="3038"/>
      <c r="H151" s="3038"/>
      <c r="I151" s="3038"/>
      <c r="J151" s="3038"/>
      <c r="K151" s="3038"/>
      <c r="L151" s="3038"/>
      <c r="M151" s="3038"/>
      <c r="N151" s="3038"/>
      <c r="O151" s="3038"/>
      <c r="P151" s="3038"/>
      <c r="Q151" s="3038"/>
      <c r="R151" s="3038"/>
      <c r="S151" s="3038"/>
      <c r="T151" s="3038"/>
      <c r="U151" s="3038"/>
      <c r="V151" s="3038"/>
      <c r="W151" s="3038"/>
      <c r="X151" s="3038"/>
      <c r="Y151" s="3038"/>
      <c r="Z151" s="3038"/>
      <c r="AA151" s="3038"/>
      <c r="AB151" s="3038"/>
      <c r="AC151" s="3038"/>
      <c r="AD151" s="3038"/>
      <c r="AE151" s="3038"/>
      <c r="AF151" s="3038"/>
      <c r="AG151" s="3038"/>
      <c r="AH151" s="3038"/>
      <c r="AI151" s="3038"/>
      <c r="AJ151" s="2627"/>
      <c r="AK151" s="1984"/>
      <c r="AL151" s="2272"/>
      <c r="AQ151" s="1872"/>
      <c r="AR151" s="1872"/>
    </row>
    <row r="152" spans="1:44" ht="11.45" customHeight="1" x14ac:dyDescent="0.2">
      <c r="A152" s="2574"/>
      <c r="B152" s="2541"/>
      <c r="C152" s="2012"/>
      <c r="D152" s="3038"/>
      <c r="E152" s="3038"/>
      <c r="F152" s="3038"/>
      <c r="G152" s="3038"/>
      <c r="H152" s="3038"/>
      <c r="I152" s="3038"/>
      <c r="J152" s="3038"/>
      <c r="K152" s="3038"/>
      <c r="L152" s="3038"/>
      <c r="M152" s="3038"/>
      <c r="N152" s="3038"/>
      <c r="O152" s="3038"/>
      <c r="P152" s="3038"/>
      <c r="Q152" s="3038"/>
      <c r="R152" s="3038"/>
      <c r="S152" s="3038"/>
      <c r="T152" s="3038"/>
      <c r="U152" s="3038"/>
      <c r="V152" s="3038"/>
      <c r="W152" s="3038"/>
      <c r="X152" s="3038"/>
      <c r="Y152" s="3038"/>
      <c r="Z152" s="3038"/>
      <c r="AA152" s="3038"/>
      <c r="AB152" s="3038"/>
      <c r="AC152" s="3038"/>
      <c r="AD152" s="3038"/>
      <c r="AE152" s="3038"/>
      <c r="AF152" s="3038"/>
      <c r="AG152" s="3038"/>
      <c r="AH152" s="3038"/>
      <c r="AI152" s="3038"/>
      <c r="AJ152" s="2627"/>
      <c r="AK152" s="1984"/>
      <c r="AL152" s="2272"/>
      <c r="AQ152" s="1872"/>
      <c r="AR152" s="1872"/>
    </row>
    <row r="153" spans="1:44" ht="11.45" customHeight="1" x14ac:dyDescent="0.2">
      <c r="A153" s="2573"/>
      <c r="B153" s="2549"/>
      <c r="C153" s="2622"/>
      <c r="D153" s="3038"/>
      <c r="E153" s="3038"/>
      <c r="F153" s="3038"/>
      <c r="G153" s="3038"/>
      <c r="H153" s="3038"/>
      <c r="I153" s="3038"/>
      <c r="J153" s="3038"/>
      <c r="K153" s="3038"/>
      <c r="L153" s="3038"/>
      <c r="M153" s="3038"/>
      <c r="N153" s="3038"/>
      <c r="O153" s="3038"/>
      <c r="P153" s="3038"/>
      <c r="Q153" s="3038"/>
      <c r="R153" s="3038"/>
      <c r="S153" s="3038"/>
      <c r="T153" s="3038"/>
      <c r="U153" s="3038"/>
      <c r="V153" s="3038"/>
      <c r="W153" s="3038"/>
      <c r="X153" s="3038"/>
      <c r="Y153" s="3038"/>
      <c r="Z153" s="3038"/>
      <c r="AA153" s="3038"/>
      <c r="AB153" s="3038"/>
      <c r="AC153" s="3038"/>
      <c r="AD153" s="3038"/>
      <c r="AE153" s="3038"/>
      <c r="AF153" s="3038"/>
      <c r="AG153" s="3038"/>
      <c r="AH153" s="3038"/>
      <c r="AI153" s="3038"/>
      <c r="AJ153" s="2623"/>
      <c r="AK153" s="1486"/>
      <c r="AL153" s="1012"/>
      <c r="AQ153" s="1872"/>
      <c r="AR153" s="1872"/>
    </row>
    <row r="154" spans="1:44" ht="11.45" customHeight="1" x14ac:dyDescent="0.2">
      <c r="A154" s="2574"/>
      <c r="B154" s="2541"/>
      <c r="C154" s="2012"/>
      <c r="D154" s="3038"/>
      <c r="E154" s="3038"/>
      <c r="F154" s="3038"/>
      <c r="G154" s="3038"/>
      <c r="H154" s="3038"/>
      <c r="I154" s="3038"/>
      <c r="J154" s="3038"/>
      <c r="K154" s="3038"/>
      <c r="L154" s="3038"/>
      <c r="M154" s="3038"/>
      <c r="N154" s="3038"/>
      <c r="O154" s="3038"/>
      <c r="P154" s="3038"/>
      <c r="Q154" s="3038"/>
      <c r="R154" s="3038"/>
      <c r="S154" s="3038"/>
      <c r="T154" s="3038"/>
      <c r="U154" s="3038"/>
      <c r="V154" s="3038"/>
      <c r="W154" s="3038"/>
      <c r="X154" s="3038"/>
      <c r="Y154" s="3038"/>
      <c r="Z154" s="3038"/>
      <c r="AA154" s="3038"/>
      <c r="AB154" s="3038"/>
      <c r="AC154" s="3038"/>
      <c r="AD154" s="3038"/>
      <c r="AE154" s="3038"/>
      <c r="AF154" s="3038"/>
      <c r="AG154" s="3038"/>
      <c r="AH154" s="3038"/>
      <c r="AI154" s="3038"/>
      <c r="AJ154" s="2621"/>
      <c r="AK154" s="1984"/>
      <c r="AL154" s="2272"/>
      <c r="AQ154" s="1872"/>
      <c r="AR154" s="1872"/>
    </row>
    <row r="155" spans="1:44" ht="11.45" customHeight="1" x14ac:dyDescent="0.2">
      <c r="A155" s="2573"/>
      <c r="B155" s="2549"/>
      <c r="C155" s="2622"/>
      <c r="D155" s="3038"/>
      <c r="E155" s="3038"/>
      <c r="F155" s="3038"/>
      <c r="G155" s="3038"/>
      <c r="H155" s="3038"/>
      <c r="I155" s="3038"/>
      <c r="J155" s="3038"/>
      <c r="K155" s="3038"/>
      <c r="L155" s="3038"/>
      <c r="M155" s="3038"/>
      <c r="N155" s="3038"/>
      <c r="O155" s="3038"/>
      <c r="P155" s="3038"/>
      <c r="Q155" s="3038"/>
      <c r="R155" s="3038"/>
      <c r="S155" s="3038"/>
      <c r="T155" s="3038"/>
      <c r="U155" s="3038"/>
      <c r="V155" s="3038"/>
      <c r="W155" s="3038"/>
      <c r="X155" s="3038"/>
      <c r="Y155" s="3038"/>
      <c r="Z155" s="3038"/>
      <c r="AA155" s="3038"/>
      <c r="AB155" s="3038"/>
      <c r="AC155" s="3038"/>
      <c r="AD155" s="3038"/>
      <c r="AE155" s="3038"/>
      <c r="AF155" s="3038"/>
      <c r="AG155" s="3038"/>
      <c r="AH155" s="3038"/>
      <c r="AI155" s="3038"/>
      <c r="AJ155" s="2623"/>
      <c r="AK155" s="1486"/>
      <c r="AL155" s="1012"/>
      <c r="AQ155" s="1872"/>
      <c r="AR155" s="1872"/>
    </row>
    <row r="156" spans="1:44" ht="11.45" customHeight="1" x14ac:dyDescent="0.2">
      <c r="A156" s="2574"/>
      <c r="B156" s="2541"/>
      <c r="C156" s="2014"/>
      <c r="D156" s="3038"/>
      <c r="E156" s="3038"/>
      <c r="F156" s="3038"/>
      <c r="G156" s="3038"/>
      <c r="H156" s="3038"/>
      <c r="I156" s="3038"/>
      <c r="J156" s="3038"/>
      <c r="K156" s="3038"/>
      <c r="L156" s="3038"/>
      <c r="M156" s="3038"/>
      <c r="N156" s="3038"/>
      <c r="O156" s="3038"/>
      <c r="P156" s="3038"/>
      <c r="Q156" s="3038"/>
      <c r="R156" s="3038"/>
      <c r="S156" s="3038"/>
      <c r="T156" s="3038"/>
      <c r="U156" s="3038"/>
      <c r="V156" s="3038"/>
      <c r="W156" s="3038"/>
      <c r="X156" s="3038"/>
      <c r="Y156" s="3038"/>
      <c r="Z156" s="3038"/>
      <c r="AA156" s="3038"/>
      <c r="AB156" s="3038"/>
      <c r="AC156" s="3038"/>
      <c r="AD156" s="3038"/>
      <c r="AE156" s="3038"/>
      <c r="AF156" s="3038"/>
      <c r="AG156" s="3038"/>
      <c r="AH156" s="3038"/>
      <c r="AI156" s="3038"/>
      <c r="AJ156" s="2621"/>
      <c r="AK156" s="1984"/>
      <c r="AL156" s="2272"/>
      <c r="AQ156" s="1872"/>
      <c r="AR156" s="1872"/>
    </row>
    <row r="157" spans="1:44" ht="11.45" customHeight="1" x14ac:dyDescent="0.2">
      <c r="A157" s="2573"/>
      <c r="B157" s="2549"/>
      <c r="C157" s="2622"/>
      <c r="D157" s="3038"/>
      <c r="E157" s="3038"/>
      <c r="F157" s="3038"/>
      <c r="G157" s="3038"/>
      <c r="H157" s="3038"/>
      <c r="I157" s="3038"/>
      <c r="J157" s="3038"/>
      <c r="K157" s="3038"/>
      <c r="L157" s="3038"/>
      <c r="M157" s="3038"/>
      <c r="N157" s="3038"/>
      <c r="O157" s="3038"/>
      <c r="P157" s="3038"/>
      <c r="Q157" s="3038"/>
      <c r="R157" s="3038"/>
      <c r="S157" s="3038"/>
      <c r="T157" s="3038"/>
      <c r="U157" s="3038"/>
      <c r="V157" s="3038"/>
      <c r="W157" s="3038"/>
      <c r="X157" s="3038"/>
      <c r="Y157" s="3038"/>
      <c r="Z157" s="3038"/>
      <c r="AA157" s="3038"/>
      <c r="AB157" s="3038"/>
      <c r="AC157" s="3038"/>
      <c r="AD157" s="3038"/>
      <c r="AE157" s="3038"/>
      <c r="AF157" s="3038"/>
      <c r="AG157" s="3038"/>
      <c r="AH157" s="3038"/>
      <c r="AI157" s="3038"/>
      <c r="AJ157" s="2623"/>
      <c r="AK157" s="1486"/>
      <c r="AL157" s="1012"/>
      <c r="AQ157" s="1872"/>
      <c r="AR157" s="1872"/>
    </row>
    <row r="158" spans="1:44" ht="11.45" customHeight="1" x14ac:dyDescent="0.2">
      <c r="A158" s="2574"/>
      <c r="B158" s="2541"/>
      <c r="C158" s="2014"/>
      <c r="D158" s="3038"/>
      <c r="E158" s="3038"/>
      <c r="F158" s="3038"/>
      <c r="G158" s="3038"/>
      <c r="H158" s="3038"/>
      <c r="I158" s="3038"/>
      <c r="J158" s="3038"/>
      <c r="K158" s="3038"/>
      <c r="L158" s="3038"/>
      <c r="M158" s="3038"/>
      <c r="N158" s="3038"/>
      <c r="O158" s="3038"/>
      <c r="P158" s="3038"/>
      <c r="Q158" s="3038"/>
      <c r="R158" s="3038"/>
      <c r="S158" s="3038"/>
      <c r="T158" s="3038"/>
      <c r="U158" s="3038"/>
      <c r="V158" s="3038"/>
      <c r="W158" s="3038"/>
      <c r="X158" s="3038"/>
      <c r="Y158" s="3038"/>
      <c r="Z158" s="3038"/>
      <c r="AA158" s="3038"/>
      <c r="AB158" s="3038"/>
      <c r="AC158" s="3038"/>
      <c r="AD158" s="3038"/>
      <c r="AE158" s="3038"/>
      <c r="AF158" s="3038"/>
      <c r="AG158" s="3038"/>
      <c r="AH158" s="3038"/>
      <c r="AI158" s="3038"/>
      <c r="AJ158" s="2626"/>
      <c r="AK158" s="1984"/>
      <c r="AL158" s="2272"/>
      <c r="AQ158" s="1872"/>
      <c r="AR158" s="1872"/>
    </row>
    <row r="159" spans="1:44" ht="11.45" customHeight="1" x14ac:dyDescent="0.2">
      <c r="A159" s="2573"/>
      <c r="B159" s="2549"/>
      <c r="C159" s="2622"/>
      <c r="D159" s="3038"/>
      <c r="E159" s="3038"/>
      <c r="F159" s="3038"/>
      <c r="G159" s="3038"/>
      <c r="H159" s="3038"/>
      <c r="I159" s="3038"/>
      <c r="J159" s="3038"/>
      <c r="K159" s="3038"/>
      <c r="L159" s="3038"/>
      <c r="M159" s="3038"/>
      <c r="N159" s="3038"/>
      <c r="O159" s="3038"/>
      <c r="P159" s="3038"/>
      <c r="Q159" s="3038"/>
      <c r="R159" s="3038"/>
      <c r="S159" s="3038"/>
      <c r="T159" s="3038"/>
      <c r="U159" s="3038"/>
      <c r="V159" s="3038"/>
      <c r="W159" s="3038"/>
      <c r="X159" s="3038"/>
      <c r="Y159" s="3038"/>
      <c r="Z159" s="3038"/>
      <c r="AA159" s="3038"/>
      <c r="AB159" s="3038"/>
      <c r="AC159" s="3038"/>
      <c r="AD159" s="3038"/>
      <c r="AE159" s="3038"/>
      <c r="AF159" s="3038"/>
      <c r="AG159" s="3038"/>
      <c r="AH159" s="3038"/>
      <c r="AI159" s="3038"/>
      <c r="AJ159" s="2623"/>
      <c r="AK159" s="1486"/>
      <c r="AL159" s="1012"/>
      <c r="AQ159" s="1872"/>
      <c r="AR159" s="1872"/>
    </row>
    <row r="160" spans="1:44" ht="11.45" customHeight="1" x14ac:dyDescent="0.2">
      <c r="A160" s="2574"/>
      <c r="B160" s="2541"/>
      <c r="C160" s="2014"/>
      <c r="D160" s="3038"/>
      <c r="E160" s="3038"/>
      <c r="F160" s="3038"/>
      <c r="G160" s="3038"/>
      <c r="H160" s="3038"/>
      <c r="I160" s="3038"/>
      <c r="J160" s="3038"/>
      <c r="K160" s="3038"/>
      <c r="L160" s="3038"/>
      <c r="M160" s="3038"/>
      <c r="N160" s="3038"/>
      <c r="O160" s="3038"/>
      <c r="P160" s="3038"/>
      <c r="Q160" s="3038"/>
      <c r="R160" s="3038"/>
      <c r="S160" s="3038"/>
      <c r="T160" s="3038"/>
      <c r="U160" s="3038"/>
      <c r="V160" s="3038"/>
      <c r="W160" s="3038"/>
      <c r="X160" s="3038"/>
      <c r="Y160" s="3038"/>
      <c r="Z160" s="3038"/>
      <c r="AA160" s="3038"/>
      <c r="AB160" s="3038"/>
      <c r="AC160" s="3038"/>
      <c r="AD160" s="3038"/>
      <c r="AE160" s="3038"/>
      <c r="AF160" s="3038"/>
      <c r="AG160" s="3038"/>
      <c r="AH160" s="3038"/>
      <c r="AI160" s="3038"/>
      <c r="AJ160" s="2627"/>
      <c r="AK160" s="1984"/>
      <c r="AL160" s="2272"/>
      <c r="AQ160" s="1872"/>
      <c r="AR160" s="1872"/>
    </row>
    <row r="161" spans="1:44" ht="11.45" customHeight="1" x14ac:dyDescent="0.2">
      <c r="A161" s="2574"/>
      <c r="B161" s="2541"/>
      <c r="C161" s="2014"/>
      <c r="D161" s="3038"/>
      <c r="E161" s="3038"/>
      <c r="F161" s="3038"/>
      <c r="G161" s="3038"/>
      <c r="H161" s="3038"/>
      <c r="I161" s="3038"/>
      <c r="J161" s="3038"/>
      <c r="K161" s="3038"/>
      <c r="L161" s="3038"/>
      <c r="M161" s="3038"/>
      <c r="N161" s="3038"/>
      <c r="O161" s="3038"/>
      <c r="P161" s="3038"/>
      <c r="Q161" s="3038"/>
      <c r="R161" s="3038"/>
      <c r="S161" s="3038"/>
      <c r="T161" s="3038"/>
      <c r="U161" s="3038"/>
      <c r="V161" s="3038"/>
      <c r="W161" s="3038"/>
      <c r="X161" s="3038"/>
      <c r="Y161" s="3038"/>
      <c r="Z161" s="3038"/>
      <c r="AA161" s="3038"/>
      <c r="AB161" s="3038"/>
      <c r="AC161" s="3038"/>
      <c r="AD161" s="3038"/>
      <c r="AE161" s="3038"/>
      <c r="AF161" s="3038"/>
      <c r="AG161" s="3038"/>
      <c r="AH161" s="3038"/>
      <c r="AI161" s="3038"/>
      <c r="AJ161" s="2627"/>
      <c r="AK161" s="1984"/>
      <c r="AL161" s="2272"/>
      <c r="AQ161" s="1872"/>
      <c r="AR161" s="1872"/>
    </row>
    <row r="162" spans="1:44" ht="11.45" customHeight="1" x14ac:dyDescent="0.2">
      <c r="A162" s="2574"/>
      <c r="B162" s="2541"/>
      <c r="C162" s="2011"/>
      <c r="D162" s="3038"/>
      <c r="E162" s="3038"/>
      <c r="F162" s="3038"/>
      <c r="G162" s="3038"/>
      <c r="H162" s="3038"/>
      <c r="I162" s="3038"/>
      <c r="J162" s="3038"/>
      <c r="K162" s="3038"/>
      <c r="L162" s="3038"/>
      <c r="M162" s="3038"/>
      <c r="N162" s="3038"/>
      <c r="O162" s="3038"/>
      <c r="P162" s="3038"/>
      <c r="Q162" s="3038"/>
      <c r="R162" s="3038"/>
      <c r="S162" s="3038"/>
      <c r="T162" s="3038"/>
      <c r="U162" s="3038"/>
      <c r="V162" s="3038"/>
      <c r="W162" s="3038"/>
      <c r="X162" s="3038"/>
      <c r="Y162" s="3038"/>
      <c r="Z162" s="3038"/>
      <c r="AA162" s="3038"/>
      <c r="AB162" s="3038"/>
      <c r="AC162" s="3038"/>
      <c r="AD162" s="3038"/>
      <c r="AE162" s="3038"/>
      <c r="AF162" s="3038"/>
      <c r="AG162" s="3038"/>
      <c r="AH162" s="3038"/>
      <c r="AI162" s="3038"/>
      <c r="AJ162" s="2627"/>
      <c r="AK162" s="1984"/>
      <c r="AL162" s="2272"/>
      <c r="AQ162" s="1872"/>
      <c r="AR162" s="1872"/>
    </row>
    <row r="163" spans="1:44" ht="11.45" customHeight="1" x14ac:dyDescent="0.2">
      <c r="A163" s="2574"/>
      <c r="B163" s="2541"/>
      <c r="C163" s="2011"/>
      <c r="D163" s="3038"/>
      <c r="E163" s="3038"/>
      <c r="F163" s="3038"/>
      <c r="G163" s="3038"/>
      <c r="H163" s="3038"/>
      <c r="I163" s="3038"/>
      <c r="J163" s="3038"/>
      <c r="K163" s="3038"/>
      <c r="L163" s="3038"/>
      <c r="M163" s="3038"/>
      <c r="N163" s="3038"/>
      <c r="O163" s="3038"/>
      <c r="P163" s="3038"/>
      <c r="Q163" s="3038"/>
      <c r="R163" s="3038"/>
      <c r="S163" s="3038"/>
      <c r="T163" s="3038"/>
      <c r="U163" s="3038"/>
      <c r="V163" s="3038"/>
      <c r="W163" s="3038"/>
      <c r="X163" s="3038"/>
      <c r="Y163" s="3038"/>
      <c r="Z163" s="3038"/>
      <c r="AA163" s="3038"/>
      <c r="AB163" s="3038"/>
      <c r="AC163" s="3038"/>
      <c r="AD163" s="3038"/>
      <c r="AE163" s="3038"/>
      <c r="AF163" s="3038"/>
      <c r="AG163" s="3038"/>
      <c r="AH163" s="3038"/>
      <c r="AI163" s="3038"/>
      <c r="AJ163" s="2627"/>
      <c r="AK163" s="1984"/>
      <c r="AL163" s="2272"/>
      <c r="AQ163" s="1872"/>
      <c r="AR163" s="1872"/>
    </row>
    <row r="164" spans="1:44" ht="11.45" customHeight="1" x14ac:dyDescent="0.2">
      <c r="A164" s="2574"/>
      <c r="B164" s="2541"/>
      <c r="C164" s="2011"/>
      <c r="D164" s="3038"/>
      <c r="E164" s="3038"/>
      <c r="F164" s="3038"/>
      <c r="G164" s="3038"/>
      <c r="H164" s="3038"/>
      <c r="I164" s="3038"/>
      <c r="J164" s="3038"/>
      <c r="K164" s="3038"/>
      <c r="L164" s="3038"/>
      <c r="M164" s="3038"/>
      <c r="N164" s="3038"/>
      <c r="O164" s="3038"/>
      <c r="P164" s="3038"/>
      <c r="Q164" s="3038"/>
      <c r="R164" s="3038"/>
      <c r="S164" s="3038"/>
      <c r="T164" s="3038"/>
      <c r="U164" s="3038"/>
      <c r="V164" s="3038"/>
      <c r="W164" s="3038"/>
      <c r="X164" s="3038"/>
      <c r="Y164" s="3038"/>
      <c r="Z164" s="3038"/>
      <c r="AA164" s="3038"/>
      <c r="AB164" s="3038"/>
      <c r="AC164" s="3038"/>
      <c r="AD164" s="3038"/>
      <c r="AE164" s="3038"/>
      <c r="AF164" s="3038"/>
      <c r="AG164" s="3038"/>
      <c r="AH164" s="3038"/>
      <c r="AI164" s="3038"/>
      <c r="AJ164" s="2627"/>
      <c r="AK164" s="1984"/>
      <c r="AL164" s="2272"/>
      <c r="AQ164" s="1872"/>
      <c r="AR164" s="1872"/>
    </row>
    <row r="165" spans="1:44" ht="11.45" customHeight="1" x14ac:dyDescent="0.2">
      <c r="A165" s="2573"/>
      <c r="B165" s="2549"/>
      <c r="C165" s="2622"/>
      <c r="D165" s="3038"/>
      <c r="E165" s="3038"/>
      <c r="F165" s="3038"/>
      <c r="G165" s="3038"/>
      <c r="H165" s="3038"/>
      <c r="I165" s="3038"/>
      <c r="J165" s="3038"/>
      <c r="K165" s="3038"/>
      <c r="L165" s="3038"/>
      <c r="M165" s="3038"/>
      <c r="N165" s="3038"/>
      <c r="O165" s="3038"/>
      <c r="P165" s="3038"/>
      <c r="Q165" s="3038"/>
      <c r="R165" s="3038"/>
      <c r="S165" s="3038"/>
      <c r="T165" s="3038"/>
      <c r="U165" s="3038"/>
      <c r="V165" s="3038"/>
      <c r="W165" s="3038"/>
      <c r="X165" s="3038"/>
      <c r="Y165" s="3038"/>
      <c r="Z165" s="3038"/>
      <c r="AA165" s="3038"/>
      <c r="AB165" s="3038"/>
      <c r="AC165" s="3038"/>
      <c r="AD165" s="3038"/>
      <c r="AE165" s="3038"/>
      <c r="AF165" s="3038"/>
      <c r="AG165" s="3038"/>
      <c r="AH165" s="3038"/>
      <c r="AI165" s="3038"/>
      <c r="AJ165" s="2623"/>
      <c r="AK165" s="1486"/>
      <c r="AL165" s="1012"/>
      <c r="AQ165" s="1872"/>
      <c r="AR165" s="1872"/>
    </row>
    <row r="166" spans="1:44" ht="11.45" customHeight="1" x14ac:dyDescent="0.2">
      <c r="A166" s="2574"/>
      <c r="B166" s="2541"/>
      <c r="C166" s="2014"/>
      <c r="D166" s="3038"/>
      <c r="E166" s="3038"/>
      <c r="F166" s="3038"/>
      <c r="G166" s="3038"/>
      <c r="H166" s="3038"/>
      <c r="I166" s="3038"/>
      <c r="J166" s="3038"/>
      <c r="K166" s="3038"/>
      <c r="L166" s="3038"/>
      <c r="M166" s="3038"/>
      <c r="N166" s="3038"/>
      <c r="O166" s="3038"/>
      <c r="P166" s="3038"/>
      <c r="Q166" s="3038"/>
      <c r="R166" s="3038"/>
      <c r="S166" s="3038"/>
      <c r="T166" s="3038"/>
      <c r="U166" s="3038"/>
      <c r="V166" s="3038"/>
      <c r="W166" s="3038"/>
      <c r="X166" s="3038"/>
      <c r="Y166" s="3038"/>
      <c r="Z166" s="3038"/>
      <c r="AA166" s="3038"/>
      <c r="AB166" s="3038"/>
      <c r="AC166" s="3038"/>
      <c r="AD166" s="3038"/>
      <c r="AE166" s="3038"/>
      <c r="AF166" s="3038"/>
      <c r="AG166" s="3038"/>
      <c r="AH166" s="3038"/>
      <c r="AI166" s="3038"/>
      <c r="AJ166" s="2621"/>
      <c r="AK166" s="1984"/>
      <c r="AL166" s="2272"/>
      <c r="AQ166" s="1872"/>
      <c r="AR166" s="1872"/>
    </row>
    <row r="167" spans="1:44" ht="11.45" customHeight="1" x14ac:dyDescent="0.2">
      <c r="A167" s="2573"/>
      <c r="B167" s="2549"/>
      <c r="C167" s="2622"/>
      <c r="D167" s="3038"/>
      <c r="E167" s="3038"/>
      <c r="F167" s="3038"/>
      <c r="G167" s="3038"/>
      <c r="H167" s="3038"/>
      <c r="I167" s="3038"/>
      <c r="J167" s="3038"/>
      <c r="K167" s="3038"/>
      <c r="L167" s="3038"/>
      <c r="M167" s="3038"/>
      <c r="N167" s="3038"/>
      <c r="O167" s="3038"/>
      <c r="P167" s="3038"/>
      <c r="Q167" s="3038"/>
      <c r="R167" s="3038"/>
      <c r="S167" s="3038"/>
      <c r="T167" s="3038"/>
      <c r="U167" s="3038"/>
      <c r="V167" s="3038"/>
      <c r="W167" s="3038"/>
      <c r="X167" s="3038"/>
      <c r="Y167" s="3038"/>
      <c r="Z167" s="3038"/>
      <c r="AA167" s="3038"/>
      <c r="AB167" s="3038"/>
      <c r="AC167" s="3038"/>
      <c r="AD167" s="3038"/>
      <c r="AE167" s="3038"/>
      <c r="AF167" s="3038"/>
      <c r="AG167" s="3038"/>
      <c r="AH167" s="3038"/>
      <c r="AI167" s="3038"/>
      <c r="AJ167" s="2623"/>
      <c r="AK167" s="1486"/>
      <c r="AL167" s="1012"/>
      <c r="AQ167" s="1872"/>
      <c r="AR167" s="1872"/>
    </row>
    <row r="168" spans="1:44" ht="11.45" customHeight="1" x14ac:dyDescent="0.2">
      <c r="A168" s="2574"/>
      <c r="B168" s="2541"/>
      <c r="C168" s="2014"/>
      <c r="D168" s="3038"/>
      <c r="E168" s="3038"/>
      <c r="F168" s="3038"/>
      <c r="G168" s="3038"/>
      <c r="H168" s="3038"/>
      <c r="I168" s="3038"/>
      <c r="J168" s="3038"/>
      <c r="K168" s="3038"/>
      <c r="L168" s="3038"/>
      <c r="M168" s="3038"/>
      <c r="N168" s="3038"/>
      <c r="O168" s="3038"/>
      <c r="P168" s="3038"/>
      <c r="Q168" s="3038"/>
      <c r="R168" s="3038"/>
      <c r="S168" s="3038"/>
      <c r="T168" s="3038"/>
      <c r="U168" s="3038"/>
      <c r="V168" s="3038"/>
      <c r="W168" s="3038"/>
      <c r="X168" s="3038"/>
      <c r="Y168" s="3038"/>
      <c r="Z168" s="3038"/>
      <c r="AA168" s="3038"/>
      <c r="AB168" s="3038"/>
      <c r="AC168" s="3038"/>
      <c r="AD168" s="3038"/>
      <c r="AE168" s="3038"/>
      <c r="AF168" s="3038"/>
      <c r="AG168" s="3038"/>
      <c r="AH168" s="3038"/>
      <c r="AI168" s="3038"/>
      <c r="AJ168" s="2621"/>
      <c r="AK168" s="1984"/>
      <c r="AL168" s="2272"/>
      <c r="AQ168" s="1872"/>
      <c r="AR168" s="1872"/>
    </row>
    <row r="169" spans="1:44" ht="11.45" customHeight="1" x14ac:dyDescent="0.2">
      <c r="A169" s="2573"/>
      <c r="B169" s="2549"/>
      <c r="C169" s="2622"/>
      <c r="D169" s="3038"/>
      <c r="E169" s="3038"/>
      <c r="F169" s="3038"/>
      <c r="G169" s="3038"/>
      <c r="H169" s="3038"/>
      <c r="I169" s="3038"/>
      <c r="J169" s="3038"/>
      <c r="K169" s="3038"/>
      <c r="L169" s="3038"/>
      <c r="M169" s="3038"/>
      <c r="N169" s="3038"/>
      <c r="O169" s="3038"/>
      <c r="P169" s="3038"/>
      <c r="Q169" s="3038"/>
      <c r="R169" s="3038"/>
      <c r="S169" s="3038"/>
      <c r="T169" s="3038"/>
      <c r="U169" s="3038"/>
      <c r="V169" s="3038"/>
      <c r="W169" s="3038"/>
      <c r="X169" s="3038"/>
      <c r="Y169" s="3038"/>
      <c r="Z169" s="3038"/>
      <c r="AA169" s="3038"/>
      <c r="AB169" s="3038"/>
      <c r="AC169" s="3038"/>
      <c r="AD169" s="3038"/>
      <c r="AE169" s="3038"/>
      <c r="AF169" s="3038"/>
      <c r="AG169" s="3038"/>
      <c r="AH169" s="3038"/>
      <c r="AI169" s="3038"/>
      <c r="AJ169" s="2623"/>
      <c r="AK169" s="1486"/>
      <c r="AL169" s="1012"/>
      <c r="AQ169" s="1872"/>
      <c r="AR169" s="1872"/>
    </row>
    <row r="170" spans="1:44" ht="11.45" customHeight="1" x14ac:dyDescent="0.2">
      <c r="A170" s="2574"/>
      <c r="B170" s="2541"/>
      <c r="C170" s="2014"/>
      <c r="D170" s="3038"/>
      <c r="E170" s="3038"/>
      <c r="F170" s="3038"/>
      <c r="G170" s="3038"/>
      <c r="H170" s="3038"/>
      <c r="I170" s="3038"/>
      <c r="J170" s="3038"/>
      <c r="K170" s="3038"/>
      <c r="L170" s="3038"/>
      <c r="M170" s="3038"/>
      <c r="N170" s="3038"/>
      <c r="O170" s="3038"/>
      <c r="P170" s="3038"/>
      <c r="Q170" s="3038"/>
      <c r="R170" s="3038"/>
      <c r="S170" s="3038"/>
      <c r="T170" s="3038"/>
      <c r="U170" s="3038"/>
      <c r="V170" s="3038"/>
      <c r="W170" s="3038"/>
      <c r="X170" s="3038"/>
      <c r="Y170" s="3038"/>
      <c r="Z170" s="3038"/>
      <c r="AA170" s="3038"/>
      <c r="AB170" s="3038"/>
      <c r="AC170" s="3038"/>
      <c r="AD170" s="3038"/>
      <c r="AE170" s="3038"/>
      <c r="AF170" s="3038"/>
      <c r="AG170" s="3038"/>
      <c r="AH170" s="3038"/>
      <c r="AI170" s="3038"/>
      <c r="AJ170" s="2627"/>
      <c r="AK170" s="1984"/>
      <c r="AL170" s="2272"/>
      <c r="AQ170" s="1872"/>
      <c r="AR170" s="1872"/>
    </row>
    <row r="171" spans="1:44" ht="11.45" customHeight="1" x14ac:dyDescent="0.2">
      <c r="A171" s="2573"/>
      <c r="B171" s="2549"/>
      <c r="C171" s="2622"/>
      <c r="D171" s="3038"/>
      <c r="E171" s="3038"/>
      <c r="F171" s="3038"/>
      <c r="G171" s="3038"/>
      <c r="H171" s="3038"/>
      <c r="I171" s="3038"/>
      <c r="J171" s="3038"/>
      <c r="K171" s="3038"/>
      <c r="L171" s="3038"/>
      <c r="M171" s="3038"/>
      <c r="N171" s="3038"/>
      <c r="O171" s="3038"/>
      <c r="P171" s="3038"/>
      <c r="Q171" s="3038"/>
      <c r="R171" s="3038"/>
      <c r="S171" s="3038"/>
      <c r="T171" s="3038"/>
      <c r="U171" s="3038"/>
      <c r="V171" s="3038"/>
      <c r="W171" s="3038"/>
      <c r="X171" s="3038"/>
      <c r="Y171" s="3038"/>
      <c r="Z171" s="3038"/>
      <c r="AA171" s="3038"/>
      <c r="AB171" s="3038"/>
      <c r="AC171" s="3038"/>
      <c r="AD171" s="3038"/>
      <c r="AE171" s="3038"/>
      <c r="AF171" s="3038"/>
      <c r="AG171" s="3038"/>
      <c r="AH171" s="3038"/>
      <c r="AI171" s="3038"/>
      <c r="AJ171" s="2623"/>
      <c r="AK171" s="1486"/>
      <c r="AL171" s="1012"/>
      <c r="AQ171" s="1872"/>
      <c r="AR171" s="1872"/>
    </row>
    <row r="172" spans="1:44" ht="11.45" customHeight="1" x14ac:dyDescent="0.2">
      <c r="A172" s="2574"/>
      <c r="B172" s="2541"/>
      <c r="C172" s="2014"/>
      <c r="D172" s="3038"/>
      <c r="E172" s="3038"/>
      <c r="F172" s="3038"/>
      <c r="G172" s="3038"/>
      <c r="H172" s="3038"/>
      <c r="I172" s="3038"/>
      <c r="J172" s="3038"/>
      <c r="K172" s="3038"/>
      <c r="L172" s="3038"/>
      <c r="M172" s="3038"/>
      <c r="N172" s="3038"/>
      <c r="O172" s="3038"/>
      <c r="P172" s="3038"/>
      <c r="Q172" s="3038"/>
      <c r="R172" s="3038"/>
      <c r="S172" s="3038"/>
      <c r="T172" s="3038"/>
      <c r="U172" s="3038"/>
      <c r="V172" s="3038"/>
      <c r="W172" s="3038"/>
      <c r="X172" s="3038"/>
      <c r="Y172" s="3038"/>
      <c r="Z172" s="3038"/>
      <c r="AA172" s="3038"/>
      <c r="AB172" s="3038"/>
      <c r="AC172" s="3038"/>
      <c r="AD172" s="3038"/>
      <c r="AE172" s="3038"/>
      <c r="AF172" s="3038"/>
      <c r="AG172" s="3038"/>
      <c r="AH172" s="3038"/>
      <c r="AI172" s="3038"/>
      <c r="AJ172" s="2627"/>
      <c r="AK172" s="1984"/>
      <c r="AL172" s="2272"/>
      <c r="AQ172" s="1872"/>
      <c r="AR172" s="1872"/>
    </row>
    <row r="173" spans="1:44" ht="11.45" customHeight="1" x14ac:dyDescent="0.2">
      <c r="A173" s="2573"/>
      <c r="B173" s="2549"/>
      <c r="C173" s="2622"/>
      <c r="D173" s="3038"/>
      <c r="E173" s="3038"/>
      <c r="F173" s="3038"/>
      <c r="G173" s="3038"/>
      <c r="H173" s="3038"/>
      <c r="I173" s="3038"/>
      <c r="J173" s="3038"/>
      <c r="K173" s="3038"/>
      <c r="L173" s="3038"/>
      <c r="M173" s="3038"/>
      <c r="N173" s="3038"/>
      <c r="O173" s="3038"/>
      <c r="P173" s="3038"/>
      <c r="Q173" s="3038"/>
      <c r="R173" s="3038"/>
      <c r="S173" s="3038"/>
      <c r="T173" s="3038"/>
      <c r="U173" s="3038"/>
      <c r="V173" s="3038"/>
      <c r="W173" s="3038"/>
      <c r="X173" s="3038"/>
      <c r="Y173" s="3038"/>
      <c r="Z173" s="3038"/>
      <c r="AA173" s="3038"/>
      <c r="AB173" s="3038"/>
      <c r="AC173" s="3038"/>
      <c r="AD173" s="3038"/>
      <c r="AE173" s="3038"/>
      <c r="AF173" s="3038"/>
      <c r="AG173" s="3038"/>
      <c r="AH173" s="3038"/>
      <c r="AI173" s="3038"/>
      <c r="AJ173" s="2623"/>
      <c r="AK173" s="1486"/>
      <c r="AL173" s="1012"/>
      <c r="AQ173" s="1872"/>
      <c r="AR173" s="1872"/>
    </row>
    <row r="174" spans="1:44" ht="11.45" customHeight="1" x14ac:dyDescent="0.2">
      <c r="A174" s="2574"/>
      <c r="B174" s="2541"/>
      <c r="C174" s="2000"/>
      <c r="D174" s="3038"/>
      <c r="E174" s="3038"/>
      <c r="F174" s="3038"/>
      <c r="G174" s="3038"/>
      <c r="H174" s="3038"/>
      <c r="I174" s="3038"/>
      <c r="J174" s="3038"/>
      <c r="K174" s="3038"/>
      <c r="L174" s="3038"/>
      <c r="M174" s="3038"/>
      <c r="N174" s="3038"/>
      <c r="O174" s="3038"/>
      <c r="P174" s="3038"/>
      <c r="Q174" s="3038"/>
      <c r="R174" s="3038"/>
      <c r="S174" s="3038"/>
      <c r="T174" s="3038"/>
      <c r="U174" s="3038"/>
      <c r="V174" s="3038"/>
      <c r="W174" s="3038"/>
      <c r="X174" s="3038"/>
      <c r="Y174" s="3038"/>
      <c r="Z174" s="3038"/>
      <c r="AA174" s="3038"/>
      <c r="AB174" s="3038"/>
      <c r="AC174" s="3038"/>
      <c r="AD174" s="3038"/>
      <c r="AE174" s="3038"/>
      <c r="AF174" s="3038"/>
      <c r="AG174" s="3038"/>
      <c r="AH174" s="3038"/>
      <c r="AI174" s="3038"/>
      <c r="AJ174" s="2624"/>
      <c r="AK174" s="1984"/>
      <c r="AL174" s="2272"/>
      <c r="AQ174" s="1872"/>
      <c r="AR174" s="1872"/>
    </row>
    <row r="175" spans="1:44" ht="11.45" customHeight="1" x14ac:dyDescent="0.2">
      <c r="A175" s="2574"/>
      <c r="B175" s="2541"/>
      <c r="C175" s="2000"/>
      <c r="D175" s="3038"/>
      <c r="E175" s="3038"/>
      <c r="F175" s="3038"/>
      <c r="G175" s="3038"/>
      <c r="H175" s="3038"/>
      <c r="I175" s="3038"/>
      <c r="J175" s="3038"/>
      <c r="K175" s="3038"/>
      <c r="L175" s="3038"/>
      <c r="M175" s="3038"/>
      <c r="N175" s="3038"/>
      <c r="O175" s="3038"/>
      <c r="P175" s="3038"/>
      <c r="Q175" s="3038"/>
      <c r="R175" s="3038"/>
      <c r="S175" s="3038"/>
      <c r="T175" s="3038"/>
      <c r="U175" s="3038"/>
      <c r="V175" s="3038"/>
      <c r="W175" s="3038"/>
      <c r="X175" s="3038"/>
      <c r="Y175" s="3038"/>
      <c r="Z175" s="3038"/>
      <c r="AA175" s="3038"/>
      <c r="AB175" s="3038"/>
      <c r="AC175" s="3038"/>
      <c r="AD175" s="3038"/>
      <c r="AE175" s="3038"/>
      <c r="AF175" s="3038"/>
      <c r="AG175" s="3038"/>
      <c r="AH175" s="3038"/>
      <c r="AI175" s="3038"/>
      <c r="AJ175" s="2627"/>
      <c r="AK175" s="1984"/>
      <c r="AL175" s="2272"/>
      <c r="AQ175" s="1872"/>
      <c r="AR175" s="1872"/>
    </row>
    <row r="176" spans="1:44" ht="11.45" customHeight="1" x14ac:dyDescent="0.2">
      <c r="A176" s="2574"/>
      <c r="B176" s="2541"/>
      <c r="C176" s="2000"/>
      <c r="D176" s="3038"/>
      <c r="E176" s="3038"/>
      <c r="F176" s="3038"/>
      <c r="G176" s="3038"/>
      <c r="H176" s="3038"/>
      <c r="I176" s="3038"/>
      <c r="J176" s="3038"/>
      <c r="K176" s="3038"/>
      <c r="L176" s="3038"/>
      <c r="M176" s="3038"/>
      <c r="N176" s="3038"/>
      <c r="O176" s="3038"/>
      <c r="P176" s="3038"/>
      <c r="Q176" s="3038"/>
      <c r="R176" s="3038"/>
      <c r="S176" s="3038"/>
      <c r="T176" s="3038"/>
      <c r="U176" s="3038"/>
      <c r="V176" s="3038"/>
      <c r="W176" s="3038"/>
      <c r="X176" s="3038"/>
      <c r="Y176" s="3038"/>
      <c r="Z176" s="3038"/>
      <c r="AA176" s="3038"/>
      <c r="AB176" s="3038"/>
      <c r="AC176" s="3038"/>
      <c r="AD176" s="3038"/>
      <c r="AE176" s="3038"/>
      <c r="AF176" s="3038"/>
      <c r="AG176" s="3038"/>
      <c r="AH176" s="3038"/>
      <c r="AI176" s="3038"/>
      <c r="AJ176" s="2621"/>
      <c r="AK176" s="1984"/>
      <c r="AL176" s="2272"/>
      <c r="AQ176" s="1872"/>
      <c r="AR176" s="1872"/>
    </row>
    <row r="177" spans="1:44" ht="11.45" customHeight="1" x14ac:dyDescent="0.2">
      <c r="A177" s="2574"/>
      <c r="B177" s="2541"/>
      <c r="C177" s="2000"/>
      <c r="D177" s="3038"/>
      <c r="E177" s="3038"/>
      <c r="F177" s="3038"/>
      <c r="G177" s="3038"/>
      <c r="H177" s="3038"/>
      <c r="I177" s="3038"/>
      <c r="J177" s="3038"/>
      <c r="K177" s="3038"/>
      <c r="L177" s="3038"/>
      <c r="M177" s="3038"/>
      <c r="N177" s="3038"/>
      <c r="O177" s="3038"/>
      <c r="P177" s="3038"/>
      <c r="Q177" s="3038"/>
      <c r="R177" s="3038"/>
      <c r="S177" s="3038"/>
      <c r="T177" s="3038"/>
      <c r="U177" s="3038"/>
      <c r="V177" s="3038"/>
      <c r="W177" s="3038"/>
      <c r="X177" s="3038"/>
      <c r="Y177" s="3038"/>
      <c r="Z177" s="3038"/>
      <c r="AA177" s="3038"/>
      <c r="AB177" s="3038"/>
      <c r="AC177" s="3038"/>
      <c r="AD177" s="3038"/>
      <c r="AE177" s="3038"/>
      <c r="AF177" s="3038"/>
      <c r="AG177" s="3038"/>
      <c r="AH177" s="3038"/>
      <c r="AI177" s="3038"/>
      <c r="AJ177" s="2621"/>
      <c r="AK177" s="1984"/>
      <c r="AL177" s="2272"/>
      <c r="AQ177" s="1872"/>
      <c r="AR177" s="1872"/>
    </row>
    <row r="178" spans="1:44" ht="11.45" customHeight="1" x14ac:dyDescent="0.2">
      <c r="A178" s="2573"/>
      <c r="B178" s="2549"/>
      <c r="C178" s="2622"/>
      <c r="D178" s="3038"/>
      <c r="E178" s="3038"/>
      <c r="F178" s="3038"/>
      <c r="G178" s="3038"/>
      <c r="H178" s="3038"/>
      <c r="I178" s="3038"/>
      <c r="J178" s="3038"/>
      <c r="K178" s="3038"/>
      <c r="L178" s="3038"/>
      <c r="M178" s="3038"/>
      <c r="N178" s="3038"/>
      <c r="O178" s="3038"/>
      <c r="P178" s="3038"/>
      <c r="Q178" s="3038"/>
      <c r="R178" s="3038"/>
      <c r="S178" s="3038"/>
      <c r="T178" s="3038"/>
      <c r="U178" s="3038"/>
      <c r="V178" s="3038"/>
      <c r="W178" s="3038"/>
      <c r="X178" s="3038"/>
      <c r="Y178" s="3038"/>
      <c r="Z178" s="3038"/>
      <c r="AA178" s="3038"/>
      <c r="AB178" s="3038"/>
      <c r="AC178" s="3038"/>
      <c r="AD178" s="3038"/>
      <c r="AE178" s="3038"/>
      <c r="AF178" s="3038"/>
      <c r="AG178" s="3038"/>
      <c r="AH178" s="3038"/>
      <c r="AI178" s="3038"/>
      <c r="AJ178" s="2623"/>
      <c r="AK178" s="1486"/>
      <c r="AL178" s="1012"/>
      <c r="AQ178" s="1872"/>
      <c r="AR178" s="1872"/>
    </row>
    <row r="179" spans="1:44" ht="11.45" customHeight="1" x14ac:dyDescent="0.2">
      <c r="A179" s="2574"/>
      <c r="B179" s="2541"/>
      <c r="C179" s="2000"/>
      <c r="D179" s="3038"/>
      <c r="E179" s="3038"/>
      <c r="F179" s="3038"/>
      <c r="G179" s="3038"/>
      <c r="H179" s="3038"/>
      <c r="I179" s="3038"/>
      <c r="J179" s="3038"/>
      <c r="K179" s="3038"/>
      <c r="L179" s="3038"/>
      <c r="M179" s="3038"/>
      <c r="N179" s="3038"/>
      <c r="O179" s="3038"/>
      <c r="P179" s="3038"/>
      <c r="Q179" s="3038"/>
      <c r="R179" s="3038"/>
      <c r="S179" s="3038"/>
      <c r="T179" s="3038"/>
      <c r="U179" s="3038"/>
      <c r="V179" s="3038"/>
      <c r="W179" s="3038"/>
      <c r="X179" s="3038"/>
      <c r="Y179" s="3038"/>
      <c r="Z179" s="3038"/>
      <c r="AA179" s="3038"/>
      <c r="AB179" s="3038"/>
      <c r="AC179" s="3038"/>
      <c r="AD179" s="3038"/>
      <c r="AE179" s="3038"/>
      <c r="AF179" s="3038"/>
      <c r="AG179" s="3038"/>
      <c r="AH179" s="3038"/>
      <c r="AI179" s="3038"/>
      <c r="AJ179" s="2627"/>
      <c r="AK179" s="1984"/>
      <c r="AL179" s="2272"/>
      <c r="AQ179" s="1872"/>
      <c r="AR179" s="1872"/>
    </row>
    <row r="180" spans="1:44" ht="11.45" customHeight="1" x14ac:dyDescent="0.2">
      <c r="A180" s="2574"/>
      <c r="B180" s="2541"/>
      <c r="C180" s="2000"/>
      <c r="D180" s="3038"/>
      <c r="E180" s="3038"/>
      <c r="F180" s="3038"/>
      <c r="G180" s="3038"/>
      <c r="H180" s="3038"/>
      <c r="I180" s="3038"/>
      <c r="J180" s="3038"/>
      <c r="K180" s="3038"/>
      <c r="L180" s="3038"/>
      <c r="M180" s="3038"/>
      <c r="N180" s="3038"/>
      <c r="O180" s="3038"/>
      <c r="P180" s="3038"/>
      <c r="Q180" s="3038"/>
      <c r="R180" s="3038"/>
      <c r="S180" s="3038"/>
      <c r="T180" s="3038"/>
      <c r="U180" s="3038"/>
      <c r="V180" s="3038"/>
      <c r="W180" s="3038"/>
      <c r="X180" s="3038"/>
      <c r="Y180" s="3038"/>
      <c r="Z180" s="3038"/>
      <c r="AA180" s="3038"/>
      <c r="AB180" s="3038"/>
      <c r="AC180" s="3038"/>
      <c r="AD180" s="3038"/>
      <c r="AE180" s="3038"/>
      <c r="AF180" s="3038"/>
      <c r="AG180" s="3038"/>
      <c r="AH180" s="3038"/>
      <c r="AI180" s="3038"/>
      <c r="AJ180" s="2627"/>
      <c r="AK180" s="1984"/>
      <c r="AL180" s="2272"/>
      <c r="AQ180" s="1872"/>
      <c r="AR180" s="1872"/>
    </row>
    <row r="181" spans="1:44" ht="11.45" customHeight="1" x14ac:dyDescent="0.2">
      <c r="A181" s="2573"/>
      <c r="B181" s="2549"/>
      <c r="C181" s="2622"/>
      <c r="D181" s="3038"/>
      <c r="E181" s="3038"/>
      <c r="F181" s="3038"/>
      <c r="G181" s="3038"/>
      <c r="H181" s="3038"/>
      <c r="I181" s="3038"/>
      <c r="J181" s="3038"/>
      <c r="K181" s="3038"/>
      <c r="L181" s="3038"/>
      <c r="M181" s="3038"/>
      <c r="N181" s="3038"/>
      <c r="O181" s="3038"/>
      <c r="P181" s="3038"/>
      <c r="Q181" s="3038"/>
      <c r="R181" s="3038"/>
      <c r="S181" s="3038"/>
      <c r="T181" s="3038"/>
      <c r="U181" s="3038"/>
      <c r="V181" s="3038"/>
      <c r="W181" s="3038"/>
      <c r="X181" s="3038"/>
      <c r="Y181" s="3038"/>
      <c r="Z181" s="3038"/>
      <c r="AA181" s="3038"/>
      <c r="AB181" s="3038"/>
      <c r="AC181" s="3038"/>
      <c r="AD181" s="3038"/>
      <c r="AE181" s="3038"/>
      <c r="AF181" s="3038"/>
      <c r="AG181" s="3038"/>
      <c r="AH181" s="3038"/>
      <c r="AI181" s="3038"/>
      <c r="AJ181" s="2623"/>
      <c r="AK181" s="1486"/>
      <c r="AL181" s="1012"/>
      <c r="AQ181" s="1872"/>
      <c r="AR181" s="1872"/>
    </row>
    <row r="182" spans="1:44" ht="11.45" customHeight="1" x14ac:dyDescent="0.2">
      <c r="A182" s="2574"/>
      <c r="B182" s="2541"/>
      <c r="C182" s="2000"/>
      <c r="D182" s="3038"/>
      <c r="E182" s="3038"/>
      <c r="F182" s="3038"/>
      <c r="G182" s="3038"/>
      <c r="H182" s="3038"/>
      <c r="I182" s="3038"/>
      <c r="J182" s="3038"/>
      <c r="K182" s="3038"/>
      <c r="L182" s="3038"/>
      <c r="M182" s="3038"/>
      <c r="N182" s="3038"/>
      <c r="O182" s="3038"/>
      <c r="P182" s="3038"/>
      <c r="Q182" s="3038"/>
      <c r="R182" s="3038"/>
      <c r="S182" s="3038"/>
      <c r="T182" s="3038"/>
      <c r="U182" s="3038"/>
      <c r="V182" s="3038"/>
      <c r="W182" s="3038"/>
      <c r="X182" s="3038"/>
      <c r="Y182" s="3038"/>
      <c r="Z182" s="3038"/>
      <c r="AA182" s="3038"/>
      <c r="AB182" s="3038"/>
      <c r="AC182" s="3038"/>
      <c r="AD182" s="3038"/>
      <c r="AE182" s="3038"/>
      <c r="AF182" s="3038"/>
      <c r="AG182" s="3038"/>
      <c r="AH182" s="3038"/>
      <c r="AI182" s="3038"/>
      <c r="AJ182" s="2627"/>
      <c r="AK182" s="1984"/>
      <c r="AL182" s="2272"/>
      <c r="AQ182" s="1872"/>
      <c r="AR182" s="1872"/>
    </row>
    <row r="183" spans="1:44" ht="11.45" customHeight="1" x14ac:dyDescent="0.2">
      <c r="A183" s="2573"/>
      <c r="B183" s="2549"/>
      <c r="C183" s="2622"/>
      <c r="D183" s="3038"/>
      <c r="E183" s="3038"/>
      <c r="F183" s="3038"/>
      <c r="G183" s="3038"/>
      <c r="H183" s="3038"/>
      <c r="I183" s="3038"/>
      <c r="J183" s="3038"/>
      <c r="K183" s="3038"/>
      <c r="L183" s="3038"/>
      <c r="M183" s="3038"/>
      <c r="N183" s="3038"/>
      <c r="O183" s="3038"/>
      <c r="P183" s="3038"/>
      <c r="Q183" s="3038"/>
      <c r="R183" s="3038"/>
      <c r="S183" s="3038"/>
      <c r="T183" s="3038"/>
      <c r="U183" s="3038"/>
      <c r="V183" s="3038"/>
      <c r="W183" s="3038"/>
      <c r="X183" s="3038"/>
      <c r="Y183" s="3038"/>
      <c r="Z183" s="3038"/>
      <c r="AA183" s="3038"/>
      <c r="AB183" s="3038"/>
      <c r="AC183" s="3038"/>
      <c r="AD183" s="3038"/>
      <c r="AE183" s="3038"/>
      <c r="AF183" s="3038"/>
      <c r="AG183" s="3038"/>
      <c r="AH183" s="3038"/>
      <c r="AI183" s="3038"/>
      <c r="AJ183" s="2623"/>
      <c r="AK183" s="1486"/>
      <c r="AL183" s="1012"/>
      <c r="AQ183" s="1872"/>
      <c r="AR183" s="1872"/>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1872"/>
      <c r="AR184" s="1872"/>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1872"/>
      <c r="AR185" s="1872"/>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8.4.1</v>
      </c>
      <c r="AL186" s="2272"/>
      <c r="AQ186" s="1872"/>
      <c r="AR186" s="1872"/>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1872"/>
      <c r="AR187" s="1872"/>
    </row>
  </sheetData>
  <sheetProtection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354"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08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88" t="s">
        <v>8943</v>
      </c>
    </row>
    <row r="2" spans="1:41" s="680" customFormat="1" ht="12" customHeight="1" thickBot="1" x14ac:dyDescent="0.25">
      <c r="A2" s="3081"/>
      <c r="B2" s="675" t="s">
        <v>6671</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889"/>
    </row>
    <row r="3" spans="1:41" ht="12" customHeight="1" thickBot="1" x14ac:dyDescent="0.25">
      <c r="A3" s="3081"/>
      <c r="B3" s="670"/>
      <c r="C3" s="5"/>
      <c r="D3" s="5"/>
      <c r="E3" s="5"/>
      <c r="F3" s="1985"/>
      <c r="G3" s="5"/>
      <c r="H3" s="5"/>
      <c r="I3" s="5"/>
      <c r="J3" s="5"/>
      <c r="K3" s="5"/>
      <c r="L3" s="5"/>
      <c r="T3" s="671"/>
      <c r="U3" s="3"/>
      <c r="V3" s="4"/>
      <c r="W3" s="6"/>
      <c r="X3" s="3187"/>
      <c r="Y3" s="3187"/>
      <c r="Z3" s="3187"/>
      <c r="AA3" s="3187"/>
      <c r="AB3" s="3187"/>
      <c r="AC3" s="3187"/>
      <c r="AD3" s="7"/>
      <c r="AE3" s="2468"/>
      <c r="AF3" s="2468"/>
      <c r="AG3" s="2468"/>
      <c r="AH3" s="2468"/>
      <c r="AI3" s="2468"/>
      <c r="AJ3" s="2468"/>
      <c r="AK3" s="2468"/>
      <c r="AL3" s="8"/>
      <c r="AM3" s="9"/>
      <c r="AN3" s="4"/>
      <c r="AO3" s="2889"/>
    </row>
    <row r="4" spans="1:41" ht="12" customHeight="1" thickBot="1" x14ac:dyDescent="0.25">
      <c r="A4" s="3081"/>
      <c r="B4" s="670"/>
      <c r="L4" s="1761"/>
      <c r="M4" s="3108" t="s">
        <v>8922</v>
      </c>
      <c r="N4" s="3109"/>
      <c r="O4" s="3109"/>
      <c r="P4" s="3109"/>
      <c r="Q4" s="3109"/>
      <c r="R4" s="3109"/>
      <c r="S4" s="3110"/>
      <c r="T4" s="671"/>
      <c r="U4" s="3"/>
      <c r="V4" s="4"/>
      <c r="W4" s="6"/>
      <c r="X4" s="3187"/>
      <c r="Y4" s="3187"/>
      <c r="Z4" s="3187"/>
      <c r="AA4" s="3187"/>
      <c r="AB4" s="3187"/>
      <c r="AC4" s="3187"/>
      <c r="AD4" s="10"/>
      <c r="AE4" s="3188" t="s">
        <v>1326</v>
      </c>
      <c r="AF4" s="3188"/>
      <c r="AG4" s="3189" t="str">
        <f>IF(OR(General!$F$22="",General!$F$22=0),"",General!$F$22)</f>
        <v/>
      </c>
      <c r="AH4" s="3189"/>
      <c r="AI4" s="3189"/>
      <c r="AJ4" s="3189"/>
      <c r="AK4" s="3189"/>
      <c r="AL4" s="11"/>
      <c r="AM4" s="9"/>
      <c r="AN4" s="4"/>
      <c r="AO4" s="2889"/>
    </row>
    <row r="5" spans="1:41" ht="12" customHeight="1" thickBot="1" x14ac:dyDescent="0.25">
      <c r="A5" s="3081"/>
      <c r="B5" s="670"/>
      <c r="L5" s="1761"/>
      <c r="M5" s="3111"/>
      <c r="N5" s="3112"/>
      <c r="O5" s="3112"/>
      <c r="P5" s="3112"/>
      <c r="Q5" s="3112"/>
      <c r="R5" s="3112"/>
      <c r="S5" s="3113"/>
      <c r="T5" s="671"/>
      <c r="U5" s="3"/>
      <c r="V5" s="4"/>
      <c r="W5" s="6"/>
      <c r="X5" s="3187"/>
      <c r="Y5" s="3187"/>
      <c r="Z5" s="3187"/>
      <c r="AA5" s="3187"/>
      <c r="AB5" s="3187"/>
      <c r="AC5" s="3187"/>
      <c r="AD5" s="10"/>
      <c r="AE5" s="3181" t="s">
        <v>1327</v>
      </c>
      <c r="AF5" s="3181"/>
      <c r="AG5" s="3002" t="str">
        <f>Principal!$K$5</f>
        <v/>
      </c>
      <c r="AH5" s="3002"/>
      <c r="AI5" s="3002"/>
      <c r="AJ5" s="2467" t="s">
        <v>1328</v>
      </c>
      <c r="AK5" s="2455" t="str">
        <f>Principal!$O$6</f>
        <v>0</v>
      </c>
      <c r="AL5" s="12"/>
      <c r="AM5" s="9"/>
      <c r="AN5" s="4"/>
      <c r="AO5" s="2889"/>
    </row>
    <row r="6" spans="1:41" ht="12" customHeight="1" thickBot="1" x14ac:dyDescent="0.25">
      <c r="A6" s="3081"/>
      <c r="B6" s="670"/>
      <c r="C6" s="1762"/>
      <c r="D6" s="1763"/>
      <c r="E6" s="1763"/>
      <c r="F6" s="1763"/>
      <c r="G6" s="1763"/>
      <c r="H6" s="1763"/>
      <c r="I6" s="1763"/>
      <c r="J6" s="1763"/>
      <c r="K6" s="1764"/>
      <c r="L6" s="1761"/>
      <c r="M6" s="3111"/>
      <c r="N6" s="3112"/>
      <c r="O6" s="3112"/>
      <c r="P6" s="3112"/>
      <c r="Q6" s="3112"/>
      <c r="R6" s="3112"/>
      <c r="S6" s="3113"/>
      <c r="T6" s="671"/>
      <c r="U6" s="3"/>
      <c r="V6" s="4"/>
      <c r="W6" s="6"/>
      <c r="X6" s="3187"/>
      <c r="Y6" s="3187"/>
      <c r="Z6" s="3187"/>
      <c r="AA6" s="3187"/>
      <c r="AB6" s="3187"/>
      <c r="AC6" s="3187"/>
      <c r="AD6" s="10"/>
      <c r="AE6" s="3182" t="s">
        <v>1329</v>
      </c>
      <c r="AF6" s="3182"/>
      <c r="AG6" s="3182"/>
      <c r="AH6" s="3182"/>
      <c r="AI6" s="3182"/>
      <c r="AJ6" s="3182"/>
      <c r="AK6" s="3182"/>
      <c r="AL6" s="12"/>
      <c r="AM6" s="9"/>
      <c r="AN6" s="4"/>
      <c r="AO6" s="2889"/>
    </row>
    <row r="7" spans="1:41" ht="12" customHeight="1" thickBot="1" x14ac:dyDescent="0.25">
      <c r="A7" s="3081"/>
      <c r="B7" s="670"/>
      <c r="C7" s="1765"/>
      <c r="D7" s="741"/>
      <c r="E7" s="741"/>
      <c r="F7" s="741"/>
      <c r="G7" s="741"/>
      <c r="H7" s="741"/>
      <c r="I7" s="741"/>
      <c r="J7" s="741"/>
      <c r="K7" s="1766"/>
      <c r="L7" s="1761"/>
      <c r="M7" s="3111"/>
      <c r="N7" s="3112"/>
      <c r="O7" s="3112"/>
      <c r="P7" s="3112"/>
      <c r="Q7" s="3112"/>
      <c r="R7" s="3112"/>
      <c r="S7" s="3113"/>
      <c r="T7" s="671"/>
      <c r="U7" s="3"/>
      <c r="V7" s="4"/>
      <c r="W7" s="6"/>
      <c r="X7" s="3187"/>
      <c r="Y7" s="3187"/>
      <c r="Z7" s="3187"/>
      <c r="AA7" s="3187"/>
      <c r="AB7" s="3187"/>
      <c r="AC7" s="3187"/>
      <c r="AD7" s="10"/>
      <c r="AE7" s="3182"/>
      <c r="AF7" s="3182"/>
      <c r="AG7" s="3182"/>
      <c r="AH7" s="3182"/>
      <c r="AI7" s="3182"/>
      <c r="AJ7" s="3182"/>
      <c r="AK7" s="3182"/>
      <c r="AL7" s="12"/>
      <c r="AM7" s="9"/>
      <c r="AN7" s="4"/>
      <c r="AO7" s="2889"/>
    </row>
    <row r="8" spans="1:41" ht="12" customHeight="1" thickBot="1" x14ac:dyDescent="0.25">
      <c r="A8" s="3081"/>
      <c r="B8" s="670"/>
      <c r="C8" s="1765"/>
      <c r="D8" s="741"/>
      <c r="E8" s="741"/>
      <c r="F8" s="741"/>
      <c r="G8" s="741"/>
      <c r="H8" s="741"/>
      <c r="I8" s="741"/>
      <c r="J8" s="741"/>
      <c r="K8" s="1766"/>
      <c r="L8" s="1761"/>
      <c r="M8" s="3111"/>
      <c r="N8" s="3112"/>
      <c r="O8" s="3112"/>
      <c r="P8" s="3112"/>
      <c r="Q8" s="3112"/>
      <c r="R8" s="3112"/>
      <c r="S8" s="3113"/>
      <c r="T8" s="671"/>
      <c r="U8" s="3"/>
      <c r="V8" s="4"/>
      <c r="W8" s="6"/>
      <c r="X8" s="3187"/>
      <c r="Y8" s="3187"/>
      <c r="Z8" s="3187"/>
      <c r="AA8" s="3187"/>
      <c r="AB8" s="3187"/>
      <c r="AC8" s="3187"/>
      <c r="AD8" s="13"/>
      <c r="AE8" s="13"/>
      <c r="AF8" s="13"/>
      <c r="AG8" s="13"/>
      <c r="AH8" s="13"/>
      <c r="AI8" s="13"/>
      <c r="AJ8" s="13"/>
      <c r="AK8" s="13"/>
      <c r="AL8" s="14"/>
      <c r="AM8" s="9"/>
      <c r="AN8" s="4"/>
      <c r="AO8" s="2889"/>
    </row>
    <row r="9" spans="1:41" ht="12" customHeight="1" thickBot="1" x14ac:dyDescent="0.25">
      <c r="A9" s="3081"/>
      <c r="B9" s="670"/>
      <c r="C9" s="1765"/>
      <c r="D9" s="741"/>
      <c r="E9" s="741"/>
      <c r="F9" s="741"/>
      <c r="G9" s="741"/>
      <c r="H9" s="741"/>
      <c r="I9" s="741"/>
      <c r="J9" s="741"/>
      <c r="K9" s="1766"/>
      <c r="L9" s="1761"/>
      <c r="M9" s="3111"/>
      <c r="N9" s="3112"/>
      <c r="O9" s="3112"/>
      <c r="P9" s="3112"/>
      <c r="Q9" s="3112"/>
      <c r="R9" s="3112"/>
      <c r="S9" s="3113"/>
      <c r="T9" s="671"/>
      <c r="U9" s="3"/>
      <c r="V9" s="4"/>
      <c r="W9" s="6"/>
      <c r="X9" s="874"/>
      <c r="Y9" s="15"/>
      <c r="Z9" s="15"/>
      <c r="AA9" s="15"/>
      <c r="AB9" s="15"/>
      <c r="AC9" s="15"/>
      <c r="AD9" s="874"/>
      <c r="AE9" s="15"/>
      <c r="AF9" s="15"/>
      <c r="AG9" s="15"/>
      <c r="AH9" s="15"/>
      <c r="AI9" s="15"/>
      <c r="AJ9" s="15"/>
      <c r="AK9" s="15"/>
      <c r="AL9" s="15"/>
      <c r="AM9" s="9"/>
      <c r="AN9" s="4"/>
      <c r="AO9" s="2889"/>
    </row>
    <row r="10" spans="1:41" ht="12" customHeight="1" thickBot="1" x14ac:dyDescent="0.25">
      <c r="A10" s="3081"/>
      <c r="B10" s="672"/>
      <c r="C10" s="1765"/>
      <c r="D10" s="741"/>
      <c r="E10" s="741"/>
      <c r="F10" s="741"/>
      <c r="G10" s="741"/>
      <c r="H10" s="741"/>
      <c r="I10" s="741"/>
      <c r="J10" s="741"/>
      <c r="K10" s="1766"/>
      <c r="L10" s="1761"/>
      <c r="M10" s="3111"/>
      <c r="N10" s="3112"/>
      <c r="O10" s="3112"/>
      <c r="P10" s="3112"/>
      <c r="Q10" s="3112"/>
      <c r="R10" s="3112"/>
      <c r="S10" s="3113"/>
      <c r="T10" s="671"/>
      <c r="U10" s="3"/>
      <c r="V10" s="4"/>
      <c r="W10" s="6"/>
      <c r="X10" s="3197" t="s">
        <v>7261</v>
      </c>
      <c r="Y10" s="3198"/>
      <c r="Z10" s="3198"/>
      <c r="AA10" s="3199"/>
      <c r="AB10" s="3195" t="s">
        <v>10222</v>
      </c>
      <c r="AC10" s="3196"/>
      <c r="AD10" s="2668" t="s">
        <v>2094</v>
      </c>
      <c r="AE10" s="875"/>
      <c r="AF10" s="3156" t="s">
        <v>1333</v>
      </c>
      <c r="AG10" s="3157"/>
      <c r="AH10" s="3157"/>
      <c r="AI10" s="3157"/>
      <c r="AJ10" s="3183" t="s">
        <v>1331</v>
      </c>
      <c r="AK10" s="3183"/>
      <c r="AL10" s="1667" t="s">
        <v>1332</v>
      </c>
      <c r="AM10" s="9"/>
      <c r="AN10" s="4"/>
      <c r="AO10" s="2889"/>
    </row>
    <row r="11" spans="1:41" ht="12" customHeight="1" x14ac:dyDescent="0.2">
      <c r="A11" s="3081"/>
      <c r="B11" s="672"/>
      <c r="C11" s="1765"/>
      <c r="D11" s="741"/>
      <c r="E11" s="741"/>
      <c r="F11" s="741"/>
      <c r="G11" s="741"/>
      <c r="H11" s="741"/>
      <c r="I11" s="741"/>
      <c r="J11" s="741"/>
      <c r="K11" s="1766"/>
      <c r="L11" s="1761"/>
      <c r="M11" s="3111"/>
      <c r="N11" s="3112"/>
      <c r="O11" s="3112"/>
      <c r="P11" s="3112"/>
      <c r="Q11" s="3112"/>
      <c r="R11" s="3112"/>
      <c r="S11" s="3113"/>
      <c r="T11" s="671"/>
      <c r="U11" s="3"/>
      <c r="V11" s="4"/>
      <c r="W11" s="6"/>
      <c r="X11" s="3193" t="s">
        <v>10223</v>
      </c>
      <c r="Y11" s="3194"/>
      <c r="Z11" s="3194"/>
      <c r="AA11" s="3192" t="s">
        <v>10224</v>
      </c>
      <c r="AB11" s="3192"/>
      <c r="AC11" s="3190" t="s">
        <v>1352</v>
      </c>
      <c r="AD11" s="3191"/>
      <c r="AF11" s="3184"/>
      <c r="AG11" s="3185"/>
      <c r="AH11" s="3185"/>
      <c r="AI11" s="3186"/>
      <c r="AJ11" s="3164"/>
      <c r="AK11" s="3165"/>
      <c r="AL11" s="1668"/>
      <c r="AM11" s="9"/>
      <c r="AN11" s="4"/>
      <c r="AO11" s="2889"/>
    </row>
    <row r="12" spans="1:41" ht="12" customHeight="1" x14ac:dyDescent="0.2">
      <c r="A12" s="3081"/>
      <c r="B12" s="670"/>
      <c r="C12" s="1765"/>
      <c r="D12" s="741"/>
      <c r="E12" s="741"/>
      <c r="F12" s="741"/>
      <c r="G12" s="741"/>
      <c r="H12" s="741"/>
      <c r="I12" s="741"/>
      <c r="J12" s="741"/>
      <c r="K12" s="1766"/>
      <c r="L12" s="1761"/>
      <c r="M12" s="3111"/>
      <c r="N12" s="3112"/>
      <c r="O12" s="3112"/>
      <c r="P12" s="3112"/>
      <c r="Q12" s="3112"/>
      <c r="R12" s="3112"/>
      <c r="S12" s="3113"/>
      <c r="T12" s="671"/>
      <c r="U12" s="3"/>
      <c r="V12" s="4"/>
      <c r="W12" s="6"/>
      <c r="X12" s="3168"/>
      <c r="Y12" s="3169"/>
      <c r="Z12" s="3170"/>
      <c r="AA12" s="3174">
        <f>IF(AD10="Si",VLOOKUP(Nivel_Total,Tabla_ExpNecesaria,AjusteNivel+2,FALSE),VLOOKUP(Nivel_Total,Tabla_ExpTotal,AjusteNivel+2,FALSE)+VLOOKUP(Nivel_Total,Tabla_ExpNecesaria,AjusteNivel+2,FALSE))</f>
        <v>0</v>
      </c>
      <c r="AB12" s="3178"/>
      <c r="AC12" s="3174">
        <f>IF(AD10="Si",0,VLOOKUP(Nivel_Total,Tabla_ExpTotal,AjusteNivel+2,FALSE))+X12</f>
        <v>0</v>
      </c>
      <c r="AD12" s="3175"/>
      <c r="AF12" s="3139"/>
      <c r="AG12" s="3140"/>
      <c r="AH12" s="3140"/>
      <c r="AI12" s="3141"/>
      <c r="AJ12" s="3162"/>
      <c r="AK12" s="3163"/>
      <c r="AL12" s="1661"/>
      <c r="AM12" s="9"/>
      <c r="AN12" s="4"/>
      <c r="AO12" s="2889"/>
    </row>
    <row r="13" spans="1:41" ht="12" customHeight="1" thickBot="1" x14ac:dyDescent="0.25">
      <c r="A13" s="3081"/>
      <c r="B13" s="670"/>
      <c r="C13" s="1765"/>
      <c r="D13" s="741"/>
      <c r="E13" s="741"/>
      <c r="F13" s="741"/>
      <c r="G13" s="741"/>
      <c r="H13" s="741"/>
      <c r="I13" s="741"/>
      <c r="J13" s="741"/>
      <c r="K13" s="1766"/>
      <c r="L13" s="1761"/>
      <c r="M13" s="3111"/>
      <c r="N13" s="3112"/>
      <c r="O13" s="3112"/>
      <c r="P13" s="3112"/>
      <c r="Q13" s="3112"/>
      <c r="R13" s="3112"/>
      <c r="S13" s="3113"/>
      <c r="T13" s="671"/>
      <c r="U13" s="3"/>
      <c r="V13" s="4"/>
      <c r="W13" s="6"/>
      <c r="X13" s="3171"/>
      <c r="Y13" s="3172"/>
      <c r="Z13" s="3173"/>
      <c r="AA13" s="3176"/>
      <c r="AB13" s="3179"/>
      <c r="AC13" s="3176"/>
      <c r="AD13" s="3177"/>
      <c r="AE13" s="946"/>
      <c r="AF13" s="3139"/>
      <c r="AG13" s="3140"/>
      <c r="AH13" s="3140"/>
      <c r="AI13" s="3141"/>
      <c r="AJ13" s="3162"/>
      <c r="AK13" s="3163"/>
      <c r="AL13" s="1661"/>
      <c r="AM13" s="9"/>
      <c r="AN13" s="4"/>
      <c r="AO13" s="2889"/>
    </row>
    <row r="14" spans="1:41" ht="12" customHeight="1" thickBot="1" x14ac:dyDescent="0.25">
      <c r="A14" s="3081"/>
      <c r="B14" s="670"/>
      <c r="C14" s="1765"/>
      <c r="D14" s="741"/>
      <c r="E14" s="741"/>
      <c r="F14" s="741"/>
      <c r="G14" s="741"/>
      <c r="H14" s="741"/>
      <c r="I14" s="741"/>
      <c r="J14" s="741"/>
      <c r="K14" s="1766"/>
      <c r="L14" s="1761"/>
      <c r="M14" s="3111"/>
      <c r="N14" s="3112"/>
      <c r="O14" s="3112"/>
      <c r="P14" s="3112"/>
      <c r="Q14" s="3112"/>
      <c r="R14" s="3112"/>
      <c r="S14" s="3113"/>
      <c r="T14" s="671"/>
      <c r="U14" s="3"/>
      <c r="V14" s="4"/>
      <c r="W14" s="6"/>
      <c r="X14" s="3180" t="str">
        <f>IF(AND(General!X12="",OR(Tablas!G480&gt;0,Tablas!G481&gt;0,Tablas!G482&gt;0)),"Suma experiencia de Curtido (50 por PC empleado)","")</f>
        <v/>
      </c>
      <c r="Y14" s="3180"/>
      <c r="Z14" s="3180"/>
      <c r="AA14" s="3180"/>
      <c r="AB14" s="3180"/>
      <c r="AC14" s="3180"/>
      <c r="AD14" s="3180"/>
      <c r="AF14" s="3139"/>
      <c r="AG14" s="3140"/>
      <c r="AH14" s="3140"/>
      <c r="AI14" s="3141"/>
      <c r="AJ14" s="3162"/>
      <c r="AK14" s="3163"/>
      <c r="AL14" s="1661"/>
      <c r="AM14" s="9"/>
      <c r="AN14" s="4"/>
      <c r="AO14" s="2889"/>
    </row>
    <row r="15" spans="1:41" ht="12" customHeight="1" thickBot="1" x14ac:dyDescent="0.25">
      <c r="A15" s="3081"/>
      <c r="B15" s="670"/>
      <c r="C15" s="1767"/>
      <c r="D15" s="1768"/>
      <c r="E15" s="1768"/>
      <c r="F15" s="1768"/>
      <c r="G15" s="1768"/>
      <c r="H15" s="1768"/>
      <c r="I15" s="1768"/>
      <c r="J15" s="1768"/>
      <c r="K15" s="1769"/>
      <c r="L15" s="1770"/>
      <c r="M15" s="3111"/>
      <c r="N15" s="3112"/>
      <c r="O15" s="3112"/>
      <c r="P15" s="3112"/>
      <c r="Q15" s="3112"/>
      <c r="R15" s="3112"/>
      <c r="S15" s="3113"/>
      <c r="T15" s="671"/>
      <c r="U15" s="3"/>
      <c r="V15" s="4"/>
      <c r="W15" s="6"/>
      <c r="X15" s="3156" t="s">
        <v>1330</v>
      </c>
      <c r="Y15" s="3157"/>
      <c r="Z15" s="3157"/>
      <c r="AA15" s="3157"/>
      <c r="AB15" s="3166" t="s">
        <v>1331</v>
      </c>
      <c r="AC15" s="3167"/>
      <c r="AD15" s="1674" t="s">
        <v>1332</v>
      </c>
      <c r="AF15" s="3139"/>
      <c r="AG15" s="3140"/>
      <c r="AH15" s="3140"/>
      <c r="AI15" s="3141"/>
      <c r="AJ15" s="3162"/>
      <c r="AK15" s="3163"/>
      <c r="AL15" s="1661"/>
      <c r="AM15" s="9"/>
      <c r="AN15" s="4"/>
      <c r="AO15" s="2889"/>
    </row>
    <row r="16" spans="1:41" ht="12" customHeight="1" thickBot="1" x14ac:dyDescent="0.25">
      <c r="A16" s="3081"/>
      <c r="B16" s="670"/>
      <c r="C16" s="1770"/>
      <c r="D16" s="1770"/>
      <c r="E16" s="1770"/>
      <c r="F16" s="1771"/>
      <c r="G16" s="1771"/>
      <c r="H16" s="1771"/>
      <c r="I16" s="1771"/>
      <c r="J16" s="1771"/>
      <c r="K16" s="1771"/>
      <c r="L16" s="1771"/>
      <c r="M16" s="3114"/>
      <c r="N16" s="3115"/>
      <c r="O16" s="3115"/>
      <c r="P16" s="3115"/>
      <c r="Q16" s="3115"/>
      <c r="R16" s="3115"/>
      <c r="S16" s="3116"/>
      <c r="T16" s="671"/>
      <c r="U16" s="3"/>
      <c r="V16" s="4"/>
      <c r="W16" s="6"/>
      <c r="X16" s="3139"/>
      <c r="Y16" s="3140"/>
      <c r="Z16" s="3140"/>
      <c r="AA16" s="3141"/>
      <c r="AB16" s="3164"/>
      <c r="AC16" s="3165"/>
      <c r="AD16" s="1660"/>
      <c r="AF16" s="3139"/>
      <c r="AG16" s="3140"/>
      <c r="AH16" s="3140"/>
      <c r="AI16" s="3141"/>
      <c r="AJ16" s="3162"/>
      <c r="AK16" s="3163"/>
      <c r="AL16" s="1661"/>
      <c r="AM16" s="9"/>
      <c r="AN16" s="4"/>
      <c r="AO16" s="2889"/>
    </row>
    <row r="17" spans="1:41" ht="12" customHeight="1" x14ac:dyDescent="0.2">
      <c r="A17" s="3081"/>
      <c r="B17" s="670"/>
      <c r="C17" s="1770"/>
      <c r="D17" s="1770"/>
      <c r="E17" s="1770"/>
      <c r="F17" s="1770"/>
      <c r="G17" s="1770"/>
      <c r="H17" s="1770"/>
      <c r="I17" s="1770"/>
      <c r="J17" s="1771"/>
      <c r="K17" s="1771"/>
      <c r="T17" s="671"/>
      <c r="U17" s="3"/>
      <c r="V17" s="4"/>
      <c r="W17" s="6"/>
      <c r="X17" s="3139"/>
      <c r="Y17" s="3140"/>
      <c r="Z17" s="3140"/>
      <c r="AA17" s="3141"/>
      <c r="AB17" s="3162"/>
      <c r="AC17" s="3163"/>
      <c r="AD17" s="1661"/>
      <c r="AF17" s="3139"/>
      <c r="AG17" s="3140"/>
      <c r="AH17" s="3140"/>
      <c r="AI17" s="3141"/>
      <c r="AJ17" s="3162"/>
      <c r="AK17" s="3163"/>
      <c r="AL17" s="1661"/>
      <c r="AM17" s="9"/>
      <c r="AN17" s="4"/>
      <c r="AO17" s="2889"/>
    </row>
    <row r="18" spans="1:41" ht="12" customHeight="1" thickBot="1" x14ac:dyDescent="0.25">
      <c r="A18" s="3081"/>
      <c r="B18" s="670"/>
      <c r="C18" s="5"/>
      <c r="S18" s="5"/>
      <c r="T18" s="671"/>
      <c r="U18" s="3"/>
      <c r="V18" s="4"/>
      <c r="W18" s="6"/>
      <c r="X18" s="3139"/>
      <c r="Y18" s="3140"/>
      <c r="Z18" s="3140"/>
      <c r="AA18" s="3141"/>
      <c r="AB18" s="3162"/>
      <c r="AC18" s="3163"/>
      <c r="AD18" s="1661"/>
      <c r="AE18" s="15"/>
      <c r="AF18" s="3139"/>
      <c r="AG18" s="3140"/>
      <c r="AH18" s="3140"/>
      <c r="AI18" s="3141"/>
      <c r="AJ18" s="3162"/>
      <c r="AK18" s="3163"/>
      <c r="AL18" s="1661"/>
      <c r="AM18" s="9"/>
      <c r="AN18" s="4"/>
      <c r="AO18" s="2889"/>
    </row>
    <row r="19" spans="1:41" ht="12" customHeight="1" x14ac:dyDescent="0.2">
      <c r="A19" s="3081"/>
      <c r="B19" s="670"/>
      <c r="C19" s="3099" t="s">
        <v>1334</v>
      </c>
      <c r="D19" s="3100"/>
      <c r="E19" s="3100"/>
      <c r="F19" s="3100"/>
      <c r="G19" s="3100"/>
      <c r="H19" s="3100"/>
      <c r="I19" s="3100"/>
      <c r="J19" s="3100"/>
      <c r="K19" s="3100"/>
      <c r="L19" s="3100"/>
      <c r="M19" s="3100"/>
      <c r="N19" s="3100"/>
      <c r="O19" s="3100"/>
      <c r="P19" s="3100"/>
      <c r="Q19" s="3100"/>
      <c r="R19" s="3100"/>
      <c r="S19" s="3101"/>
      <c r="T19" s="671"/>
      <c r="U19" s="3"/>
      <c r="V19" s="4"/>
      <c r="W19" s="6"/>
      <c r="X19" s="3139"/>
      <c r="Y19" s="3140"/>
      <c r="Z19" s="3140"/>
      <c r="AA19" s="3141"/>
      <c r="AB19" s="3162"/>
      <c r="AC19" s="3163"/>
      <c r="AD19" s="1661"/>
      <c r="AE19" s="15"/>
      <c r="AF19" s="3139"/>
      <c r="AG19" s="3140"/>
      <c r="AH19" s="3140"/>
      <c r="AI19" s="3141"/>
      <c r="AJ19" s="3162"/>
      <c r="AK19" s="3163"/>
      <c r="AL19" s="1661"/>
      <c r="AM19" s="9"/>
      <c r="AN19" s="4"/>
      <c r="AO19" s="2889"/>
    </row>
    <row r="20" spans="1:41" ht="12" customHeight="1" thickBot="1" x14ac:dyDescent="0.25">
      <c r="A20" s="3081"/>
      <c r="B20" s="670"/>
      <c r="C20" s="3102"/>
      <c r="D20" s="3103"/>
      <c r="E20" s="3103"/>
      <c r="F20" s="3103"/>
      <c r="G20" s="3103"/>
      <c r="H20" s="3103"/>
      <c r="I20" s="3103"/>
      <c r="J20" s="3103"/>
      <c r="K20" s="3103"/>
      <c r="L20" s="3103"/>
      <c r="M20" s="3103"/>
      <c r="N20" s="3103"/>
      <c r="O20" s="3103"/>
      <c r="P20" s="3103"/>
      <c r="Q20" s="3103"/>
      <c r="R20" s="3103"/>
      <c r="S20" s="3104"/>
      <c r="T20" s="671"/>
      <c r="U20" s="3"/>
      <c r="V20" s="4"/>
      <c r="W20" s="6"/>
      <c r="X20" s="3139"/>
      <c r="Y20" s="3140"/>
      <c r="Z20" s="3140"/>
      <c r="AA20" s="3141"/>
      <c r="AB20" s="3162"/>
      <c r="AC20" s="3163"/>
      <c r="AD20" s="1661"/>
      <c r="AE20" s="15"/>
      <c r="AF20" s="3139"/>
      <c r="AG20" s="3140"/>
      <c r="AH20" s="3140"/>
      <c r="AI20" s="3141"/>
      <c r="AJ20" s="3162"/>
      <c r="AK20" s="3163"/>
      <c r="AL20" s="1661"/>
      <c r="AM20" s="9"/>
      <c r="AN20" s="4"/>
      <c r="AO20" s="2889"/>
    </row>
    <row r="21" spans="1:41" ht="12" customHeight="1" x14ac:dyDescent="0.2">
      <c r="A21" s="3081"/>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39"/>
      <c r="Y21" s="3140"/>
      <c r="Z21" s="3140"/>
      <c r="AA21" s="3141"/>
      <c r="AB21" s="3162"/>
      <c r="AC21" s="3163"/>
      <c r="AD21" s="1661"/>
      <c r="AE21" s="15"/>
      <c r="AF21" s="3139"/>
      <c r="AG21" s="3140"/>
      <c r="AH21" s="3140"/>
      <c r="AI21" s="3141"/>
      <c r="AJ21" s="3162"/>
      <c r="AK21" s="3163"/>
      <c r="AL21" s="1661"/>
      <c r="AM21" s="9"/>
      <c r="AN21" s="4"/>
      <c r="AO21" s="2889"/>
    </row>
    <row r="22" spans="1:41" ht="12" customHeight="1" x14ac:dyDescent="0.2">
      <c r="A22" s="3081"/>
      <c r="B22" s="670"/>
      <c r="C22" s="1654"/>
      <c r="D22" s="3105" t="s">
        <v>1326</v>
      </c>
      <c r="E22" s="3106"/>
      <c r="F22" s="3077"/>
      <c r="G22" s="3078"/>
      <c r="H22" s="3079"/>
      <c r="I22" s="3079"/>
      <c r="J22" s="3079"/>
      <c r="K22" s="3079"/>
      <c r="L22" s="3079"/>
      <c r="M22" s="3079"/>
      <c r="N22" s="3079"/>
      <c r="O22" s="3079"/>
      <c r="P22" s="3079"/>
      <c r="Q22" s="3079"/>
      <c r="R22" s="3080"/>
      <c r="S22" s="1655"/>
      <c r="T22" s="671"/>
      <c r="U22" s="3"/>
      <c r="V22" s="4"/>
      <c r="W22" s="6"/>
      <c r="X22" s="3139"/>
      <c r="Y22" s="3140"/>
      <c r="Z22" s="3140"/>
      <c r="AA22" s="3141"/>
      <c r="AB22" s="3162"/>
      <c r="AC22" s="3163"/>
      <c r="AD22" s="1661"/>
      <c r="AE22" s="15"/>
      <c r="AF22" s="3139"/>
      <c r="AG22" s="3140"/>
      <c r="AH22" s="3140"/>
      <c r="AI22" s="3141"/>
      <c r="AJ22" s="3162"/>
      <c r="AK22" s="3163"/>
      <c r="AL22" s="1661"/>
      <c r="AM22" s="9"/>
      <c r="AN22" s="4"/>
      <c r="AO22" s="2889"/>
    </row>
    <row r="23" spans="1:41" ht="12" customHeight="1" thickBot="1" x14ac:dyDescent="0.25">
      <c r="A23" s="3081"/>
      <c r="B23" s="670"/>
      <c r="C23" s="1654"/>
      <c r="D23" s="3107" t="s">
        <v>1335</v>
      </c>
      <c r="E23" s="3107"/>
      <c r="F23" s="3083"/>
      <c r="G23" s="3084"/>
      <c r="H23" s="1752"/>
      <c r="I23" s="1755" t="s">
        <v>7262</v>
      </c>
      <c r="J23" s="3118"/>
      <c r="K23" s="3119"/>
      <c r="L23" s="3119"/>
      <c r="M23" s="3120"/>
      <c r="N23" s="3064" t="s">
        <v>8919</v>
      </c>
      <c r="O23" s="3065"/>
      <c r="P23" s="3065"/>
      <c r="Q23" s="3117" t="s">
        <v>7112</v>
      </c>
      <c r="R23" s="3117"/>
      <c r="S23" s="1655"/>
      <c r="T23" s="671"/>
      <c r="U23" s="3"/>
      <c r="V23" s="4"/>
      <c r="W23" s="6"/>
      <c r="X23" s="3204"/>
      <c r="Y23" s="3154"/>
      <c r="Z23" s="3154"/>
      <c r="AA23" s="3205"/>
      <c r="AB23" s="3206"/>
      <c r="AC23" s="3207"/>
      <c r="AD23" s="1662"/>
      <c r="AE23" s="15"/>
      <c r="AF23" s="3139"/>
      <c r="AG23" s="3140"/>
      <c r="AH23" s="3140"/>
      <c r="AI23" s="3141"/>
      <c r="AJ23" s="3162"/>
      <c r="AK23" s="3163"/>
      <c r="AL23" s="1661"/>
      <c r="AM23" s="9"/>
      <c r="AN23" s="4"/>
      <c r="AO23" s="2889"/>
    </row>
    <row r="24" spans="1:41" ht="12" customHeight="1" thickBot="1" x14ac:dyDescent="0.25">
      <c r="A24" s="3081"/>
      <c r="B24" s="670"/>
      <c r="C24" s="1654"/>
      <c r="D24" s="3107" t="s">
        <v>1336</v>
      </c>
      <c r="E24" s="3107"/>
      <c r="F24" s="3234"/>
      <c r="G24" s="3235"/>
      <c r="H24" s="1755" t="s">
        <v>1338</v>
      </c>
      <c r="I24" s="1757"/>
      <c r="J24" s="1756" t="s">
        <v>8652</v>
      </c>
      <c r="K24" s="1758" t="s">
        <v>1342</v>
      </c>
      <c r="L24" s="1759"/>
      <c r="M24" s="1756" t="s">
        <v>8653</v>
      </c>
      <c r="N24" s="3082" t="s">
        <v>1341</v>
      </c>
      <c r="O24" s="3082"/>
      <c r="P24" s="3073"/>
      <c r="Q24" s="3074"/>
      <c r="R24" s="3075"/>
      <c r="S24" s="1655"/>
      <c r="T24" s="671"/>
      <c r="U24" s="3"/>
      <c r="V24" s="4"/>
      <c r="W24" s="6"/>
      <c r="AE24" s="15"/>
      <c r="AF24" s="3139"/>
      <c r="AG24" s="3140"/>
      <c r="AH24" s="3140"/>
      <c r="AI24" s="3141"/>
      <c r="AJ24" s="3162"/>
      <c r="AK24" s="3163"/>
      <c r="AL24" s="1661"/>
      <c r="AM24" s="9"/>
      <c r="AN24" s="4"/>
      <c r="AO24" s="2889"/>
    </row>
    <row r="25" spans="1:41" ht="12" customHeight="1" x14ac:dyDescent="0.2">
      <c r="A25" s="3081"/>
      <c r="B25" s="670"/>
      <c r="C25" s="1654"/>
      <c r="D25" s="3107" t="s">
        <v>8915</v>
      </c>
      <c r="E25" s="3107"/>
      <c r="F25" s="3069"/>
      <c r="G25" s="3069"/>
      <c r="H25" s="1758" t="s">
        <v>1339</v>
      </c>
      <c r="I25" s="3073"/>
      <c r="J25" s="3074"/>
      <c r="K25" s="3074"/>
      <c r="L25" s="1753"/>
      <c r="M25" s="1755" t="s">
        <v>1343</v>
      </c>
      <c r="N25" s="3069"/>
      <c r="O25" s="3069"/>
      <c r="P25" s="3076"/>
      <c r="Q25" s="3076"/>
      <c r="R25" s="3076"/>
      <c r="S25" s="1655"/>
      <c r="T25" s="671"/>
      <c r="U25" s="3"/>
      <c r="V25" s="4"/>
      <c r="W25" s="6"/>
      <c r="X25" s="3202" t="s">
        <v>1340</v>
      </c>
      <c r="Y25" s="3203"/>
      <c r="Z25" s="3203"/>
      <c r="AA25" s="3203"/>
      <c r="AB25" s="3203"/>
      <c r="AC25" s="3203"/>
      <c r="AD25" s="1663" t="s">
        <v>1332</v>
      </c>
      <c r="AE25" s="15"/>
      <c r="AF25" s="3139"/>
      <c r="AG25" s="3140"/>
      <c r="AH25" s="3140"/>
      <c r="AI25" s="3141"/>
      <c r="AJ25" s="3162"/>
      <c r="AK25" s="3163"/>
      <c r="AL25" s="1661"/>
      <c r="AM25" s="9"/>
      <c r="AN25" s="4"/>
      <c r="AO25" s="2889"/>
    </row>
    <row r="26" spans="1:41" ht="12" customHeight="1" x14ac:dyDescent="0.2">
      <c r="A26" s="3081"/>
      <c r="B26" s="670"/>
      <c r="C26" s="1654"/>
      <c r="D26" s="3107" t="s">
        <v>1337</v>
      </c>
      <c r="E26" s="3107"/>
      <c r="F26" s="3073"/>
      <c r="G26" s="3075"/>
      <c r="H26" s="1755" t="s">
        <v>6456</v>
      </c>
      <c r="I26" s="3070"/>
      <c r="J26" s="3071"/>
      <c r="K26" s="3072"/>
      <c r="L26" s="1754"/>
      <c r="M26" s="1755" t="str">
        <f>IF(I26="","","Clase social:")</f>
        <v/>
      </c>
      <c r="N26" s="3073"/>
      <c r="O26" s="3074"/>
      <c r="P26" s="3074"/>
      <c r="Q26" s="3074"/>
      <c r="R26" s="3075"/>
      <c r="S26" s="1655"/>
      <c r="T26" s="671"/>
      <c r="U26" s="3"/>
      <c r="V26" s="4"/>
      <c r="W26" s="6"/>
      <c r="X26" s="3200"/>
      <c r="Y26" s="3201"/>
      <c r="Z26" s="3201"/>
      <c r="AA26" s="3201"/>
      <c r="AB26" s="3201"/>
      <c r="AC26" s="3201"/>
      <c r="AD26" s="1664"/>
      <c r="AE26" s="15"/>
      <c r="AF26" s="3139"/>
      <c r="AG26" s="3140"/>
      <c r="AH26" s="3140"/>
      <c r="AI26" s="3141"/>
      <c r="AJ26" s="3162"/>
      <c r="AK26" s="3163"/>
      <c r="AL26" s="1661"/>
      <c r="AM26" s="9"/>
      <c r="AN26" s="4"/>
      <c r="AO26" s="2889"/>
    </row>
    <row r="27" spans="1:41" ht="12" customHeight="1" thickBot="1" x14ac:dyDescent="0.25">
      <c r="A27" s="3081"/>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39"/>
      <c r="Y27" s="3140"/>
      <c r="Z27" s="3140"/>
      <c r="AA27" s="3140"/>
      <c r="AB27" s="3140"/>
      <c r="AC27" s="3140"/>
      <c r="AD27" s="1665"/>
      <c r="AE27" s="15"/>
      <c r="AF27" s="3139"/>
      <c r="AG27" s="3140"/>
      <c r="AH27" s="3140"/>
      <c r="AI27" s="3141"/>
      <c r="AJ27" s="3162"/>
      <c r="AK27" s="3163"/>
      <c r="AL27" s="1661"/>
      <c r="AM27" s="9"/>
      <c r="AN27" s="4"/>
      <c r="AO27" s="2889"/>
    </row>
    <row r="28" spans="1:41" ht="12" customHeight="1" x14ac:dyDescent="0.2">
      <c r="A28" s="3081"/>
      <c r="B28" s="670"/>
      <c r="C28" s="5"/>
      <c r="D28" s="5"/>
      <c r="S28" s="5"/>
      <c r="T28" s="671"/>
      <c r="U28" s="3"/>
      <c r="V28" s="4"/>
      <c r="W28" s="6"/>
      <c r="X28" s="3139"/>
      <c r="Y28" s="3140"/>
      <c r="Z28" s="3140"/>
      <c r="AA28" s="3140"/>
      <c r="AB28" s="3140"/>
      <c r="AC28" s="3140"/>
      <c r="AD28" s="1665"/>
      <c r="AE28" s="15"/>
      <c r="AF28" s="3139"/>
      <c r="AG28" s="3140"/>
      <c r="AH28" s="3140"/>
      <c r="AI28" s="3141"/>
      <c r="AJ28" s="3162"/>
      <c r="AK28" s="3163"/>
      <c r="AL28" s="1661"/>
      <c r="AM28" s="9"/>
      <c r="AN28" s="4"/>
      <c r="AO28" s="2889"/>
    </row>
    <row r="29" spans="1:41" ht="12" customHeight="1" thickBot="1" x14ac:dyDescent="0.25">
      <c r="A29" s="3081"/>
      <c r="B29" s="670"/>
      <c r="C29" s="5"/>
      <c r="D29" s="5"/>
      <c r="E29" s="5"/>
      <c r="F29" s="5"/>
      <c r="G29" s="5"/>
      <c r="H29" s="5"/>
      <c r="I29" s="5"/>
      <c r="J29" s="5"/>
      <c r="K29" s="5"/>
      <c r="L29" s="5"/>
      <c r="M29" s="5"/>
      <c r="N29" s="5"/>
      <c r="O29" s="5"/>
      <c r="P29" s="5"/>
      <c r="Q29" s="5"/>
      <c r="R29" s="5"/>
      <c r="S29" s="5"/>
      <c r="T29" s="671"/>
      <c r="U29" s="3"/>
      <c r="V29" s="4"/>
      <c r="W29" s="6"/>
      <c r="X29" s="3139"/>
      <c r="Y29" s="3140"/>
      <c r="Z29" s="3140"/>
      <c r="AA29" s="3140"/>
      <c r="AB29" s="3140"/>
      <c r="AC29" s="3140"/>
      <c r="AD29" s="1665"/>
      <c r="AE29" s="15"/>
      <c r="AF29" s="3139"/>
      <c r="AG29" s="3140"/>
      <c r="AH29" s="3140"/>
      <c r="AI29" s="3141"/>
      <c r="AJ29" s="3162"/>
      <c r="AK29" s="3163"/>
      <c r="AL29" s="1661"/>
      <c r="AM29" s="9"/>
      <c r="AN29" s="4"/>
      <c r="AO29" s="2889"/>
    </row>
    <row r="30" spans="1:41" ht="12" customHeight="1" thickBot="1" x14ac:dyDescent="0.25">
      <c r="A30" s="3081"/>
      <c r="B30" s="670"/>
      <c r="C30" s="3066" t="s">
        <v>8727</v>
      </c>
      <c r="D30" s="3067"/>
      <c r="E30" s="3067"/>
      <c r="F30" s="3067"/>
      <c r="G30" s="3067"/>
      <c r="H30" s="3067"/>
      <c r="I30" s="3067"/>
      <c r="J30" s="3067"/>
      <c r="K30" s="3068"/>
      <c r="M30" s="3066" t="s">
        <v>8921</v>
      </c>
      <c r="N30" s="3067"/>
      <c r="O30" s="3067"/>
      <c r="P30" s="3067"/>
      <c r="Q30" s="3067"/>
      <c r="R30" s="3067"/>
      <c r="S30" s="3068"/>
      <c r="T30" s="671"/>
      <c r="U30" s="3"/>
      <c r="V30" s="4"/>
      <c r="W30" s="6"/>
      <c r="X30" s="3139"/>
      <c r="Y30" s="3140"/>
      <c r="Z30" s="3140"/>
      <c r="AA30" s="3140"/>
      <c r="AB30" s="3140"/>
      <c r="AC30" s="3140"/>
      <c r="AD30" s="1665"/>
      <c r="AE30" s="15"/>
      <c r="AF30" s="3214"/>
      <c r="AG30" s="3215"/>
      <c r="AH30" s="3215"/>
      <c r="AI30" s="3216"/>
      <c r="AJ30" s="3208"/>
      <c r="AK30" s="3209"/>
      <c r="AL30" s="2609"/>
      <c r="AM30" s="9"/>
      <c r="AN30" s="4"/>
      <c r="AO30" s="2889"/>
    </row>
    <row r="31" spans="1:41" ht="12" customHeight="1" x14ac:dyDescent="0.2">
      <c r="A31" s="3081"/>
      <c r="B31" s="670"/>
      <c r="C31" s="3130"/>
      <c r="D31" s="3131"/>
      <c r="E31" s="3131"/>
      <c r="F31" s="3131"/>
      <c r="G31" s="3131"/>
      <c r="H31" s="3131"/>
      <c r="I31" s="3131"/>
      <c r="J31" s="3131"/>
      <c r="K31" s="3132"/>
      <c r="L31" s="1760"/>
      <c r="M31" s="3121"/>
      <c r="N31" s="3122"/>
      <c r="O31" s="3122"/>
      <c r="P31" s="3122"/>
      <c r="Q31" s="3122"/>
      <c r="R31" s="3122"/>
      <c r="S31" s="3123"/>
      <c r="T31" s="671"/>
      <c r="U31" s="3"/>
      <c r="V31" s="4"/>
      <c r="W31" s="6"/>
      <c r="X31" s="3139"/>
      <c r="Y31" s="3140"/>
      <c r="Z31" s="3140"/>
      <c r="AA31" s="3140"/>
      <c r="AB31" s="3140"/>
      <c r="AC31" s="3140"/>
      <c r="AD31" s="1665"/>
      <c r="AE31" s="15"/>
      <c r="AF31" s="3217" t="s">
        <v>10148</v>
      </c>
      <c r="AG31" s="3218"/>
      <c r="AH31" s="3218"/>
      <c r="AI31" s="2615">
        <f>FUE+AM31</f>
        <v>0</v>
      </c>
      <c r="AJ31" s="3212" t="s">
        <v>1344</v>
      </c>
      <c r="AK31" s="3213"/>
      <c r="AL31" s="2616">
        <f>SUM(AD11:AD23,AD26:AD32,AL11:AL30)</f>
        <v>0</v>
      </c>
      <c r="AM31" s="1879">
        <f>TRUNC((IF(Combate!AD14&lt;0,Combate!AD14,0)+IF(Combate!AF14&lt;0,Combate!AF14,0))/20)</f>
        <v>0</v>
      </c>
      <c r="AN31" s="4"/>
      <c r="AO31" s="2889"/>
    </row>
    <row r="32" spans="1:41" ht="12" customHeight="1" thickBot="1" x14ac:dyDescent="0.25">
      <c r="A32" s="3081"/>
      <c r="B32" s="670"/>
      <c r="C32" s="3130"/>
      <c r="D32" s="3131"/>
      <c r="E32" s="3131"/>
      <c r="F32" s="3131"/>
      <c r="G32" s="3131"/>
      <c r="H32" s="3131"/>
      <c r="I32" s="3131"/>
      <c r="J32" s="3131"/>
      <c r="K32" s="3132"/>
      <c r="L32" s="1760"/>
      <c r="M32" s="3124"/>
      <c r="N32" s="3125"/>
      <c r="O32" s="3125"/>
      <c r="P32" s="3125"/>
      <c r="Q32" s="3125"/>
      <c r="R32" s="3125"/>
      <c r="S32" s="3126"/>
      <c r="T32" s="671"/>
      <c r="U32" s="3"/>
      <c r="V32" s="4"/>
      <c r="W32" s="6"/>
      <c r="X32" s="3204"/>
      <c r="Y32" s="3154"/>
      <c r="Z32" s="3154"/>
      <c r="AA32" s="3154"/>
      <c r="AB32" s="3154"/>
      <c r="AC32" s="3154"/>
      <c r="AD32" s="1666"/>
      <c r="AE32" s="15"/>
      <c r="AF32" s="2608" t="s">
        <v>1342</v>
      </c>
      <c r="AG32" s="2605" t="s">
        <v>1978</v>
      </c>
      <c r="AH32" s="3210" t="str">
        <f>IF(Principal!E14=0,0&amp;" kg",IF(Zen_IP,VLOOKUP(MIN(20,AI31),Tabla_Fuerza,3)&amp;" kg",IF(Inhumanidad_IP,VLOOKUP(MIN(13,AI31),Tabla_Fuerza,3)&amp;" kg",VLOOKUP(MIN(10,AI31),Tabla_Fuerza,3)&amp;" kg")))</f>
        <v>0 kg</v>
      </c>
      <c r="AI32" s="3211"/>
      <c r="AJ32" s="2606" t="s">
        <v>10158</v>
      </c>
      <c r="AK32" s="3211" t="str">
        <f>IF(Principal!E14=0,0&amp;" kg",IF(Zen_IP,VLOOKUP(MIN(20,AI31),Tabla_Fuerza,4)&amp;" kg",IF(Inhumanidad_IP,VLOOKUP(MIN(13,AI31),Tabla_Fuerza,4)&amp;" kg",VLOOKUP(MIN(10,AI31),Tabla_Fuerza,4)&amp;" kg")))</f>
        <v>0 kg</v>
      </c>
      <c r="AL32" s="3219"/>
      <c r="AM32" s="2607"/>
      <c r="AN32" s="4"/>
      <c r="AO32" s="2889"/>
    </row>
    <row r="33" spans="1:41" ht="12" customHeight="1" thickBot="1" x14ac:dyDescent="0.25">
      <c r="A33" s="3081"/>
      <c r="B33" s="670"/>
      <c r="C33" s="3133"/>
      <c r="D33" s="3134"/>
      <c r="E33" s="3134"/>
      <c r="F33" s="3134"/>
      <c r="G33" s="3134"/>
      <c r="H33" s="3134"/>
      <c r="I33" s="3134"/>
      <c r="J33" s="3134"/>
      <c r="K33" s="3135"/>
      <c r="L33" s="1760"/>
      <c r="M33" s="3124"/>
      <c r="N33" s="3125"/>
      <c r="O33" s="3125"/>
      <c r="P33" s="3125"/>
      <c r="Q33" s="3125"/>
      <c r="R33" s="3125"/>
      <c r="S33" s="3126"/>
      <c r="T33" s="671"/>
      <c r="U33" s="3"/>
      <c r="V33" s="4"/>
      <c r="W33" s="6"/>
      <c r="AM33" s="9"/>
      <c r="AN33" s="4"/>
      <c r="AO33" s="2889"/>
    </row>
    <row r="34" spans="1:41" ht="12" customHeight="1" thickBot="1" x14ac:dyDescent="0.25">
      <c r="A34" s="3081"/>
      <c r="B34" s="670"/>
      <c r="C34" s="5"/>
      <c r="D34" s="5"/>
      <c r="E34" s="5"/>
      <c r="F34" s="5"/>
      <c r="G34" s="5"/>
      <c r="H34" s="5"/>
      <c r="I34" s="5"/>
      <c r="J34" s="5"/>
      <c r="K34" s="19"/>
      <c r="L34" s="1760"/>
      <c r="M34" s="3124"/>
      <c r="N34" s="3125"/>
      <c r="O34" s="3125"/>
      <c r="P34" s="3125"/>
      <c r="Q34" s="3125"/>
      <c r="R34" s="3125"/>
      <c r="S34" s="3126"/>
      <c r="T34" s="671"/>
      <c r="U34" s="3"/>
      <c r="V34" s="4"/>
      <c r="W34" s="6"/>
      <c r="X34" s="3156" t="s">
        <v>1345</v>
      </c>
      <c r="Y34" s="3157"/>
      <c r="Z34" s="3157"/>
      <c r="AA34" s="3157"/>
      <c r="AB34" s="3157"/>
      <c r="AC34" s="3157"/>
      <c r="AD34" s="3157"/>
      <c r="AE34" s="3157"/>
      <c r="AF34" s="3157"/>
      <c r="AG34" s="3157"/>
      <c r="AH34" s="3157"/>
      <c r="AI34" s="3157"/>
      <c r="AJ34" s="3157"/>
      <c r="AK34" s="3157"/>
      <c r="AL34" s="3158"/>
      <c r="AM34" s="9"/>
      <c r="AN34" s="4"/>
      <c r="AO34" s="2889"/>
    </row>
    <row r="35" spans="1:41" ht="12" customHeight="1" thickBot="1" x14ac:dyDescent="0.25">
      <c r="A35" s="3081"/>
      <c r="B35" s="670"/>
      <c r="C35" s="3066" t="s">
        <v>8728</v>
      </c>
      <c r="D35" s="3067"/>
      <c r="E35" s="3067"/>
      <c r="F35" s="3067"/>
      <c r="G35" s="3067"/>
      <c r="H35" s="3067"/>
      <c r="I35" s="3067"/>
      <c r="J35" s="3067"/>
      <c r="K35" s="3068"/>
      <c r="L35" s="1760"/>
      <c r="M35" s="3124"/>
      <c r="N35" s="3125"/>
      <c r="O35" s="3125"/>
      <c r="P35" s="3125"/>
      <c r="Q35" s="3125"/>
      <c r="R35" s="3125"/>
      <c r="S35" s="3126"/>
      <c r="T35" s="671"/>
      <c r="U35" s="3"/>
      <c r="V35" s="4"/>
      <c r="W35" s="6"/>
      <c r="X35" s="3159"/>
      <c r="Y35" s="3160"/>
      <c r="Z35" s="3161"/>
      <c r="AA35" s="3151"/>
      <c r="AB35" s="3140"/>
      <c r="AC35" s="3140"/>
      <c r="AD35" s="3140"/>
      <c r="AE35" s="3140"/>
      <c r="AF35" s="3140"/>
      <c r="AG35" s="3140"/>
      <c r="AH35" s="3140"/>
      <c r="AI35" s="3140"/>
      <c r="AJ35" s="3140"/>
      <c r="AK35" s="3140"/>
      <c r="AL35" s="3152"/>
      <c r="AM35" s="9"/>
      <c r="AN35" s="4"/>
      <c r="AO35" s="2889"/>
    </row>
    <row r="36" spans="1:41" ht="12" customHeight="1" x14ac:dyDescent="0.2">
      <c r="A36" s="3081"/>
      <c r="B36" s="670"/>
      <c r="C36" s="3130"/>
      <c r="D36" s="3131"/>
      <c r="E36" s="3131"/>
      <c r="F36" s="3131"/>
      <c r="G36" s="3131"/>
      <c r="H36" s="3131"/>
      <c r="I36" s="3131"/>
      <c r="J36" s="3131"/>
      <c r="K36" s="3132"/>
      <c r="L36" s="1760"/>
      <c r="M36" s="3124"/>
      <c r="N36" s="3125"/>
      <c r="O36" s="3125"/>
      <c r="P36" s="3125"/>
      <c r="Q36" s="3125"/>
      <c r="R36" s="3125"/>
      <c r="S36" s="3126"/>
      <c r="T36" s="671"/>
      <c r="U36" s="3"/>
      <c r="V36" s="4"/>
      <c r="W36" s="6"/>
      <c r="X36" s="3145"/>
      <c r="Y36" s="3146"/>
      <c r="Z36" s="3147"/>
      <c r="AA36" s="3151"/>
      <c r="AB36" s="3140"/>
      <c r="AC36" s="3140"/>
      <c r="AD36" s="3140"/>
      <c r="AE36" s="3140"/>
      <c r="AF36" s="3140"/>
      <c r="AG36" s="3140"/>
      <c r="AH36" s="3140"/>
      <c r="AI36" s="3140"/>
      <c r="AJ36" s="3140"/>
      <c r="AK36" s="3140"/>
      <c r="AL36" s="3152"/>
      <c r="AM36" s="9"/>
      <c r="AN36" s="4"/>
      <c r="AO36" s="2889"/>
    </row>
    <row r="37" spans="1:41" ht="12" customHeight="1" x14ac:dyDescent="0.2">
      <c r="A37" s="3081"/>
      <c r="B37" s="670"/>
      <c r="C37" s="3130"/>
      <c r="D37" s="3131"/>
      <c r="E37" s="3131"/>
      <c r="F37" s="3131"/>
      <c r="G37" s="3131"/>
      <c r="H37" s="3131"/>
      <c r="I37" s="3131"/>
      <c r="J37" s="3131"/>
      <c r="K37" s="3132"/>
      <c r="L37" s="1760"/>
      <c r="M37" s="3124"/>
      <c r="N37" s="3125"/>
      <c r="O37" s="3125"/>
      <c r="P37" s="3125"/>
      <c r="Q37" s="3125"/>
      <c r="R37" s="3125"/>
      <c r="S37" s="3126"/>
      <c r="T37" s="671"/>
      <c r="U37" s="3"/>
      <c r="V37" s="4"/>
      <c r="W37" s="6"/>
      <c r="X37" s="3145"/>
      <c r="Y37" s="3146"/>
      <c r="Z37" s="3147"/>
      <c r="AA37" s="3151"/>
      <c r="AB37" s="3140"/>
      <c r="AC37" s="3140"/>
      <c r="AD37" s="3140"/>
      <c r="AE37" s="3140"/>
      <c r="AF37" s="3140"/>
      <c r="AG37" s="3140"/>
      <c r="AH37" s="3140"/>
      <c r="AI37" s="3140"/>
      <c r="AJ37" s="3140"/>
      <c r="AK37" s="3140"/>
      <c r="AL37" s="3152"/>
      <c r="AM37" s="9"/>
      <c r="AN37" s="4"/>
      <c r="AO37" s="2889"/>
    </row>
    <row r="38" spans="1:41" ht="12" customHeight="1" x14ac:dyDescent="0.2">
      <c r="A38" s="3081"/>
      <c r="B38" s="670"/>
      <c r="C38" s="3130"/>
      <c r="D38" s="3131"/>
      <c r="E38" s="3131"/>
      <c r="F38" s="3131"/>
      <c r="G38" s="3131"/>
      <c r="H38" s="3131"/>
      <c r="I38" s="3131"/>
      <c r="J38" s="3131"/>
      <c r="K38" s="3132"/>
      <c r="L38" s="1760"/>
      <c r="M38" s="3124"/>
      <c r="N38" s="3125"/>
      <c r="O38" s="3125"/>
      <c r="P38" s="3125"/>
      <c r="Q38" s="3125"/>
      <c r="R38" s="3125"/>
      <c r="S38" s="3126"/>
      <c r="T38" s="671"/>
      <c r="U38" s="3"/>
      <c r="V38" s="4"/>
      <c r="W38" s="6"/>
      <c r="X38" s="3145"/>
      <c r="Y38" s="3146"/>
      <c r="Z38" s="3147"/>
      <c r="AA38" s="3151"/>
      <c r="AB38" s="3140"/>
      <c r="AC38" s="3140"/>
      <c r="AD38" s="3140"/>
      <c r="AE38" s="3140"/>
      <c r="AF38" s="3140"/>
      <c r="AG38" s="3140"/>
      <c r="AH38" s="3140"/>
      <c r="AI38" s="3140"/>
      <c r="AJ38" s="3140"/>
      <c r="AK38" s="3140"/>
      <c r="AL38" s="3152"/>
      <c r="AM38" s="9"/>
      <c r="AN38" s="4"/>
      <c r="AO38" s="2889"/>
    </row>
    <row r="39" spans="1:41" ht="12" customHeight="1" x14ac:dyDescent="0.2">
      <c r="A39" s="3081"/>
      <c r="B39" s="670"/>
      <c r="C39" s="3130"/>
      <c r="D39" s="3131"/>
      <c r="E39" s="3131"/>
      <c r="F39" s="3131"/>
      <c r="G39" s="3131"/>
      <c r="H39" s="3131"/>
      <c r="I39" s="3131"/>
      <c r="J39" s="3131"/>
      <c r="K39" s="3132"/>
      <c r="L39" s="1760"/>
      <c r="M39" s="3124"/>
      <c r="N39" s="3125"/>
      <c r="O39" s="3125"/>
      <c r="P39" s="3125"/>
      <c r="Q39" s="3125"/>
      <c r="R39" s="3125"/>
      <c r="S39" s="3126"/>
      <c r="T39" s="671"/>
      <c r="U39" s="3"/>
      <c r="V39" s="4"/>
      <c r="W39" s="6"/>
      <c r="X39" s="3145"/>
      <c r="Y39" s="3146"/>
      <c r="Z39" s="3147"/>
      <c r="AA39" s="3151"/>
      <c r="AB39" s="3140"/>
      <c r="AC39" s="3140"/>
      <c r="AD39" s="3140"/>
      <c r="AE39" s="3140"/>
      <c r="AF39" s="3140"/>
      <c r="AG39" s="3140"/>
      <c r="AH39" s="3140"/>
      <c r="AI39" s="3140"/>
      <c r="AJ39" s="3140"/>
      <c r="AK39" s="3140"/>
      <c r="AL39" s="3152"/>
      <c r="AM39" s="9"/>
      <c r="AN39" s="4"/>
      <c r="AO39" s="2889"/>
    </row>
    <row r="40" spans="1:41" ht="12" customHeight="1" x14ac:dyDescent="0.2">
      <c r="A40" s="3081"/>
      <c r="B40" s="670"/>
      <c r="C40" s="3130"/>
      <c r="D40" s="3131"/>
      <c r="E40" s="3131"/>
      <c r="F40" s="3131"/>
      <c r="G40" s="3131"/>
      <c r="H40" s="3131"/>
      <c r="I40" s="3131"/>
      <c r="J40" s="3131"/>
      <c r="K40" s="3132"/>
      <c r="L40" s="1760"/>
      <c r="M40" s="3124"/>
      <c r="N40" s="3125"/>
      <c r="O40" s="3125"/>
      <c r="P40" s="3125"/>
      <c r="Q40" s="3125"/>
      <c r="R40" s="3125"/>
      <c r="S40" s="3126"/>
      <c r="T40" s="671"/>
      <c r="U40" s="3"/>
      <c r="V40" s="4"/>
      <c r="W40" s="6"/>
      <c r="X40" s="3145"/>
      <c r="Y40" s="3146"/>
      <c r="Z40" s="3147"/>
      <c r="AA40" s="3151"/>
      <c r="AB40" s="3140"/>
      <c r="AC40" s="3140"/>
      <c r="AD40" s="3140"/>
      <c r="AE40" s="3140"/>
      <c r="AF40" s="3140"/>
      <c r="AG40" s="3140"/>
      <c r="AH40" s="3140"/>
      <c r="AI40" s="3140"/>
      <c r="AJ40" s="3140"/>
      <c r="AK40" s="3140"/>
      <c r="AL40" s="3152"/>
      <c r="AM40" s="9"/>
      <c r="AN40" s="4"/>
      <c r="AO40" s="2889"/>
    </row>
    <row r="41" spans="1:41" ht="12" customHeight="1" x14ac:dyDescent="0.2">
      <c r="A41" s="3081"/>
      <c r="B41" s="670"/>
      <c r="C41" s="3130"/>
      <c r="D41" s="3131"/>
      <c r="E41" s="3131"/>
      <c r="F41" s="3131"/>
      <c r="G41" s="3131"/>
      <c r="H41" s="3131"/>
      <c r="I41" s="3131"/>
      <c r="J41" s="3131"/>
      <c r="K41" s="3132"/>
      <c r="L41" s="1760"/>
      <c r="M41" s="3124"/>
      <c r="N41" s="3125"/>
      <c r="O41" s="3125"/>
      <c r="P41" s="3125"/>
      <c r="Q41" s="3125"/>
      <c r="R41" s="3125"/>
      <c r="S41" s="3126"/>
      <c r="T41" s="671"/>
      <c r="U41" s="3"/>
      <c r="V41" s="4"/>
      <c r="W41" s="6"/>
      <c r="X41" s="3145"/>
      <c r="Y41" s="3146"/>
      <c r="Z41" s="3147"/>
      <c r="AA41" s="3142"/>
      <c r="AB41" s="3143"/>
      <c r="AC41" s="3143"/>
      <c r="AD41" s="3143"/>
      <c r="AE41" s="3143"/>
      <c r="AF41" s="3143"/>
      <c r="AG41" s="3143"/>
      <c r="AH41" s="3143"/>
      <c r="AI41" s="3143"/>
      <c r="AJ41" s="3143"/>
      <c r="AK41" s="3143"/>
      <c r="AL41" s="3144"/>
      <c r="AM41" s="9"/>
      <c r="AN41" s="4"/>
      <c r="AO41" s="2889"/>
    </row>
    <row r="42" spans="1:41" ht="12" customHeight="1" x14ac:dyDescent="0.2">
      <c r="A42" s="3081"/>
      <c r="B42" s="670"/>
      <c r="C42" s="3130"/>
      <c r="D42" s="3131"/>
      <c r="E42" s="3131"/>
      <c r="F42" s="3131"/>
      <c r="G42" s="3131"/>
      <c r="H42" s="3131"/>
      <c r="I42" s="3131"/>
      <c r="J42" s="3131"/>
      <c r="K42" s="3132"/>
      <c r="L42" s="1760"/>
      <c r="M42" s="3124"/>
      <c r="N42" s="3125"/>
      <c r="O42" s="3125"/>
      <c r="P42" s="3125"/>
      <c r="Q42" s="3125"/>
      <c r="R42" s="3125"/>
      <c r="S42" s="3126"/>
      <c r="T42" s="671"/>
      <c r="U42" s="3"/>
      <c r="V42" s="4"/>
      <c r="W42" s="6"/>
      <c r="X42" s="3145"/>
      <c r="Y42" s="3146"/>
      <c r="Z42" s="3147"/>
      <c r="AA42" s="3142"/>
      <c r="AB42" s="3143"/>
      <c r="AC42" s="3143"/>
      <c r="AD42" s="3143"/>
      <c r="AE42" s="3143"/>
      <c r="AF42" s="3143"/>
      <c r="AG42" s="3143"/>
      <c r="AH42" s="3143"/>
      <c r="AI42" s="3143"/>
      <c r="AJ42" s="3143"/>
      <c r="AK42" s="3143"/>
      <c r="AL42" s="3144"/>
      <c r="AM42" s="9"/>
      <c r="AN42" s="4"/>
      <c r="AO42" s="2889"/>
    </row>
    <row r="43" spans="1:41" ht="12" customHeight="1" thickBot="1" x14ac:dyDescent="0.25">
      <c r="A43" s="3081"/>
      <c r="B43" s="670"/>
      <c r="C43" s="3133"/>
      <c r="D43" s="3134"/>
      <c r="E43" s="3134"/>
      <c r="F43" s="3134"/>
      <c r="G43" s="3134"/>
      <c r="H43" s="3134"/>
      <c r="I43" s="3134"/>
      <c r="J43" s="3134"/>
      <c r="K43" s="3135"/>
      <c r="L43" s="1760"/>
      <c r="M43" s="3124"/>
      <c r="N43" s="3125"/>
      <c r="O43" s="3125"/>
      <c r="P43" s="3125"/>
      <c r="Q43" s="3125"/>
      <c r="R43" s="3125"/>
      <c r="S43" s="3126"/>
      <c r="T43" s="671"/>
      <c r="U43" s="3"/>
      <c r="V43" s="4"/>
      <c r="W43" s="6"/>
      <c r="X43" s="3145"/>
      <c r="Y43" s="3146"/>
      <c r="Z43" s="3147"/>
      <c r="AA43" s="3151"/>
      <c r="AB43" s="3140"/>
      <c r="AC43" s="3140"/>
      <c r="AD43" s="3140"/>
      <c r="AE43" s="3140"/>
      <c r="AF43" s="3140"/>
      <c r="AG43" s="3140"/>
      <c r="AH43" s="3140"/>
      <c r="AI43" s="3140"/>
      <c r="AJ43" s="3140"/>
      <c r="AK43" s="3140"/>
      <c r="AL43" s="3152"/>
      <c r="AM43" s="9"/>
      <c r="AN43" s="4"/>
      <c r="AO43" s="2889"/>
    </row>
    <row r="44" spans="1:41" ht="12" customHeight="1" thickBot="1" x14ac:dyDescent="0.25">
      <c r="A44" s="3081"/>
      <c r="B44" s="670"/>
      <c r="C44" s="5"/>
      <c r="D44" s="5"/>
      <c r="E44" s="5"/>
      <c r="F44" s="5"/>
      <c r="G44" s="5"/>
      <c r="H44" s="5"/>
      <c r="I44" s="5"/>
      <c r="J44" s="5"/>
      <c r="K44" s="5"/>
      <c r="L44" s="1760"/>
      <c r="M44" s="3124"/>
      <c r="N44" s="3125"/>
      <c r="O44" s="3125"/>
      <c r="P44" s="3125"/>
      <c r="Q44" s="3125"/>
      <c r="R44" s="3125"/>
      <c r="S44" s="3126"/>
      <c r="T44" s="671"/>
      <c r="U44" s="3"/>
      <c r="V44" s="4"/>
      <c r="W44" s="6"/>
      <c r="X44" s="3148"/>
      <c r="Y44" s="3149"/>
      <c r="Z44" s="3150"/>
      <c r="AA44" s="3153"/>
      <c r="AB44" s="3154"/>
      <c r="AC44" s="3154"/>
      <c r="AD44" s="3154"/>
      <c r="AE44" s="3154"/>
      <c r="AF44" s="3154"/>
      <c r="AG44" s="3154"/>
      <c r="AH44" s="3154"/>
      <c r="AI44" s="3154"/>
      <c r="AJ44" s="3154"/>
      <c r="AK44" s="3154"/>
      <c r="AL44" s="3155"/>
      <c r="AM44" s="9"/>
      <c r="AN44" s="4"/>
      <c r="AO44" s="2889"/>
    </row>
    <row r="45" spans="1:41" ht="12" customHeight="1" thickBot="1" x14ac:dyDescent="0.25">
      <c r="A45" s="3081"/>
      <c r="B45" s="670"/>
      <c r="C45" s="3066" t="s">
        <v>8729</v>
      </c>
      <c r="D45" s="3067"/>
      <c r="E45" s="3067"/>
      <c r="F45" s="3067"/>
      <c r="G45" s="3067"/>
      <c r="H45" s="3067"/>
      <c r="I45" s="3067"/>
      <c r="J45" s="3067"/>
      <c r="K45" s="3068"/>
      <c r="L45" s="1760"/>
      <c r="M45" s="3124"/>
      <c r="N45" s="3125"/>
      <c r="O45" s="3125"/>
      <c r="P45" s="3125"/>
      <c r="Q45" s="3125"/>
      <c r="R45" s="3125"/>
      <c r="S45" s="3126"/>
      <c r="T45" s="671"/>
      <c r="U45" s="3"/>
      <c r="V45" s="4"/>
      <c r="W45" s="6"/>
      <c r="AM45" s="9"/>
      <c r="AN45" s="4"/>
      <c r="AO45" s="2889"/>
    </row>
    <row r="46" spans="1:41" ht="12" customHeight="1" x14ac:dyDescent="0.2">
      <c r="A46" s="3081"/>
      <c r="B46" s="670"/>
      <c r="C46" s="3136"/>
      <c r="D46" s="3137"/>
      <c r="E46" s="3137"/>
      <c r="F46" s="3137"/>
      <c r="G46" s="3137"/>
      <c r="H46" s="3137"/>
      <c r="I46" s="3137"/>
      <c r="J46" s="3137"/>
      <c r="K46" s="3138"/>
      <c r="L46" s="1760"/>
      <c r="M46" s="3124"/>
      <c r="N46" s="3125"/>
      <c r="O46" s="3125"/>
      <c r="P46" s="3125"/>
      <c r="Q46" s="3125"/>
      <c r="R46" s="3125"/>
      <c r="S46" s="3126"/>
      <c r="T46" s="671"/>
      <c r="U46" s="3"/>
      <c r="V46" s="4"/>
      <c r="W46" s="6"/>
      <c r="X46" s="3156" t="s">
        <v>1346</v>
      </c>
      <c r="Y46" s="3157"/>
      <c r="Z46" s="3157"/>
      <c r="AA46" s="3157"/>
      <c r="AB46" s="3157"/>
      <c r="AC46" s="3157"/>
      <c r="AD46" s="3158"/>
      <c r="AF46" s="3156" t="s">
        <v>1347</v>
      </c>
      <c r="AG46" s="3157"/>
      <c r="AH46" s="3157"/>
      <c r="AI46" s="3157"/>
      <c r="AJ46" s="3157"/>
      <c r="AK46" s="3157"/>
      <c r="AL46" s="3158"/>
      <c r="AM46" s="9"/>
      <c r="AN46" s="4"/>
      <c r="AO46" s="2889"/>
    </row>
    <row r="47" spans="1:41" ht="12" customHeight="1" x14ac:dyDescent="0.2">
      <c r="A47" s="3081"/>
      <c r="B47" s="670"/>
      <c r="C47" s="3130"/>
      <c r="D47" s="3131"/>
      <c r="E47" s="3131"/>
      <c r="F47" s="3131"/>
      <c r="G47" s="3131"/>
      <c r="H47" s="3131"/>
      <c r="I47" s="3131"/>
      <c r="J47" s="3131"/>
      <c r="K47" s="3132"/>
      <c r="L47" s="1760"/>
      <c r="M47" s="3124"/>
      <c r="N47" s="3125"/>
      <c r="O47" s="3125"/>
      <c r="P47" s="3125"/>
      <c r="Q47" s="3125"/>
      <c r="R47" s="3125"/>
      <c r="S47" s="3126"/>
      <c r="T47" s="671"/>
      <c r="U47" s="3"/>
      <c r="V47" s="4"/>
      <c r="W47" s="6"/>
      <c r="X47" s="3139"/>
      <c r="Y47" s="3140"/>
      <c r="Z47" s="3140"/>
      <c r="AA47" s="3140"/>
      <c r="AB47" s="3140"/>
      <c r="AC47" s="3140"/>
      <c r="AD47" s="3152"/>
      <c r="AF47" s="3139"/>
      <c r="AG47" s="3140"/>
      <c r="AH47" s="3140"/>
      <c r="AI47" s="3140"/>
      <c r="AJ47" s="3140"/>
      <c r="AK47" s="3140"/>
      <c r="AL47" s="3152"/>
      <c r="AM47" s="9"/>
      <c r="AN47" s="4"/>
      <c r="AO47" s="2889"/>
    </row>
    <row r="48" spans="1:41" ht="12" customHeight="1" x14ac:dyDescent="0.2">
      <c r="A48" s="3081"/>
      <c r="B48" s="670"/>
      <c r="C48" s="3130"/>
      <c r="D48" s="3131"/>
      <c r="E48" s="3131"/>
      <c r="F48" s="3131"/>
      <c r="G48" s="3131"/>
      <c r="H48" s="3131"/>
      <c r="I48" s="3131"/>
      <c r="J48" s="3131"/>
      <c r="K48" s="3132"/>
      <c r="L48" s="1760"/>
      <c r="M48" s="3124"/>
      <c r="N48" s="3125"/>
      <c r="O48" s="3125"/>
      <c r="P48" s="3125"/>
      <c r="Q48" s="3125"/>
      <c r="R48" s="3125"/>
      <c r="S48" s="3126"/>
      <c r="T48" s="671"/>
      <c r="U48" s="3"/>
      <c r="V48" s="4"/>
      <c r="W48" s="6"/>
      <c r="X48" s="3139"/>
      <c r="Y48" s="3140"/>
      <c r="Z48" s="3140"/>
      <c r="AA48" s="3140"/>
      <c r="AB48" s="3140"/>
      <c r="AC48" s="3140"/>
      <c r="AD48" s="3152"/>
      <c r="AF48" s="3139"/>
      <c r="AG48" s="3140"/>
      <c r="AH48" s="3140"/>
      <c r="AI48" s="3140"/>
      <c r="AJ48" s="3140"/>
      <c r="AK48" s="3140"/>
      <c r="AL48" s="3152"/>
      <c r="AM48" s="9"/>
      <c r="AN48" s="4"/>
      <c r="AO48" s="2889"/>
    </row>
    <row r="49" spans="1:41" ht="12" customHeight="1" x14ac:dyDescent="0.2">
      <c r="A49" s="3081"/>
      <c r="B49" s="670"/>
      <c r="C49" s="3130"/>
      <c r="D49" s="3131"/>
      <c r="E49" s="3131"/>
      <c r="F49" s="3131"/>
      <c r="G49" s="3131"/>
      <c r="H49" s="3131"/>
      <c r="I49" s="3131"/>
      <c r="J49" s="3131"/>
      <c r="K49" s="3132"/>
      <c r="L49" s="1760"/>
      <c r="M49" s="3124"/>
      <c r="N49" s="3125"/>
      <c r="O49" s="3125"/>
      <c r="P49" s="3125"/>
      <c r="Q49" s="3125"/>
      <c r="R49" s="3125"/>
      <c r="S49" s="3126"/>
      <c r="T49" s="671"/>
      <c r="U49" s="3"/>
      <c r="V49" s="4"/>
      <c r="W49" s="6"/>
      <c r="X49" s="3139"/>
      <c r="Y49" s="3140"/>
      <c r="Z49" s="3140"/>
      <c r="AA49" s="3140"/>
      <c r="AB49" s="3140"/>
      <c r="AC49" s="3140"/>
      <c r="AD49" s="3152"/>
      <c r="AF49" s="3139"/>
      <c r="AG49" s="3140"/>
      <c r="AH49" s="3140"/>
      <c r="AI49" s="3140"/>
      <c r="AJ49" s="3140"/>
      <c r="AK49" s="3140"/>
      <c r="AL49" s="3152"/>
      <c r="AM49" s="9"/>
      <c r="AN49" s="4"/>
      <c r="AO49" s="2889"/>
    </row>
    <row r="50" spans="1:41" ht="12" customHeight="1" x14ac:dyDescent="0.2">
      <c r="A50" s="3081"/>
      <c r="B50" s="670"/>
      <c r="C50" s="3130"/>
      <c r="D50" s="3131"/>
      <c r="E50" s="3131"/>
      <c r="F50" s="3131"/>
      <c r="G50" s="3131"/>
      <c r="H50" s="3131"/>
      <c r="I50" s="3131"/>
      <c r="J50" s="3131"/>
      <c r="K50" s="3132"/>
      <c r="L50" s="1760"/>
      <c r="M50" s="3124"/>
      <c r="N50" s="3125"/>
      <c r="O50" s="3125"/>
      <c r="P50" s="3125"/>
      <c r="Q50" s="3125"/>
      <c r="R50" s="3125"/>
      <c r="S50" s="3126"/>
      <c r="T50" s="671"/>
      <c r="U50" s="3"/>
      <c r="V50" s="4"/>
      <c r="W50" s="6"/>
      <c r="X50" s="3139"/>
      <c r="Y50" s="3140"/>
      <c r="Z50" s="3140"/>
      <c r="AA50" s="3140"/>
      <c r="AB50" s="3140"/>
      <c r="AC50" s="3140"/>
      <c r="AD50" s="3152"/>
      <c r="AF50" s="3139"/>
      <c r="AG50" s="3140"/>
      <c r="AH50" s="3140"/>
      <c r="AI50" s="3140"/>
      <c r="AJ50" s="3140"/>
      <c r="AK50" s="3140"/>
      <c r="AL50" s="3152"/>
      <c r="AM50" s="9"/>
      <c r="AN50" s="4"/>
      <c r="AO50" s="2889"/>
    </row>
    <row r="51" spans="1:41" ht="12" customHeight="1" x14ac:dyDescent="0.2">
      <c r="A51" s="3081"/>
      <c r="B51" s="670"/>
      <c r="C51" s="3130"/>
      <c r="D51" s="3131"/>
      <c r="E51" s="3131"/>
      <c r="F51" s="3131"/>
      <c r="G51" s="3131"/>
      <c r="H51" s="3131"/>
      <c r="I51" s="3131"/>
      <c r="J51" s="3131"/>
      <c r="K51" s="3132"/>
      <c r="L51" s="1760"/>
      <c r="M51" s="3124"/>
      <c r="N51" s="3125"/>
      <c r="O51" s="3125"/>
      <c r="P51" s="3125"/>
      <c r="Q51" s="3125"/>
      <c r="R51" s="3125"/>
      <c r="S51" s="3126"/>
      <c r="T51" s="671"/>
      <c r="U51" s="3"/>
      <c r="V51" s="4"/>
      <c r="W51" s="6"/>
      <c r="X51" s="3139"/>
      <c r="Y51" s="3140"/>
      <c r="Z51" s="3140"/>
      <c r="AA51" s="3140"/>
      <c r="AB51" s="3140"/>
      <c r="AC51" s="3140"/>
      <c r="AD51" s="3152"/>
      <c r="AF51" s="3139"/>
      <c r="AG51" s="3140"/>
      <c r="AH51" s="3140"/>
      <c r="AI51" s="3140"/>
      <c r="AJ51" s="3140"/>
      <c r="AK51" s="3140"/>
      <c r="AL51" s="3152"/>
      <c r="AM51" s="9"/>
      <c r="AN51" s="4"/>
      <c r="AO51" s="2889"/>
    </row>
    <row r="52" spans="1:41" ht="12" customHeight="1" x14ac:dyDescent="0.2">
      <c r="A52" s="3081"/>
      <c r="B52" s="670"/>
      <c r="C52" s="3130"/>
      <c r="D52" s="3131"/>
      <c r="E52" s="3131"/>
      <c r="F52" s="3131"/>
      <c r="G52" s="3131"/>
      <c r="H52" s="3131"/>
      <c r="I52" s="3131"/>
      <c r="J52" s="3131"/>
      <c r="K52" s="3132"/>
      <c r="L52" s="1760"/>
      <c r="M52" s="3124"/>
      <c r="N52" s="3125"/>
      <c r="O52" s="3125"/>
      <c r="P52" s="3125"/>
      <c r="Q52" s="3125"/>
      <c r="R52" s="3125"/>
      <c r="S52" s="3126"/>
      <c r="T52" s="671"/>
      <c r="U52" s="3"/>
      <c r="V52" s="4"/>
      <c r="W52" s="6"/>
      <c r="X52" s="3139"/>
      <c r="Y52" s="3140"/>
      <c r="Z52" s="3140"/>
      <c r="AA52" s="3140"/>
      <c r="AB52" s="3140"/>
      <c r="AC52" s="3140"/>
      <c r="AD52" s="3152"/>
      <c r="AF52" s="3139"/>
      <c r="AG52" s="3140"/>
      <c r="AH52" s="3140"/>
      <c r="AI52" s="3140"/>
      <c r="AJ52" s="3140"/>
      <c r="AK52" s="3140"/>
      <c r="AL52" s="3152"/>
      <c r="AM52" s="9"/>
      <c r="AN52" s="4"/>
      <c r="AO52" s="2889"/>
    </row>
    <row r="53" spans="1:41" ht="12" customHeight="1" thickBot="1" x14ac:dyDescent="0.25">
      <c r="A53" s="3081"/>
      <c r="B53" s="670"/>
      <c r="C53" s="3133"/>
      <c r="D53" s="3134"/>
      <c r="E53" s="3134"/>
      <c r="F53" s="3134"/>
      <c r="G53" s="3134"/>
      <c r="H53" s="3134"/>
      <c r="I53" s="3134"/>
      <c r="J53" s="3134"/>
      <c r="K53" s="3135"/>
      <c r="L53" s="1760"/>
      <c r="M53" s="3127"/>
      <c r="N53" s="3128"/>
      <c r="O53" s="3128"/>
      <c r="P53" s="3128"/>
      <c r="Q53" s="3128"/>
      <c r="R53" s="3128"/>
      <c r="S53" s="3129"/>
      <c r="T53" s="671"/>
      <c r="U53" s="3"/>
      <c r="V53" s="4"/>
      <c r="W53" s="6"/>
      <c r="X53" s="3139"/>
      <c r="Y53" s="3140"/>
      <c r="Z53" s="3140"/>
      <c r="AA53" s="3140"/>
      <c r="AB53" s="3140"/>
      <c r="AC53" s="3140"/>
      <c r="AD53" s="3152"/>
      <c r="AF53" s="3139"/>
      <c r="AG53" s="3140"/>
      <c r="AH53" s="3140"/>
      <c r="AI53" s="3140"/>
      <c r="AJ53" s="3140"/>
      <c r="AK53" s="3140"/>
      <c r="AL53" s="3152"/>
      <c r="AM53" s="9"/>
      <c r="AN53" s="4"/>
      <c r="AO53" s="2889"/>
    </row>
    <row r="54" spans="1:41" ht="12" customHeight="1" thickBot="1" x14ac:dyDescent="0.25">
      <c r="A54" s="3081"/>
      <c r="B54" s="670"/>
      <c r="C54" s="5"/>
      <c r="D54" s="5"/>
      <c r="E54" s="5"/>
      <c r="F54" s="5"/>
      <c r="G54" s="5"/>
      <c r="H54" s="5"/>
      <c r="I54" s="5"/>
      <c r="J54" s="5"/>
      <c r="K54" s="5"/>
      <c r="L54" s="5"/>
      <c r="M54" s="5"/>
      <c r="N54" s="5"/>
      <c r="O54" s="5"/>
      <c r="P54" s="5"/>
      <c r="Q54" s="5"/>
      <c r="R54" s="5"/>
      <c r="S54" s="5"/>
      <c r="T54" s="671"/>
      <c r="U54" s="3"/>
      <c r="V54" s="4"/>
      <c r="W54" s="6"/>
      <c r="X54" s="3139"/>
      <c r="Y54" s="3140"/>
      <c r="Z54" s="3140"/>
      <c r="AA54" s="3140"/>
      <c r="AB54" s="3140"/>
      <c r="AC54" s="3140"/>
      <c r="AD54" s="3152"/>
      <c r="AF54" s="3139"/>
      <c r="AG54" s="3140"/>
      <c r="AH54" s="3140"/>
      <c r="AI54" s="3140"/>
      <c r="AJ54" s="3140"/>
      <c r="AK54" s="3140"/>
      <c r="AL54" s="3152"/>
      <c r="AM54" s="9"/>
      <c r="AN54" s="4"/>
      <c r="AO54" s="2889"/>
    </row>
    <row r="55" spans="1:41" ht="12" customHeight="1" thickBot="1" x14ac:dyDescent="0.25">
      <c r="A55" s="3081"/>
      <c r="B55" s="670"/>
      <c r="C55" s="3066" t="s">
        <v>8920</v>
      </c>
      <c r="D55" s="3067"/>
      <c r="E55" s="3067"/>
      <c r="F55" s="3067"/>
      <c r="G55" s="3067"/>
      <c r="H55" s="3067"/>
      <c r="I55" s="3067"/>
      <c r="J55" s="3067"/>
      <c r="K55" s="3067"/>
      <c r="L55" s="3067"/>
      <c r="M55" s="3067"/>
      <c r="N55" s="3067"/>
      <c r="O55" s="3067"/>
      <c r="P55" s="3067"/>
      <c r="Q55" s="3067"/>
      <c r="R55" s="3067"/>
      <c r="S55" s="3068"/>
      <c r="T55" s="671"/>
      <c r="U55" s="3"/>
      <c r="V55" s="4"/>
      <c r="W55" s="6"/>
      <c r="X55" s="3204"/>
      <c r="Y55" s="3154"/>
      <c r="Z55" s="3154"/>
      <c r="AA55" s="3154"/>
      <c r="AB55" s="3154"/>
      <c r="AC55" s="3154"/>
      <c r="AD55" s="3155"/>
      <c r="AF55" s="3204"/>
      <c r="AG55" s="3154"/>
      <c r="AH55" s="3154"/>
      <c r="AI55" s="3154"/>
      <c r="AJ55" s="3154"/>
      <c r="AK55" s="3154"/>
      <c r="AL55" s="3155"/>
      <c r="AM55" s="9"/>
      <c r="AN55" s="4"/>
      <c r="AO55" s="2889"/>
    </row>
    <row r="56" spans="1:41" ht="12" customHeight="1" thickBot="1" x14ac:dyDescent="0.25">
      <c r="A56" s="3081"/>
      <c r="B56" s="670"/>
      <c r="C56" s="3087"/>
      <c r="D56" s="3088"/>
      <c r="E56" s="3089"/>
      <c r="F56" s="3089"/>
      <c r="G56" s="3089"/>
      <c r="H56" s="3089"/>
      <c r="I56" s="3089"/>
      <c r="J56" s="3089"/>
      <c r="K56" s="3089"/>
      <c r="L56" s="3089"/>
      <c r="M56" s="3089"/>
      <c r="N56" s="3089"/>
      <c r="O56" s="3089"/>
      <c r="P56" s="3089"/>
      <c r="Q56" s="3089"/>
      <c r="R56" s="3089"/>
      <c r="S56" s="3090"/>
      <c r="T56" s="671"/>
      <c r="U56" s="3"/>
      <c r="V56" s="4"/>
      <c r="W56" s="6"/>
      <c r="AM56" s="9"/>
      <c r="AN56" s="4"/>
      <c r="AO56" s="2889"/>
    </row>
    <row r="57" spans="1:41" ht="12" customHeight="1" thickBot="1" x14ac:dyDescent="0.25">
      <c r="A57" s="3081"/>
      <c r="B57" s="670"/>
      <c r="C57" s="3091"/>
      <c r="D57" s="3092"/>
      <c r="E57" s="3093"/>
      <c r="F57" s="3093"/>
      <c r="G57" s="3093"/>
      <c r="H57" s="3093"/>
      <c r="I57" s="3093"/>
      <c r="J57" s="3093"/>
      <c r="K57" s="3093"/>
      <c r="L57" s="3093"/>
      <c r="M57" s="3093"/>
      <c r="N57" s="3093"/>
      <c r="O57" s="3093"/>
      <c r="P57" s="3093"/>
      <c r="Q57" s="3093"/>
      <c r="R57" s="3093"/>
      <c r="S57" s="3094"/>
      <c r="T57" s="671"/>
      <c r="U57" s="3"/>
      <c r="V57" s="4"/>
      <c r="W57" s="6"/>
      <c r="X57" s="3228" t="s">
        <v>1348</v>
      </c>
      <c r="Y57" s="3229"/>
      <c r="Z57" s="3229"/>
      <c r="AA57" s="3229"/>
      <c r="AB57" s="3157"/>
      <c r="AC57" s="3157"/>
      <c r="AD57" s="3158"/>
      <c r="AF57" s="3230" t="s">
        <v>1349</v>
      </c>
      <c r="AG57" s="3231"/>
      <c r="AH57" s="3231"/>
      <c r="AI57" s="3231"/>
      <c r="AJ57" s="3231"/>
      <c r="AK57" s="3232" t="str">
        <f>VLOOKUP(AF59,Tabla_Fama,2)</f>
        <v>Desconocido</v>
      </c>
      <c r="AL57" s="3233"/>
      <c r="AM57" s="9"/>
      <c r="AN57" s="4"/>
      <c r="AO57" s="2889"/>
    </row>
    <row r="58" spans="1:41" ht="12" customHeight="1" x14ac:dyDescent="0.2">
      <c r="A58" s="3081"/>
      <c r="B58" s="670"/>
      <c r="C58" s="3091"/>
      <c r="D58" s="3092"/>
      <c r="E58" s="3093"/>
      <c r="F58" s="3093"/>
      <c r="G58" s="3093"/>
      <c r="H58" s="3093"/>
      <c r="I58" s="3093"/>
      <c r="J58" s="3093"/>
      <c r="K58" s="3093"/>
      <c r="L58" s="3093"/>
      <c r="M58" s="3093"/>
      <c r="N58" s="3093"/>
      <c r="O58" s="3093"/>
      <c r="P58" s="3093"/>
      <c r="Q58" s="3093"/>
      <c r="R58" s="3093"/>
      <c r="S58" s="3094"/>
      <c r="T58" s="671"/>
      <c r="U58" s="3"/>
      <c r="V58" s="4"/>
      <c r="W58" s="6"/>
      <c r="X58" s="3220" t="s">
        <v>1350</v>
      </c>
      <c r="Y58" s="3221"/>
      <c r="Z58" s="3221"/>
      <c r="AA58" s="3222"/>
      <c r="AB58" s="3223" t="s">
        <v>1351</v>
      </c>
      <c r="AC58" s="3224"/>
      <c r="AD58" s="3225"/>
      <c r="AF58" s="1669" t="s">
        <v>1352</v>
      </c>
      <c r="AG58" s="3226" t="s">
        <v>1353</v>
      </c>
      <c r="AH58" s="3226"/>
      <c r="AI58" s="1659"/>
      <c r="AJ58" s="3226" t="s">
        <v>1354</v>
      </c>
      <c r="AK58" s="3226"/>
      <c r="AL58" s="1670"/>
      <c r="AM58" s="9"/>
      <c r="AN58" s="4"/>
      <c r="AO58" s="2889"/>
    </row>
    <row r="59" spans="1:41" ht="12" customHeight="1" thickBot="1" x14ac:dyDescent="0.25">
      <c r="A59" s="3081"/>
      <c r="B59" s="670"/>
      <c r="C59" s="3091"/>
      <c r="D59" s="3092"/>
      <c r="E59" s="3093"/>
      <c r="F59" s="3093"/>
      <c r="G59" s="3093"/>
      <c r="H59" s="3093"/>
      <c r="I59" s="3093"/>
      <c r="J59" s="3093"/>
      <c r="K59" s="3093"/>
      <c r="L59" s="3093"/>
      <c r="M59" s="3093"/>
      <c r="N59" s="3093"/>
      <c r="O59" s="3093"/>
      <c r="P59" s="3093"/>
      <c r="Q59" s="3093"/>
      <c r="R59" s="3093"/>
      <c r="S59" s="3094"/>
      <c r="T59" s="671"/>
      <c r="U59" s="3"/>
      <c r="V59" s="4"/>
      <c r="W59" s="6"/>
      <c r="X59" s="3227" t="s">
        <v>1355</v>
      </c>
      <c r="Y59" s="3164"/>
      <c r="Z59" s="3265"/>
      <c r="AA59" s="3165"/>
      <c r="AB59" s="3250"/>
      <c r="AC59" s="3251"/>
      <c r="AD59" s="3252"/>
      <c r="AF59" s="3259">
        <f>MAX(AI58+AI60+AL59+AL58+AI59,IF(Tablas!$G$486&gt;0,40,IF(Tablas!$G$487&gt;0,65)))</f>
        <v>0</v>
      </c>
      <c r="AG59" s="3226" t="s">
        <v>1356</v>
      </c>
      <c r="AH59" s="3226"/>
      <c r="AI59" s="1639"/>
      <c r="AJ59" s="3226" t="s">
        <v>1357</v>
      </c>
      <c r="AK59" s="3261"/>
      <c r="AL59" s="1671"/>
      <c r="AM59" s="9"/>
      <c r="AN59" s="4"/>
      <c r="AO59" s="2889"/>
    </row>
    <row r="60" spans="1:41" ht="12" customHeight="1" thickBot="1" x14ac:dyDescent="0.25">
      <c r="A60" s="3081"/>
      <c r="B60" s="670"/>
      <c r="C60" s="3091"/>
      <c r="D60" s="3092"/>
      <c r="E60" s="3093"/>
      <c r="F60" s="3093"/>
      <c r="G60" s="3093"/>
      <c r="H60" s="3093"/>
      <c r="I60" s="3093"/>
      <c r="J60" s="3093"/>
      <c r="K60" s="3093"/>
      <c r="L60" s="3093"/>
      <c r="M60" s="3093"/>
      <c r="N60" s="3093"/>
      <c r="O60" s="3093"/>
      <c r="P60" s="3093"/>
      <c r="Q60" s="3093"/>
      <c r="R60" s="3093"/>
      <c r="S60" s="3094"/>
      <c r="T60" s="671"/>
      <c r="U60" s="3"/>
      <c r="V60" s="4"/>
      <c r="W60" s="6"/>
      <c r="X60" s="3227"/>
      <c r="Y60" s="3162"/>
      <c r="Z60" s="3238"/>
      <c r="AA60" s="3163"/>
      <c r="AB60" s="3253"/>
      <c r="AC60" s="3254"/>
      <c r="AD60" s="3255"/>
      <c r="AF60" s="3260"/>
      <c r="AG60" s="3262" t="s">
        <v>1358</v>
      </c>
      <c r="AH60" s="3262"/>
      <c r="AI60" s="1672"/>
      <c r="AJ60" s="3263" t="s">
        <v>1359</v>
      </c>
      <c r="AK60" s="3264"/>
      <c r="AL60" s="1673">
        <f>VLOOKUP(AF59,Tabla_Fama,3)</f>
        <v>0</v>
      </c>
      <c r="AM60" s="9"/>
      <c r="AN60" s="4"/>
      <c r="AO60" s="2889"/>
    </row>
    <row r="61" spans="1:41" ht="12" customHeight="1" thickBot="1" x14ac:dyDescent="0.25">
      <c r="A61" s="3081"/>
      <c r="B61" s="670"/>
      <c r="C61" s="3091"/>
      <c r="D61" s="3092"/>
      <c r="E61" s="3093"/>
      <c r="F61" s="3093"/>
      <c r="G61" s="3093"/>
      <c r="H61" s="3093"/>
      <c r="I61" s="3093"/>
      <c r="J61" s="3093"/>
      <c r="K61" s="3093"/>
      <c r="L61" s="3093"/>
      <c r="M61" s="3093"/>
      <c r="N61" s="3093"/>
      <c r="O61" s="3093"/>
      <c r="P61" s="3093"/>
      <c r="Q61" s="3093"/>
      <c r="R61" s="3093"/>
      <c r="S61" s="3094"/>
      <c r="T61" s="671"/>
      <c r="U61" s="3"/>
      <c r="V61" s="4"/>
      <c r="W61" s="6"/>
      <c r="X61" s="3227" t="s">
        <v>1360</v>
      </c>
      <c r="Y61" s="3162"/>
      <c r="Z61" s="3238"/>
      <c r="AA61" s="3163"/>
      <c r="AB61" s="3253"/>
      <c r="AC61" s="3254"/>
      <c r="AD61" s="3255"/>
      <c r="AM61" s="9"/>
      <c r="AN61" s="4"/>
      <c r="AO61" s="2889"/>
    </row>
    <row r="62" spans="1:41" ht="12" customHeight="1" thickBot="1" x14ac:dyDescent="0.25">
      <c r="A62" s="3081"/>
      <c r="B62" s="670"/>
      <c r="C62" s="3091"/>
      <c r="D62" s="3092"/>
      <c r="E62" s="3093"/>
      <c r="F62" s="3093"/>
      <c r="G62" s="3093"/>
      <c r="H62" s="3093"/>
      <c r="I62" s="3093"/>
      <c r="J62" s="3093"/>
      <c r="K62" s="3093"/>
      <c r="L62" s="3093"/>
      <c r="M62" s="3093"/>
      <c r="N62" s="3093"/>
      <c r="O62" s="3093"/>
      <c r="P62" s="3093"/>
      <c r="Q62" s="3093"/>
      <c r="R62" s="3093"/>
      <c r="S62" s="3094"/>
      <c r="T62" s="671"/>
      <c r="U62" s="3"/>
      <c r="V62" s="4"/>
      <c r="W62" s="6"/>
      <c r="X62" s="3227"/>
      <c r="Y62" s="3162"/>
      <c r="Z62" s="3238"/>
      <c r="AA62" s="3163"/>
      <c r="AB62" s="3253"/>
      <c r="AC62" s="3254"/>
      <c r="AD62" s="3255"/>
      <c r="AF62" s="3228" t="s">
        <v>1361</v>
      </c>
      <c r="AG62" s="3229"/>
      <c r="AH62" s="3229"/>
      <c r="AI62" s="3229"/>
      <c r="AJ62" s="3229"/>
      <c r="AK62" s="3157"/>
      <c r="AL62" s="3158"/>
      <c r="AM62" s="9"/>
      <c r="AN62" s="4"/>
      <c r="AO62" s="2889"/>
    </row>
    <row r="63" spans="1:41" ht="12" customHeight="1" thickBot="1" x14ac:dyDescent="0.25">
      <c r="A63" s="3081"/>
      <c r="B63" s="670"/>
      <c r="C63" s="3091"/>
      <c r="D63" s="3092"/>
      <c r="E63" s="3093"/>
      <c r="F63" s="3093"/>
      <c r="G63" s="3093"/>
      <c r="H63" s="3093"/>
      <c r="I63" s="3093"/>
      <c r="J63" s="3093"/>
      <c r="K63" s="3093"/>
      <c r="L63" s="3093"/>
      <c r="M63" s="3093"/>
      <c r="N63" s="3093"/>
      <c r="O63" s="3093"/>
      <c r="P63" s="3093"/>
      <c r="Q63" s="3093"/>
      <c r="R63" s="3093"/>
      <c r="S63" s="3094"/>
      <c r="T63" s="671"/>
      <c r="U63" s="3"/>
      <c r="V63" s="4"/>
      <c r="W63" s="6"/>
      <c r="X63" s="3236" t="s">
        <v>1362</v>
      </c>
      <c r="Y63" s="3162"/>
      <c r="Z63" s="3238"/>
      <c r="AA63" s="3163"/>
      <c r="AB63" s="3253"/>
      <c r="AC63" s="3254"/>
      <c r="AD63" s="3255"/>
      <c r="AF63" s="3240" t="s">
        <v>1363</v>
      </c>
      <c r="AG63" s="3241"/>
      <c r="AH63" s="3241"/>
      <c r="AI63" s="1640">
        <f>IF(INT+POD+VOL=0,0,VLOOKUP(INT+POD+VOL,Tabla_Cordura,3))</f>
        <v>0</v>
      </c>
      <c r="AJ63" s="3242">
        <f>IF(INT+POD+VOL=0,0,VLOOKUP(INT+POD+VOL,Tabla_Cordura,2))</f>
        <v>0</v>
      </c>
      <c r="AK63" s="3244"/>
      <c r="AL63" s="3245"/>
      <c r="AM63" s="9"/>
      <c r="AN63" s="4"/>
      <c r="AO63" s="2889"/>
    </row>
    <row r="64" spans="1:41" ht="12" customHeight="1" thickBot="1" x14ac:dyDescent="0.25">
      <c r="A64" s="3081"/>
      <c r="B64" s="670"/>
      <c r="C64" s="3095"/>
      <c r="D64" s="3096"/>
      <c r="E64" s="3097"/>
      <c r="F64" s="3097"/>
      <c r="G64" s="3097"/>
      <c r="H64" s="3097"/>
      <c r="I64" s="3097"/>
      <c r="J64" s="3097"/>
      <c r="K64" s="3097"/>
      <c r="L64" s="3097"/>
      <c r="M64" s="3097"/>
      <c r="N64" s="3097"/>
      <c r="O64" s="3097"/>
      <c r="P64" s="3097"/>
      <c r="Q64" s="3097"/>
      <c r="R64" s="3097"/>
      <c r="S64" s="3098"/>
      <c r="T64" s="671"/>
      <c r="U64" s="3"/>
      <c r="V64" s="4"/>
      <c r="W64" s="6"/>
      <c r="X64" s="3237"/>
      <c r="Y64" s="3206"/>
      <c r="Z64" s="3239"/>
      <c r="AA64" s="3207"/>
      <c r="AB64" s="3256"/>
      <c r="AC64" s="3257"/>
      <c r="AD64" s="3258"/>
      <c r="AF64" s="3248"/>
      <c r="AG64" s="3249"/>
      <c r="AH64" s="3249"/>
      <c r="AI64" s="3249"/>
      <c r="AJ64" s="3243"/>
      <c r="AK64" s="3246"/>
      <c r="AL64" s="3247"/>
      <c r="AM64" s="9"/>
      <c r="AN64" s="4"/>
      <c r="AO64" s="2889"/>
    </row>
    <row r="65" spans="1:41" ht="12" customHeight="1" thickBot="1" x14ac:dyDescent="0.25">
      <c r="A65" s="3081"/>
      <c r="B65" s="3085"/>
      <c r="C65" s="3086"/>
      <c r="D65" s="3086"/>
      <c r="E65" s="3086"/>
      <c r="F65" s="3086"/>
      <c r="G65" s="3086"/>
      <c r="H65" s="3086"/>
      <c r="I65" s="3086"/>
      <c r="J65" s="3086"/>
      <c r="K65" s="3086"/>
      <c r="L65" s="3086"/>
      <c r="M65" s="3086"/>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889"/>
    </row>
    <row r="66" spans="1:41" ht="12" customHeight="1" x14ac:dyDescent="0.2">
      <c r="A66" s="308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891"/>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348" priority="23" stopIfTrue="1" operator="equal">
      <formula>0</formula>
    </cfRule>
  </conditionalFormatting>
  <conditionalFormatting sqref="J23">
    <cfRule type="expression" dxfId="1347" priority="15" stopIfTrue="1">
      <formula>ISNUMBER(SEARCH(Raza,Nephilim))</formula>
    </cfRule>
  </conditionalFormatting>
  <conditionalFormatting sqref="X12">
    <cfRule type="expression" dxfId="1346" priority="2285">
      <formula>$AC$12&gt;=$AA$12</formula>
    </cfRule>
  </conditionalFormatting>
  <conditionalFormatting sqref="X14:AD14">
    <cfRule type="expression" dxfId="1345" priority="10">
      <formula>$X$14&lt;&gt;""</formula>
    </cfRule>
  </conditionalFormatting>
  <conditionalFormatting sqref="N26:R26">
    <cfRule type="expression" dxfId="1344" priority="5" stopIfTrue="1">
      <formula>$M$26&lt;&gt;"Clase social:"</formula>
    </cfRule>
  </conditionalFormatting>
  <conditionalFormatting sqref="Q23:R23">
    <cfRule type="expression" dxfId="1343" priority="4">
      <formula>$F$23="Humano"</formula>
    </cfRule>
  </conditionalFormatting>
  <conditionalFormatting sqref="N23:P23">
    <cfRule type="expression" dxfId="1342" priority="3">
      <formula>$F$23&lt;&gt;"Humano"</formula>
    </cfRule>
  </conditionalFormatting>
  <conditionalFormatting sqref="AL31">
    <cfRule type="expression" dxfId="1341" priority="1" stopIfTrue="1">
      <formula>$AL$31&gt;VALUE(LEFT($AK$32,LEN($AK$32)-3))</formula>
    </cfRule>
    <cfRule type="expression" dxfId="1340"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888" t="s">
        <v>8943</v>
      </c>
      <c r="AN1" s="2892"/>
      <c r="AO1" s="2892"/>
      <c r="AP1" s="2892"/>
      <c r="AQ1" s="2892"/>
      <c r="AR1" s="1872"/>
      <c r="AS1" s="1872"/>
      <c r="AT1" s="1872"/>
      <c r="AU1" s="1872"/>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8491</v>
      </c>
      <c r="T2" s="1116">
        <f>Tablas!J1227</f>
        <v>10</v>
      </c>
      <c r="U2" s="1130"/>
      <c r="V2" s="1118"/>
      <c r="W2" s="1118"/>
      <c r="X2" s="1118"/>
      <c r="Y2" s="1118"/>
      <c r="Z2" s="1118"/>
      <c r="AA2" s="1118"/>
      <c r="AB2" s="1118"/>
      <c r="AC2" s="1118"/>
      <c r="AD2" s="1118"/>
      <c r="AE2" s="1118"/>
      <c r="AF2" s="1118"/>
      <c r="AG2" s="1118"/>
      <c r="AH2" s="1118"/>
      <c r="AI2" s="1118"/>
      <c r="AJ2" s="1118"/>
      <c r="AK2" s="1513"/>
      <c r="AL2" s="674"/>
      <c r="AM2" s="2888"/>
      <c r="AN2" s="2892"/>
      <c r="AO2" s="2892"/>
      <c r="AP2" s="2892"/>
      <c r="AQ2" s="2892"/>
      <c r="AR2" s="1872"/>
      <c r="AS2" s="1872"/>
      <c r="AT2" s="1872"/>
      <c r="AU2" s="1872"/>
    </row>
    <row r="3" spans="1:47" ht="12" customHeight="1" thickBot="1" x14ac:dyDescent="0.25">
      <c r="A3" s="10"/>
      <c r="B3" s="513"/>
      <c r="C3" s="3291"/>
      <c r="D3" s="3291"/>
      <c r="E3" s="3291"/>
      <c r="F3" s="3291"/>
      <c r="G3" s="3291"/>
      <c r="H3" s="3291"/>
      <c r="I3" s="26"/>
      <c r="J3" s="26"/>
      <c r="K3" s="657"/>
      <c r="L3" s="26"/>
      <c r="M3" s="26"/>
      <c r="N3" s="26"/>
      <c r="O3" s="26"/>
      <c r="P3" s="26"/>
      <c r="Q3" s="27"/>
      <c r="R3" s="666"/>
      <c r="S3" s="1117" t="s">
        <v>8492</v>
      </c>
      <c r="T3" s="1116">
        <f>Tablas!J1228</f>
        <v>10</v>
      </c>
      <c r="U3" s="1131"/>
      <c r="V3" s="3187"/>
      <c r="W3" s="3187"/>
      <c r="X3" s="3187"/>
      <c r="Y3" s="3187"/>
      <c r="Z3" s="3187"/>
      <c r="AA3" s="3187"/>
      <c r="AB3" s="7"/>
      <c r="AC3" s="7"/>
      <c r="AD3" s="7"/>
      <c r="AE3" s="7"/>
      <c r="AF3" s="7"/>
      <c r="AG3" s="7"/>
      <c r="AH3" s="7"/>
      <c r="AI3" s="7"/>
      <c r="AJ3" s="8"/>
      <c r="AK3" s="1514"/>
      <c r="AL3" s="674"/>
      <c r="AM3" s="2888"/>
      <c r="AN3" s="2892"/>
      <c r="AO3" s="2892"/>
      <c r="AP3" s="2892"/>
      <c r="AQ3" s="2892"/>
      <c r="AR3" s="1872"/>
      <c r="AS3" s="1872"/>
      <c r="AT3" s="1872"/>
      <c r="AU3" s="1872"/>
    </row>
    <row r="4" spans="1:47" ht="12" customHeight="1" thickBot="1" x14ac:dyDescent="0.25">
      <c r="A4" s="10"/>
      <c r="B4" s="866"/>
      <c r="C4" s="3291"/>
      <c r="D4" s="3291"/>
      <c r="E4" s="3291"/>
      <c r="F4" s="3291"/>
      <c r="G4" s="3291"/>
      <c r="H4" s="3291"/>
      <c r="I4" s="24"/>
      <c r="J4" s="2267" t="s">
        <v>1326</v>
      </c>
      <c r="K4" s="3189" t="str">
        <f>IF(OR(General!$F$22="",General!$F$22=0),"",General!$F$22)</f>
        <v/>
      </c>
      <c r="L4" s="3189"/>
      <c r="M4" s="3189"/>
      <c r="N4" s="3189"/>
      <c r="O4" s="3189"/>
      <c r="P4" s="3189"/>
      <c r="Q4" s="2466"/>
      <c r="R4" s="967"/>
      <c r="S4" s="1111"/>
      <c r="T4" s="1112"/>
      <c r="U4" s="1131"/>
      <c r="V4" s="3187"/>
      <c r="W4" s="3187"/>
      <c r="X4" s="3187"/>
      <c r="Y4" s="3187"/>
      <c r="Z4" s="3187"/>
      <c r="AA4" s="3187"/>
      <c r="AB4" s="3325" t="s">
        <v>1326</v>
      </c>
      <c r="AC4" s="3325"/>
      <c r="AD4" s="3189" t="str">
        <f>IF(OR(General!$F$22="",General!$F$22=0),"",General!$F$22)</f>
        <v/>
      </c>
      <c r="AE4" s="3189"/>
      <c r="AF4" s="3189"/>
      <c r="AG4" s="3189"/>
      <c r="AH4" s="3189"/>
      <c r="AI4" s="3189"/>
      <c r="AJ4" s="11"/>
      <c r="AK4" s="1514"/>
      <c r="AL4" s="674"/>
      <c r="AM4" s="2893"/>
      <c r="AN4" s="2892"/>
      <c r="AO4" s="2892"/>
      <c r="AP4" s="2892"/>
      <c r="AQ4" s="2892"/>
      <c r="AR4" s="1872"/>
      <c r="AS4" s="1872"/>
      <c r="AT4" s="1872"/>
      <c r="AU4" s="1872"/>
    </row>
    <row r="5" spans="1:47" ht="12" customHeight="1" thickBot="1" x14ac:dyDescent="0.25">
      <c r="A5" s="10"/>
      <c r="B5" s="866"/>
      <c r="C5" s="3291"/>
      <c r="D5" s="3291"/>
      <c r="E5" s="3291"/>
      <c r="F5" s="3291"/>
      <c r="G5" s="3291"/>
      <c r="H5" s="3291"/>
      <c r="I5" s="2262"/>
      <c r="J5" s="2464" t="s">
        <v>1327</v>
      </c>
      <c r="K5" s="3327" t="str">
        <f>PDs!P5&amp;IF(PDs!P7="",""," "&amp;PDs!S5&amp;"/ "&amp;PDs!P7&amp;" "&amp;PDs!S7&amp;IF(PDs!P9="","","/ "&amp;PDs!P9&amp;" "&amp;PDs!S9&amp;IF(PDs!P11="","","/ "&amp;PDs!P11&amp;" "&amp;PDs!S11&amp;IF(PDs!P13="","","/ "&amp;PDs!P13&amp;" "&amp;PDs!S13))))</f>
        <v/>
      </c>
      <c r="L5" s="3327"/>
      <c r="M5" s="3327"/>
      <c r="N5" s="3327"/>
      <c r="O5" s="3327"/>
      <c r="P5" s="3327"/>
      <c r="Q5" s="3328"/>
      <c r="R5" s="666"/>
      <c r="S5" s="1111"/>
      <c r="T5" s="1112"/>
      <c r="U5" s="1131"/>
      <c r="V5" s="3187"/>
      <c r="W5" s="3187"/>
      <c r="X5" s="3187"/>
      <c r="Y5" s="3187"/>
      <c r="Z5" s="3187"/>
      <c r="AA5" s="3187"/>
      <c r="AB5" s="3326" t="s">
        <v>1327</v>
      </c>
      <c r="AC5" s="3326"/>
      <c r="AD5" s="3002" t="str">
        <f>PDs!$J$8</f>
        <v/>
      </c>
      <c r="AE5" s="3002"/>
      <c r="AF5" s="3002"/>
      <c r="AG5" s="3002"/>
      <c r="AH5" s="2467" t="s">
        <v>1328</v>
      </c>
      <c r="AI5" s="2455" t="str">
        <f>$O$6</f>
        <v>0</v>
      </c>
      <c r="AJ5" s="12"/>
      <c r="AK5" s="1514"/>
      <c r="AL5" s="674"/>
      <c r="AM5" s="2893"/>
      <c r="AN5" s="2892"/>
      <c r="AO5" s="2892"/>
      <c r="AP5" s="2892"/>
      <c r="AQ5" s="2892"/>
      <c r="AR5" s="1872"/>
      <c r="AS5" s="1872"/>
      <c r="AT5" s="1872"/>
      <c r="AU5" s="1872"/>
    </row>
    <row r="6" spans="1:47" ht="12" customHeight="1" thickBot="1" x14ac:dyDescent="0.25">
      <c r="A6" s="10"/>
      <c r="B6" s="866"/>
      <c r="C6" s="3291"/>
      <c r="D6" s="3291"/>
      <c r="E6" s="3291"/>
      <c r="F6" s="3291"/>
      <c r="G6" s="3291"/>
      <c r="H6" s="3291"/>
      <c r="I6" s="24"/>
      <c r="J6" s="2464" t="s">
        <v>1364</v>
      </c>
      <c r="K6" s="1987">
        <f>MIN(IF(Raza="Criatura",45,IF(OR(Raza="Jayán",AND(Raza="Turak",COUNTIF(Cercanía_Dragón,"Descomunales"))),24,22)),AS21)</f>
        <v>1</v>
      </c>
      <c r="L6" s="3002" t="str">
        <f>IF(Raza="Criatura",VLOOKUP(Tamaño,Tabla_CreaciónSeres,2),IF(AND(OR(Raza="Jayán",AND(Raza="Turak",COUNTIF(Cercanía_Dragón,"Descomunales"))),Tamaño&gt;22),"Grande","Medio"))</f>
        <v>Medio</v>
      </c>
      <c r="M6" s="3002"/>
      <c r="N6" s="2465" t="s">
        <v>1328</v>
      </c>
      <c r="O6" s="2455" t="str">
        <f>PDs!R15&amp;IF(Principal!AA27=0,""," + "&amp;Principal!AA27)</f>
        <v>0</v>
      </c>
      <c r="P6" s="1012"/>
      <c r="Q6" s="30"/>
      <c r="R6" s="666"/>
      <c r="S6" s="1111"/>
      <c r="T6" s="1112"/>
      <c r="U6" s="1131"/>
      <c r="V6" s="3187"/>
      <c r="W6" s="3187"/>
      <c r="X6" s="3187"/>
      <c r="Y6" s="3187"/>
      <c r="Z6" s="3187"/>
      <c r="AA6" s="3187"/>
      <c r="AB6" s="10"/>
      <c r="AC6" s="3182" t="s">
        <v>1365</v>
      </c>
      <c r="AD6" s="3182"/>
      <c r="AE6" s="3182"/>
      <c r="AF6" s="3182"/>
      <c r="AG6" s="3182"/>
      <c r="AH6" s="3182"/>
      <c r="AI6" s="3182"/>
      <c r="AJ6" s="12"/>
      <c r="AK6" s="1514"/>
      <c r="AL6" s="674"/>
      <c r="AM6" s="2888"/>
      <c r="AN6" s="2892"/>
      <c r="AO6" s="2892"/>
      <c r="AP6" s="2894"/>
      <c r="AQ6" s="2894"/>
      <c r="AR6" s="1872"/>
      <c r="AS6" s="1872"/>
      <c r="AT6" s="1872"/>
      <c r="AU6" s="1872"/>
    </row>
    <row r="7" spans="1:47" ht="12" customHeight="1" thickBot="1" x14ac:dyDescent="0.25">
      <c r="A7" s="10"/>
      <c r="B7" s="866"/>
      <c r="C7" s="3291"/>
      <c r="D7" s="3291"/>
      <c r="E7" s="3291"/>
      <c r="F7" s="3291"/>
      <c r="G7" s="3291"/>
      <c r="H7" s="3291"/>
      <c r="I7" s="24"/>
      <c r="J7" s="2463" t="s">
        <v>1366</v>
      </c>
      <c r="K7" s="3002" t="str">
        <f>TipoDeCriatura&amp;IF(AND(TipoDeCriatura="Natural",NOT(Raza=0)),", "&amp;Raza&amp;" ","")&amp;IF(Nephilim="",""," ("&amp;Nephilim&amp;")")&amp;" "&amp;Principal!AB13</f>
        <v xml:space="preserve">Natural </v>
      </c>
      <c r="L7" s="3002"/>
      <c r="M7" s="3002"/>
      <c r="N7" s="3002"/>
      <c r="O7" s="3002"/>
      <c r="P7" s="3002"/>
      <c r="Q7" s="30"/>
      <c r="R7" s="666"/>
      <c r="S7" s="1111"/>
      <c r="T7" s="1112"/>
      <c r="U7" s="1131"/>
      <c r="V7" s="3187"/>
      <c r="W7" s="3187"/>
      <c r="X7" s="3187"/>
      <c r="Y7" s="3187"/>
      <c r="Z7" s="3187"/>
      <c r="AA7" s="3187"/>
      <c r="AB7" s="10"/>
      <c r="AC7" s="3182"/>
      <c r="AD7" s="3182"/>
      <c r="AE7" s="3182"/>
      <c r="AF7" s="3182"/>
      <c r="AG7" s="3182"/>
      <c r="AH7" s="3182"/>
      <c r="AI7" s="3182"/>
      <c r="AJ7" s="12"/>
      <c r="AK7" s="1514"/>
      <c r="AL7" s="674"/>
      <c r="AM7" s="2888"/>
      <c r="AN7" s="2892"/>
      <c r="AO7" s="2892"/>
      <c r="AP7" s="2892"/>
      <c r="AQ7" s="2892"/>
      <c r="AR7" s="1872"/>
      <c r="AS7" s="1872"/>
      <c r="AT7" s="1872"/>
      <c r="AU7" s="1872"/>
    </row>
    <row r="8" spans="1:47" ht="12" customHeight="1" thickBot="1" x14ac:dyDescent="0.25">
      <c r="A8" s="10"/>
      <c r="B8" s="866"/>
      <c r="C8" s="3291"/>
      <c r="D8" s="3291"/>
      <c r="E8" s="3291"/>
      <c r="F8" s="3291"/>
      <c r="G8" s="3291"/>
      <c r="H8" s="3291"/>
      <c r="I8" s="32"/>
      <c r="J8" s="32"/>
      <c r="K8" s="658"/>
      <c r="L8" s="32"/>
      <c r="M8" s="32"/>
      <c r="N8" s="32"/>
      <c r="O8" s="32"/>
      <c r="P8" s="32"/>
      <c r="Q8" s="33"/>
      <c r="R8" s="666"/>
      <c r="S8" s="1111"/>
      <c r="T8" s="1112"/>
      <c r="U8" s="1131"/>
      <c r="V8" s="3187"/>
      <c r="W8" s="3187"/>
      <c r="X8" s="3187"/>
      <c r="Y8" s="3187"/>
      <c r="Z8" s="3187"/>
      <c r="AA8" s="3187"/>
      <c r="AB8" s="13"/>
      <c r="AC8" s="34"/>
      <c r="AD8" s="34"/>
      <c r="AE8" s="34"/>
      <c r="AF8" s="34"/>
      <c r="AG8" s="34"/>
      <c r="AH8" s="34"/>
      <c r="AI8" s="34"/>
      <c r="AJ8" s="35"/>
      <c r="AK8" s="1514"/>
      <c r="AL8" s="674"/>
      <c r="AM8" s="2888"/>
      <c r="AN8" s="2892"/>
      <c r="AO8" s="2893"/>
      <c r="AP8" s="2892"/>
      <c r="AQ8" s="2895" t="s">
        <v>8654</v>
      </c>
      <c r="AR8" s="2892"/>
      <c r="AS8" s="2892"/>
      <c r="AT8" s="1872"/>
      <c r="AU8" s="1872"/>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888"/>
      <c r="AN9" s="2896"/>
      <c r="AO9" s="2892" t="s">
        <v>1368</v>
      </c>
      <c r="AP9" s="2892"/>
      <c r="AQ9" s="2895" t="s">
        <v>7388</v>
      </c>
      <c r="AR9" s="2892" t="s">
        <v>7394</v>
      </c>
      <c r="AS9" s="2892" t="s">
        <v>7395</v>
      </c>
      <c r="AT9" s="1872"/>
      <c r="AU9" s="1872"/>
    </row>
    <row r="10" spans="1:47" ht="12" customHeight="1" thickBot="1" x14ac:dyDescent="0.25">
      <c r="A10" s="10"/>
      <c r="B10" s="966"/>
      <c r="C10" s="3303" t="s">
        <v>1367</v>
      </c>
      <c r="D10" s="1690" t="str">
        <f>SUM(E11:E18)+COUNTIF(E11:E18,10)&amp;" pts"</f>
        <v>0 pts</v>
      </c>
      <c r="E10" s="1691" t="s">
        <v>1368</v>
      </c>
      <c r="F10" s="1692" t="s">
        <v>1369</v>
      </c>
      <c r="G10" s="1693" t="s">
        <v>1352</v>
      </c>
      <c r="H10" s="1694" t="s">
        <v>1370</v>
      </c>
      <c r="J10" s="3228" t="s">
        <v>1371</v>
      </c>
      <c r="K10" s="3157"/>
      <c r="L10" s="3158"/>
      <c r="N10" s="3324" t="s">
        <v>1372</v>
      </c>
      <c r="O10" s="3324"/>
      <c r="P10" s="3324"/>
      <c r="Q10" s="3324"/>
      <c r="R10" s="968"/>
      <c r="S10" s="1111"/>
      <c r="T10" s="1112"/>
      <c r="U10" s="1132"/>
      <c r="V10" s="3108" t="s">
        <v>1373</v>
      </c>
      <c r="W10" s="3109"/>
      <c r="X10" s="3109"/>
      <c r="Y10" s="3109"/>
      <c r="Z10" s="3109"/>
      <c r="AA10" s="3109"/>
      <c r="AB10" s="3110"/>
      <c r="AD10" s="3156" t="s">
        <v>1374</v>
      </c>
      <c r="AE10" s="3157"/>
      <c r="AF10" s="3157"/>
      <c r="AG10" s="3157"/>
      <c r="AH10" s="3322" t="s">
        <v>1375</v>
      </c>
      <c r="AI10" s="3323"/>
      <c r="AJ10" s="1718">
        <f>SUM(AJ12:AJ23)+IF(OR(TipoDeCriatura="Ánima",TipoDeCriatura="Ánima, Elemental",TipoDeCriatura="No muerto, Espectro"),100,0)+AJ27</f>
        <v>0</v>
      </c>
      <c r="AK10" s="1515"/>
      <c r="AL10" s="674"/>
      <c r="AM10" s="2888"/>
      <c r="AN10" s="2892"/>
      <c r="AO10" s="2895" t="s">
        <v>7390</v>
      </c>
      <c r="AP10" s="2892" t="s">
        <v>10257</v>
      </c>
      <c r="AQ10" s="2895" t="s">
        <v>7392</v>
      </c>
      <c r="AR10" s="2895" t="s">
        <v>7393</v>
      </c>
      <c r="AS10" s="2895" t="s">
        <v>7389</v>
      </c>
      <c r="AT10" s="2892" t="s">
        <v>7405</v>
      </c>
      <c r="AU10" s="2892" t="s">
        <v>10258</v>
      </c>
    </row>
    <row r="11" spans="1:47" ht="12" customHeight="1" thickBot="1" x14ac:dyDescent="0.25">
      <c r="A11" s="10"/>
      <c r="B11" s="966"/>
      <c r="C11" s="3304"/>
      <c r="D11" s="1677" t="s">
        <v>1376</v>
      </c>
      <c r="E11" s="1676"/>
      <c r="F11" s="1859"/>
      <c r="G11" s="40">
        <f>MIN(20,MAX(0,AS11+F11))</f>
        <v>0</v>
      </c>
      <c r="H11" s="579">
        <f>IF(G11&lt;1,0,VLOOKUP(G11,Tablas!$C$14:$D$33,2))</f>
        <v>0</v>
      </c>
      <c r="J11" s="3292">
        <f>MIN(20,IF(COUNTIF(AB42:AE69,"Degeneración")&gt;0,0,AS19+L13))</f>
        <v>0</v>
      </c>
      <c r="K11" s="3331" t="str">
        <f>INDEX(Tabla_Regen,MATCH(J11,INDEX(Tabla_Regen,,2),0),3)</f>
        <v>Ninguna</v>
      </c>
      <c r="L11" s="3332"/>
      <c r="N11" s="3333">
        <f>PDs!Z185</f>
        <v>20</v>
      </c>
      <c r="O11" s="3333"/>
      <c r="P11" s="3334"/>
      <c r="Q11" s="3334"/>
      <c r="R11" s="968"/>
      <c r="S11" s="1111"/>
      <c r="T11" s="1112"/>
      <c r="U11" s="1132"/>
      <c r="V11" s="3344" t="s">
        <v>1377</v>
      </c>
      <c r="W11" s="3345"/>
      <c r="X11" s="3346"/>
      <c r="Y11" s="3350" t="s">
        <v>1978</v>
      </c>
      <c r="Z11" s="3350"/>
      <c r="AA11" s="3350"/>
      <c r="AB11" s="3351"/>
      <c r="AD11" s="3555" t="s">
        <v>9503</v>
      </c>
      <c r="AE11" s="3556"/>
      <c r="AF11" s="3556"/>
      <c r="AG11" s="3556" t="s">
        <v>7524</v>
      </c>
      <c r="AH11" s="3557"/>
      <c r="AI11" s="1687" t="s">
        <v>1379</v>
      </c>
      <c r="AJ11" s="1719" t="s">
        <v>1380</v>
      </c>
      <c r="AK11" s="1515"/>
      <c r="AL11" s="674"/>
      <c r="AM11" s="2888" t="s">
        <v>8488</v>
      </c>
      <c r="AN11" s="2892" t="s">
        <v>1376</v>
      </c>
      <c r="AO11" s="2897">
        <f t="shared" ref="AO11:AO18" si="0">E11+HLOOKUP(D11,Bonos_Raza_Base,2,FALSE)</f>
        <v>0</v>
      </c>
      <c r="AP11" s="2892">
        <f>Tablas!G242</f>
        <v>0</v>
      </c>
      <c r="AQ11" s="2897">
        <f>AO11+Tablas!F242+AP11+Tablas!J1233</f>
        <v>0</v>
      </c>
      <c r="AR11" s="2897">
        <f>Bono_IncremTotal+IF(ISNUMBER(FIND(D11,PodPsi_IncremHab)),'Tablas psiquica'!$AH$57,FALSE)</f>
        <v>0</v>
      </c>
      <c r="AS11" s="2897">
        <f>IF(AQ11&lt;10,MIN(10,AR11+AQ11)+TRUNC(MAX(0,(AR11+AQ11-10)/2,0)),AQ11+TRUNC(AR11/2,0))</f>
        <v>0</v>
      </c>
      <c r="AT11" s="2897">
        <f>IF(AQ11&lt;10,MIN(10,(AR11-IF(ISNUMBER(FIND(D11,PodPsi_IncremHab)),'Tablas psiquica'!$AH$57,FALSE))+AQ11)+TRUNC(MAX(0,((AR11-IF(ISNUMBER(FIND(D11,PodPsi_IncremHab)),'Tablas psiquica'!$AH$57,FALSE))+AQ11-10)/2,0)),AQ11+TRUNC((AR11-IF(ISNUMBER(FIND(D11,PodPsi_IncremHab)),'Tablas psiquica'!$AH$57,FALSE))/2,0))</f>
        <v>0</v>
      </c>
      <c r="AU11" s="1872" t="b">
        <f>E11+AP11&gt;IF(Raza="Criatura",Tablas!$J$1227,11)</f>
        <v>0</v>
      </c>
    </row>
    <row r="12" spans="1:47" ht="12" customHeight="1" thickBot="1" x14ac:dyDescent="0.25">
      <c r="A12" s="10"/>
      <c r="B12" s="966"/>
      <c r="C12" s="3304"/>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292"/>
      <c r="K12" s="3329" t="str">
        <f>IF(Tablas!$S$1431=0,INDEX(Tabla_Regen,MATCH(J11,INDEX(Tabla_Regen,,2),0),5),Tablas!$S$1431&amp;" PV al día")</f>
        <v>Ninguna</v>
      </c>
      <c r="L12" s="3330"/>
      <c r="N12" s="3333"/>
      <c r="O12" s="3333"/>
      <c r="P12" s="3334"/>
      <c r="Q12" s="3334"/>
      <c r="R12" s="968"/>
      <c r="S12" s="1111"/>
      <c r="T12" s="1112"/>
      <c r="U12" s="1132"/>
      <c r="V12" s="3344"/>
      <c r="W12" s="3345"/>
      <c r="X12" s="3346"/>
      <c r="Y12" s="3350"/>
      <c r="Z12" s="3350"/>
      <c r="AA12" s="3350"/>
      <c r="AB12" s="3351"/>
      <c r="AD12" s="3558"/>
      <c r="AE12" s="3559"/>
      <c r="AF12" s="3559"/>
      <c r="AG12" s="3458"/>
      <c r="AH12" s="3560"/>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888" t="str">
        <f t="shared" ref="AM12:AM23" si="4">AD12&amp;IF(AG12="",""," "&amp;AG12)</f>
        <v/>
      </c>
      <c r="AN12" s="2892" t="str">
        <f>IF(OR($Y$11="Ánima",$Y$11="Ánima, Elemental",$Y$11="No muerto, Espectro"),"-","CON")</f>
        <v>CON</v>
      </c>
      <c r="AO12" s="2897">
        <f>IF(OR(TipoDeCriatura="Ánima",TipoDeCriatura="Ánima, Elemental",TipoDeCriatura="No muerto, Espectro"),E17+HLOOKUP(D17,Bonos_Raza_Base,2,FALSE),E12+HLOOKUP(D12,Bonos_Raza_Base,2,FALSE))</f>
        <v>0</v>
      </c>
      <c r="AP12" s="2892">
        <f>Tablas!G243</f>
        <v>0</v>
      </c>
      <c r="AQ12" s="2897">
        <f>AO12+Tablas!F243+AP12+Tablas!J1234</f>
        <v>0</v>
      </c>
      <c r="AR12" s="2897">
        <f>Bono_IncremTotal</f>
        <v>0</v>
      </c>
      <c r="AS12" s="2897">
        <f>IF(AQ12&lt;10,MIN(10,AR12+AQ12)+TRUNC(MAX(0,(AR12+AQ12-10)/2,0)),AQ12+TRUNC(AR12/2,0))</f>
        <v>0</v>
      </c>
      <c r="AT12" s="2897"/>
      <c r="AU12" s="1872" t="b">
        <f>E12+AP12&gt;IF(Raza="Criatura",Tablas!$J$1227,11)</f>
        <v>0</v>
      </c>
    </row>
    <row r="13" spans="1:47" ht="12" customHeight="1" thickBot="1" x14ac:dyDescent="0.25">
      <c r="A13" s="10"/>
      <c r="B13" s="966"/>
      <c r="C13" s="3304"/>
      <c r="D13" s="1678" t="s">
        <v>1381</v>
      </c>
      <c r="E13" s="1675"/>
      <c r="F13" s="1860"/>
      <c r="G13" s="40">
        <f>MIN(20,MAX(0,AS13+F13))</f>
        <v>0</v>
      </c>
      <c r="H13" s="579">
        <f>IF(G13&lt;1,0,VLOOKUP(G13,Tablas!$C$14:$D$33,2))</f>
        <v>0</v>
      </c>
      <c r="I13" s="274"/>
      <c r="J13" s="3335" t="s">
        <v>1382</v>
      </c>
      <c r="K13" s="3336"/>
      <c r="L13" s="2492"/>
      <c r="N13" s="3333"/>
      <c r="O13" s="3333"/>
      <c r="P13" s="3334"/>
      <c r="Q13" s="3334"/>
      <c r="R13" s="968"/>
      <c r="S13" s="1111"/>
      <c r="T13" s="1112"/>
      <c r="U13" s="1132"/>
      <c r="V13" s="3337" t="s">
        <v>1383</v>
      </c>
      <c r="W13" s="3338"/>
      <c r="X13" s="3338"/>
      <c r="Y13" s="1683" t="s">
        <v>1384</v>
      </c>
      <c r="Z13" s="1684"/>
      <c r="AA13" s="1685" t="s">
        <v>1385</v>
      </c>
      <c r="AB13" s="1714"/>
      <c r="AD13" s="3352"/>
      <c r="AE13" s="3353"/>
      <c r="AF13" s="3353"/>
      <c r="AG13" s="3377"/>
      <c r="AH13" s="3378"/>
      <c r="AI13" s="1087" t="str">
        <f t="shared" si="1"/>
        <v/>
      </c>
      <c r="AJ13" s="547" t="str">
        <f t="shared" si="2"/>
        <v/>
      </c>
      <c r="AK13" s="1514" t="str">
        <f t="shared" si="3"/>
        <v/>
      </c>
      <c r="AL13" s="674"/>
      <c r="AM13" s="2888" t="str">
        <f t="shared" si="4"/>
        <v/>
      </c>
      <c r="AN13" s="2892" t="s">
        <v>1381</v>
      </c>
      <c r="AO13" s="2897">
        <f t="shared" si="0"/>
        <v>0</v>
      </c>
      <c r="AP13" s="2892">
        <f>Tablas!G244</f>
        <v>0</v>
      </c>
      <c r="AQ13" s="2897">
        <f>AO13+Tablas!F244+AP13+Tablas!J1235+Tablas!K1771+Tablas!$K$1851</f>
        <v>0</v>
      </c>
      <c r="AR13" s="2897">
        <f>Bono_IncremTotal+IF(ISNUMBER(FIND(D13,PodPsi_IncremHab)),'Tablas psiquica'!$AH$57,FALSE)</f>
        <v>0</v>
      </c>
      <c r="AS13" s="2897">
        <f t="shared" ref="AS13" si="5">IF(AQ13&lt;10,MIN(10,AR13+AQ13)+TRUNC(MAX(0,(AR13+AQ13-10)/2,0)),AQ13+TRUNC(AR13/2,0))</f>
        <v>0</v>
      </c>
      <c r="AT13" s="2897"/>
      <c r="AU13" s="1872" t="b">
        <f>E13+AP13&gt;IF(Raza="Criatura",Tablas!$J$1227,11)</f>
        <v>0</v>
      </c>
    </row>
    <row r="14" spans="1:47" ht="12" customHeight="1" thickBot="1" x14ac:dyDescent="0.25">
      <c r="A14" s="10"/>
      <c r="B14" s="966"/>
      <c r="C14" s="3304"/>
      <c r="D14" s="1678" t="s">
        <v>1386</v>
      </c>
      <c r="E14" s="1675"/>
      <c r="F14" s="1860"/>
      <c r="G14" s="40">
        <f t="shared" ref="G14:G18" si="6">MIN(20,MAX(0,AS14+F14))</f>
        <v>0</v>
      </c>
      <c r="H14" s="579">
        <f>IF(G14&lt;1,0,VLOOKUP(G14,Tablas!$C$14:$D$33,2))</f>
        <v>0</v>
      </c>
      <c r="I14" s="274"/>
      <c r="J14" s="274"/>
      <c r="N14" s="43"/>
      <c r="Q14" s="44"/>
      <c r="R14" s="969"/>
      <c r="S14" s="1111"/>
      <c r="T14" s="1112"/>
      <c r="U14" s="1132"/>
      <c r="V14" s="3339" t="s">
        <v>1387</v>
      </c>
      <c r="W14" s="3340"/>
      <c r="X14" s="3340"/>
      <c r="Y14" s="1686" t="s">
        <v>1384</v>
      </c>
      <c r="Z14" s="1715"/>
      <c r="AA14" s="1716" t="s">
        <v>1388</v>
      </c>
      <c r="AB14" s="1717">
        <f>IF(TipoDeCriatura="Natural",MAX(Principal!AB13-HLOOKUP("Natura",Bonos_Raza_Base,2,FALSE),0),"-")</f>
        <v>0</v>
      </c>
      <c r="AD14" s="3352"/>
      <c r="AE14" s="3353"/>
      <c r="AF14" s="3353"/>
      <c r="AG14" s="3377"/>
      <c r="AH14" s="3378"/>
      <c r="AI14" s="1087" t="str">
        <f t="shared" si="1"/>
        <v/>
      </c>
      <c r="AJ14" s="547" t="str">
        <f t="shared" si="2"/>
        <v/>
      </c>
      <c r="AK14" s="1514" t="str">
        <f t="shared" si="3"/>
        <v/>
      </c>
      <c r="AL14" s="674"/>
      <c r="AM14" s="2888" t="str">
        <f t="shared" si="4"/>
        <v/>
      </c>
      <c r="AN14" s="2892" t="s">
        <v>1386</v>
      </c>
      <c r="AO14" s="2897">
        <f>E14+HLOOKUP(D14,Bonos_Raza_Base,2,FALSE)</f>
        <v>0</v>
      </c>
      <c r="AP14" s="2892">
        <f>Tablas!G245</f>
        <v>0</v>
      </c>
      <c r="AQ14" s="2897">
        <f>AO14+Tablas!F245+AP14+Tablas!J1236+Tablas!$K$1851</f>
        <v>0</v>
      </c>
      <c r="AR14" s="2898">
        <f>Bono_IncremTotal+'Tablas psiquica'!$AH$54</f>
        <v>0</v>
      </c>
      <c r="AS14" s="2897">
        <f>IF(AQ14&lt;10,MIN(10,AR14+AQ14)+TRUNC(MAX(0,(AR14+AQ14-10)/2,0)),AQ14+TRUNC(AR14/2,0))</f>
        <v>0</v>
      </c>
      <c r="AT14" s="2897"/>
      <c r="AU14" s="1872" t="b">
        <f>E14+AP14&gt;IF(Raza="Criatura",Tablas!$J$1227,11)</f>
        <v>0</v>
      </c>
    </row>
    <row r="15" spans="1:47" ht="12" customHeight="1" thickBot="1" x14ac:dyDescent="0.25">
      <c r="A15" s="10"/>
      <c r="B15" s="966"/>
      <c r="C15" s="3304"/>
      <c r="D15" s="1678" t="s">
        <v>1389</v>
      </c>
      <c r="E15" s="1675"/>
      <c r="F15" s="1860"/>
      <c r="G15" s="40">
        <f t="shared" si="6"/>
        <v>0</v>
      </c>
      <c r="H15" s="579">
        <f>IF(G15&lt;1,0,VLOOKUP(G15,Tablas!$C$14:$D$33,2))</f>
        <v>0</v>
      </c>
      <c r="I15" s="80"/>
      <c r="J15" s="3341" t="s">
        <v>1390</v>
      </c>
      <c r="K15" s="3342"/>
      <c r="L15" s="3343"/>
      <c r="N15" s="3324" t="s">
        <v>1391</v>
      </c>
      <c r="O15" s="3324"/>
      <c r="P15" s="3324"/>
      <c r="Q15" s="3324"/>
      <c r="R15" s="968"/>
      <c r="S15" s="1111"/>
      <c r="T15" s="1112"/>
      <c r="U15" s="1132"/>
      <c r="V15" s="3347" t="str">
        <f>IF(TipoDeCriatura="Natural",IF(AB14=0,"Sin tirada abierta",IF(AB14&gt;14,"Tirada abierta adicional","")),"")&amp;IF(TipoDeCriatura="Natural",IF(AB14&gt;19,", Núcleo trascendental",""),"")</f>
        <v>Sin tirada abierta</v>
      </c>
      <c r="W15" s="3348"/>
      <c r="X15" s="3348"/>
      <c r="Y15" s="3348"/>
      <c r="Z15" s="3348"/>
      <c r="AA15" s="3348"/>
      <c r="AB15" s="3349"/>
      <c r="AC15" s="15"/>
      <c r="AD15" s="3352"/>
      <c r="AE15" s="3353"/>
      <c r="AF15" s="3353"/>
      <c r="AG15" s="3377"/>
      <c r="AH15" s="3378"/>
      <c r="AI15" s="1087" t="str">
        <f t="shared" si="1"/>
        <v/>
      </c>
      <c r="AJ15" s="547" t="str">
        <f t="shared" si="2"/>
        <v/>
      </c>
      <c r="AK15" s="1514" t="str">
        <f t="shared" si="3"/>
        <v/>
      </c>
      <c r="AL15" s="674"/>
      <c r="AM15" s="2888" t="str">
        <f t="shared" si="4"/>
        <v/>
      </c>
      <c r="AN15" s="2892" t="s">
        <v>1389</v>
      </c>
      <c r="AO15" s="2897">
        <f t="shared" si="0"/>
        <v>0</v>
      </c>
      <c r="AP15" s="2892">
        <f>Tablas!G246</f>
        <v>0</v>
      </c>
      <c r="AQ15" s="2897">
        <f>AO15+Tablas!F246+AP15+Tablas!J1237+Tablas!$K$1784+Personalización!$N$84</f>
        <v>0</v>
      </c>
      <c r="AR15" s="2897"/>
      <c r="AS15" s="2897">
        <f>IF(AQ15&lt;10,MIN(10,AR15+AQ15)+TRUNC(MAX(0,(AR15+AQ15-10)/2,0)),AQ15+TRUNC(AR15/2,0))</f>
        <v>0</v>
      </c>
      <c r="AT15" s="2897"/>
      <c r="AU15" s="1872" t="b">
        <f>E15+AP15&gt;IF(Raza="Criatura",Tablas!$J$1228,12)</f>
        <v>0</v>
      </c>
    </row>
    <row r="16" spans="1:47" ht="12" customHeight="1" thickBot="1" x14ac:dyDescent="0.25">
      <c r="A16" s="10"/>
      <c r="B16" s="966"/>
      <c r="C16" s="3304"/>
      <c r="D16" s="1678" t="s">
        <v>1392</v>
      </c>
      <c r="E16" s="1675"/>
      <c r="F16" s="1860"/>
      <c r="G16" s="40">
        <f t="shared" si="6"/>
        <v>0</v>
      </c>
      <c r="H16" s="579">
        <f>IF(G16&lt;1,0,VLOOKUP(G16,Tablas!$C$14:$D$33,2))</f>
        <v>0</v>
      </c>
      <c r="I16" s="80"/>
      <c r="J16" s="3292">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266">
        <f>IF(Incansable,0,AS22)+O18</f>
        <v>0</v>
      </c>
      <c r="O16" s="3266"/>
      <c r="P16" s="3334"/>
      <c r="Q16" s="3334"/>
      <c r="R16" s="968"/>
      <c r="S16" s="1111"/>
      <c r="T16" s="1112"/>
      <c r="U16" s="1132"/>
      <c r="V16" s="339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2"/>
      <c r="X16" s="3392"/>
      <c r="Y16" s="3392"/>
      <c r="Z16" s="3392"/>
      <c r="AA16" s="3392"/>
      <c r="AB16" s="3393"/>
      <c r="AD16" s="3352"/>
      <c r="AE16" s="3353"/>
      <c r="AF16" s="3353"/>
      <c r="AG16" s="3377"/>
      <c r="AH16" s="3378"/>
      <c r="AI16" s="1087" t="str">
        <f t="shared" si="1"/>
        <v/>
      </c>
      <c r="AJ16" s="547" t="str">
        <f t="shared" si="2"/>
        <v/>
      </c>
      <c r="AK16" s="1514" t="str">
        <f t="shared" si="3"/>
        <v/>
      </c>
      <c r="AL16" s="674"/>
      <c r="AM16" s="2888" t="str">
        <f t="shared" si="4"/>
        <v/>
      </c>
      <c r="AN16" s="2892" t="s">
        <v>1392</v>
      </c>
      <c r="AO16" s="2897">
        <f t="shared" si="0"/>
        <v>0</v>
      </c>
      <c r="AP16" s="2892">
        <f>Tablas!G247</f>
        <v>0</v>
      </c>
      <c r="AQ16" s="2897">
        <f>AO16+Tablas!F247+AP16+Tablas!J1238</f>
        <v>0</v>
      </c>
      <c r="AR16" s="2898">
        <f>Bono_IncremTotal+'Tablas psiquica'!$AH$59</f>
        <v>0</v>
      </c>
      <c r="AS16" s="2897">
        <f>IF(AQ16&lt;10,MIN(10,AR16+AQ16)+TRUNC(MAX(0,(AR16+AQ16-10)/2,0)),AQ16+TRUNC(AR16/2,0))</f>
        <v>0</v>
      </c>
      <c r="AT16" s="2897"/>
      <c r="AU16" s="1872" t="b">
        <f>E16+AP16&gt;IF(Raza="Criatura",Tablas!$J$1228,12)</f>
        <v>0</v>
      </c>
    </row>
    <row r="17" spans="1:47" ht="12" customHeight="1" thickBot="1" x14ac:dyDescent="0.25">
      <c r="A17" s="10"/>
      <c r="B17" s="909"/>
      <c r="C17" s="3304"/>
      <c r="D17" s="1678" t="s">
        <v>1394</v>
      </c>
      <c r="E17" s="1675"/>
      <c r="F17" s="1860"/>
      <c r="G17" s="40">
        <f t="shared" si="6"/>
        <v>0</v>
      </c>
      <c r="H17" s="579">
        <f>IF(G17&lt;1,0,VLOOKUP(G17,Tablas!$C$14:$D$33,2))</f>
        <v>0</v>
      </c>
      <c r="I17" s="80"/>
      <c r="J17" s="3292"/>
      <c r="K17" s="3308" t="str">
        <f>IF(J16&lt;1,"",VLOOKUP(J16,Tabla_TipoMovimiento,2))</f>
        <v>&lt; 1 m / asalto</v>
      </c>
      <c r="L17" s="3309"/>
      <c r="M17" s="49"/>
      <c r="N17" s="3266"/>
      <c r="O17" s="3266"/>
      <c r="P17" s="3334"/>
      <c r="Q17" s="3334"/>
      <c r="R17" s="968"/>
      <c r="S17" s="1111"/>
      <c r="T17" s="1112"/>
      <c r="U17" s="1132"/>
      <c r="V17" s="3391"/>
      <c r="W17" s="3392"/>
      <c r="X17" s="3392"/>
      <c r="Y17" s="3392"/>
      <c r="Z17" s="3392"/>
      <c r="AA17" s="3392"/>
      <c r="AB17" s="3393"/>
      <c r="AD17" s="3352"/>
      <c r="AE17" s="3353"/>
      <c r="AF17" s="3353"/>
      <c r="AG17" s="3377"/>
      <c r="AH17" s="3378"/>
      <c r="AI17" s="1087" t="str">
        <f t="shared" si="1"/>
        <v/>
      </c>
      <c r="AJ17" s="547" t="str">
        <f t="shared" si="2"/>
        <v/>
      </c>
      <c r="AK17" s="1514" t="str">
        <f t="shared" si="3"/>
        <v/>
      </c>
      <c r="AL17" s="674"/>
      <c r="AM17" s="2888" t="str">
        <f t="shared" si="4"/>
        <v/>
      </c>
      <c r="AN17" s="2892" t="s">
        <v>1394</v>
      </c>
      <c r="AO17" s="2897">
        <f t="shared" si="0"/>
        <v>0</v>
      </c>
      <c r="AP17" s="2892">
        <f>Tablas!G248</f>
        <v>0</v>
      </c>
      <c r="AQ17" s="2897">
        <f>AO17+Tablas!$F$248+AP17+IF(OR(Sheele!F5="",Sheele!F5="No"),0,-1)+Tablas!$J$1239+Tablas!$K$1771+Tablas!$K$1784+Personalización!$O$84</f>
        <v>0</v>
      </c>
      <c r="AR17" s="2897"/>
      <c r="AS17" s="2897">
        <f>IF(AQ17&lt;10,MIN(10,AR17+AQ17)+TRUNC(MAX(0,(AR17+AQ17-10)/2,0)),AQ17+TRUNC(AR17/2,0))</f>
        <v>0</v>
      </c>
      <c r="AT17" s="1872"/>
      <c r="AU17" s="1872" t="b">
        <f>E17+AP17&gt;IF(Raza="Criatura",Tablas!$J$1228,12)</f>
        <v>0</v>
      </c>
    </row>
    <row r="18" spans="1:47" ht="12" customHeight="1" thickBot="1" x14ac:dyDescent="0.25">
      <c r="A18" s="10"/>
      <c r="B18" s="513"/>
      <c r="C18" s="3305"/>
      <c r="D18" s="1695" t="s">
        <v>1395</v>
      </c>
      <c r="E18" s="1696"/>
      <c r="F18" s="1861"/>
      <c r="G18" s="1697">
        <f t="shared" si="6"/>
        <v>0</v>
      </c>
      <c r="H18" s="722">
        <f>IF(G18&lt;1,0,VLOOKUP(G18,Tablas!$C$14:$D$33,2))</f>
        <v>0</v>
      </c>
      <c r="J18" s="2634"/>
      <c r="K18" s="1165" t="s">
        <v>1382</v>
      </c>
      <c r="L18" s="2492"/>
      <c r="M18" s="80"/>
      <c r="N18" s="1577" t="s">
        <v>1382</v>
      </c>
      <c r="O18" s="2493"/>
      <c r="P18" s="3334"/>
      <c r="Q18" s="3334"/>
      <c r="R18" s="968"/>
      <c r="S18" s="1111"/>
      <c r="T18" s="1112"/>
      <c r="U18" s="1132"/>
      <c r="V18" s="3394"/>
      <c r="W18" s="3395"/>
      <c r="X18" s="3395"/>
      <c r="Y18" s="3395"/>
      <c r="Z18" s="3395"/>
      <c r="AA18" s="3395"/>
      <c r="AB18" s="3396"/>
      <c r="AD18" s="3352"/>
      <c r="AE18" s="3353"/>
      <c r="AF18" s="3353"/>
      <c r="AG18" s="3377"/>
      <c r="AH18" s="3378"/>
      <c r="AI18" s="1087" t="str">
        <f t="shared" si="1"/>
        <v/>
      </c>
      <c r="AJ18" s="547" t="str">
        <f t="shared" si="2"/>
        <v/>
      </c>
      <c r="AK18" s="1514" t="str">
        <f t="shared" si="3"/>
        <v/>
      </c>
      <c r="AL18" s="674"/>
      <c r="AM18" s="2888" t="str">
        <f t="shared" si="4"/>
        <v/>
      </c>
      <c r="AN18" s="2892" t="s">
        <v>1395</v>
      </c>
      <c r="AO18" s="2897">
        <f t="shared" si="0"/>
        <v>0</v>
      </c>
      <c r="AP18" s="2892">
        <f>Tablas!G249</f>
        <v>0</v>
      </c>
      <c r="AQ18" s="2897">
        <f>AO18+Tablas!F249+AP18+Tablas!J1240+Tablas!$K$1771+Tablas!$K$1784+Personalización!$P$84</f>
        <v>0</v>
      </c>
      <c r="AR18" s="2897"/>
      <c r="AS18" s="2897">
        <f>IF(AQ18&lt;10,MIN(10,AR18+AQ18)+TRUNC(MAX(0,(AR18+AQ18-10)/2,0)),AQ18+TRUNC(AR18/2,0))</f>
        <v>0</v>
      </c>
      <c r="AT18" s="2888"/>
      <c r="AU18" s="1872" t="b">
        <f>E18+AP18&gt;IF(Raza="Criatura",Tablas!$J$1228,12)</f>
        <v>0</v>
      </c>
    </row>
    <row r="19" spans="1:47" ht="12" customHeight="1" thickBot="1" x14ac:dyDescent="0.25">
      <c r="A19" s="10"/>
      <c r="B19" s="866"/>
      <c r="C19" s="3562" t="str">
        <f>IF(COUNTIF($AU$11:$AU$18,TRUE),"Exceso de "&amp;INDEX($AN$11:$AN$18,MATCH(TRUE,$AU$11:$AU$18,0))&amp;" inicial","")</f>
        <v/>
      </c>
      <c r="D19" s="3562"/>
      <c r="E19" s="3562"/>
      <c r="F19" s="3562"/>
      <c r="G19" s="3562"/>
      <c r="H19" s="3562"/>
      <c r="I19" s="660" t="str">
        <f>IF(Combate!AD15=0,"",TRUNC(Combate!AD15/20,0))</f>
        <v/>
      </c>
      <c r="K19" s="659"/>
      <c r="M19" s="70"/>
      <c r="N19" s="544"/>
      <c r="O19" s="544"/>
      <c r="P19" s="544"/>
      <c r="Q19" s="544"/>
      <c r="R19" s="666"/>
      <c r="S19" s="1111"/>
      <c r="T19" s="1112"/>
      <c r="U19" s="1132"/>
      <c r="AD19" s="3352"/>
      <c r="AE19" s="3353"/>
      <c r="AF19" s="3353"/>
      <c r="AG19" s="3377"/>
      <c r="AH19" s="3378"/>
      <c r="AI19" s="1087" t="str">
        <f t="shared" si="1"/>
        <v/>
      </c>
      <c r="AJ19" s="547" t="str">
        <f t="shared" si="2"/>
        <v/>
      </c>
      <c r="AK19" s="1514" t="str">
        <f t="shared" si="3"/>
        <v/>
      </c>
      <c r="AL19" s="674"/>
      <c r="AM19" s="2888" t="str">
        <f t="shared" si="4"/>
        <v/>
      </c>
      <c r="AN19" s="2892" t="s">
        <v>7396</v>
      </c>
      <c r="AO19" s="2897">
        <f>IF(OR(TipoDeCriatura="Entre mundos, Creación",TipoDeCriatura="No muerto",TipoDeCriatura="No muerto, Creación"),0,IF(G12=0,0,VLOOKUP(G12,Tabla_Regen,2))+HLOOKUP("Regeneración",Bonos_Raza_Base,2,FALSE))</f>
        <v>0</v>
      </c>
      <c r="AP19" s="2892"/>
      <c r="AQ19" s="2897">
        <f>AO19+Tablas!G276*2+Tablas!G277*4+Tablas!G278*6+Tablas!P241</f>
        <v>0</v>
      </c>
      <c r="AR19" s="2898">
        <f>'Tablas psiquica'!AH61</f>
        <v>0</v>
      </c>
      <c r="AS19" s="2897">
        <f>MAX(IF(AQ19+AR19&gt;18,MAX(18,AQ19),AQ19+AR19),Tablas!S1417)</f>
        <v>0</v>
      </c>
      <c r="AT19" s="2888" t="s">
        <v>8506</v>
      </c>
      <c r="AU19" s="1872"/>
    </row>
    <row r="20" spans="1:47" ht="12" customHeight="1" thickBot="1" x14ac:dyDescent="0.25">
      <c r="A20" s="10"/>
      <c r="B20" s="866"/>
      <c r="C20" s="2998" t="s">
        <v>8600</v>
      </c>
      <c r="D20" s="3000"/>
      <c r="E20" s="3316" t="str">
        <f>INDEX(Tabla_Regen,MATCH(Regeneración_final,INDEX(Tabla_Regen,,2),0),6)</f>
        <v/>
      </c>
      <c r="F20" s="3317"/>
      <c r="G20" s="3317"/>
      <c r="H20" s="3317"/>
      <c r="I20" s="3317"/>
      <c r="J20" s="3318"/>
      <c r="K20" s="659"/>
      <c r="L20" s="3228" t="s">
        <v>1398</v>
      </c>
      <c r="M20" s="3229"/>
      <c r="N20" s="3229"/>
      <c r="O20" s="3229"/>
      <c r="P20" s="3229"/>
      <c r="Q20" s="3302"/>
      <c r="R20" s="666"/>
      <c r="S20" s="1111"/>
      <c r="T20" s="1112"/>
      <c r="U20" s="1132"/>
      <c r="V20" s="3228" t="s">
        <v>1399</v>
      </c>
      <c r="W20" s="3229"/>
      <c r="X20" s="3229"/>
      <c r="Y20" s="3229"/>
      <c r="Z20" s="3229"/>
      <c r="AA20" s="3229"/>
      <c r="AB20" s="3302"/>
      <c r="AD20" s="3352"/>
      <c r="AE20" s="3353"/>
      <c r="AF20" s="3353"/>
      <c r="AG20" s="3377"/>
      <c r="AH20" s="3378"/>
      <c r="AI20" s="1087" t="str">
        <f t="shared" si="1"/>
        <v/>
      </c>
      <c r="AJ20" s="547" t="str">
        <f t="shared" si="2"/>
        <v/>
      </c>
      <c r="AK20" s="1514" t="str">
        <f t="shared" si="3"/>
        <v/>
      </c>
      <c r="AL20" s="674"/>
      <c r="AM20" s="2888" t="str">
        <f t="shared" si="4"/>
        <v/>
      </c>
      <c r="AN20" s="2888" t="s">
        <v>7397</v>
      </c>
      <c r="AO20" s="2897">
        <f>IF(MovimientodeVacío,MAX(AT11+IF(Raza="Criatura",VLOOKUP(Tamaño,Tabla_CreaciónSeres,4),0)),AT11+IF(Raza="Criatura",VLOOKUP(Tamaño,Tabla_CreaciónSeres,4),0))</f>
        <v>0</v>
      </c>
      <c r="AP20" s="2892"/>
      <c r="AQ20" s="2897">
        <f>AO20+Tablas!$S$1372+Tablas!$G$343*2-L16</f>
        <v>0</v>
      </c>
      <c r="AR20" s="2899">
        <f>'Tablas psiquica'!AH56</f>
        <v>0</v>
      </c>
      <c r="AS20" s="2897">
        <f>IF(AQ20&lt;10,MIN(10,AR20+AQ20)+TRUNC(MAX(0,(AR20+AQ20-10)/2,0)),AQ20+TRUNC(AR20/2,0))</f>
        <v>0</v>
      </c>
      <c r="AT20" s="2900"/>
      <c r="AU20" s="1872"/>
    </row>
    <row r="21" spans="1:47" ht="12" customHeight="1" thickBot="1" x14ac:dyDescent="0.25">
      <c r="A21" s="10"/>
      <c r="B21" s="866"/>
      <c r="C21" s="3314"/>
      <c r="D21" s="3315"/>
      <c r="E21" s="3319"/>
      <c r="F21" s="3320"/>
      <c r="G21" s="3320"/>
      <c r="H21" s="3320"/>
      <c r="I21" s="3320"/>
      <c r="J21" s="3321"/>
      <c r="K21" s="659"/>
      <c r="L21" s="1034" t="s">
        <v>1402</v>
      </c>
      <c r="M21" s="3300" t="s">
        <v>1378</v>
      </c>
      <c r="N21" s="3300"/>
      <c r="O21" s="3388" t="s">
        <v>1403</v>
      </c>
      <c r="P21" s="3388"/>
      <c r="Q21" s="545" t="s">
        <v>1352</v>
      </c>
      <c r="R21" s="666"/>
      <c r="S21" s="1111"/>
      <c r="T21" s="1112"/>
      <c r="U21" s="1132"/>
      <c r="V21" s="3220" t="s">
        <v>1404</v>
      </c>
      <c r="W21" s="3389"/>
      <c r="X21" s="3389"/>
      <c r="Y21" s="3390" t="s">
        <v>1405</v>
      </c>
      <c r="Z21" s="3390"/>
      <c r="AA21" s="45" t="s">
        <v>1406</v>
      </c>
      <c r="AB21" s="704" t="s">
        <v>1380</v>
      </c>
      <c r="AD21" s="3352"/>
      <c r="AE21" s="3353"/>
      <c r="AF21" s="3353"/>
      <c r="AG21" s="3377"/>
      <c r="AH21" s="3378"/>
      <c r="AI21" s="1087" t="str">
        <f t="shared" si="1"/>
        <v/>
      </c>
      <c r="AJ21" s="547" t="str">
        <f t="shared" si="2"/>
        <v/>
      </c>
      <c r="AK21" s="1514" t="str">
        <f t="shared" si="3"/>
        <v/>
      </c>
      <c r="AL21" s="674"/>
      <c r="AM21" s="2888" t="str">
        <f t="shared" si="4"/>
        <v/>
      </c>
      <c r="AN21" s="2892" t="s">
        <v>1907</v>
      </c>
      <c r="AO21" s="2897">
        <f>MAX(1,IF(OR(TipoDeCriatura="Ánima", TipoDeCriatura="Ánima, Elemental", TipoDeCriatura="No muerto, Espectro"),E17+AP17,E12+AP12)+E14+AP14-IF(Sexo="Mujer",1,0))+HLOOKUP(AN21,Bonos_Raza_Base,2,FALSE)</f>
        <v>1</v>
      </c>
      <c r="AP21" s="2892"/>
      <c r="AQ21" s="2897">
        <f>IF(Bono_Tamaño_Criatura+Bono_Tamaño_PCs&gt;0,MIN(Bono_Tamaño_Criatura+Bono_Tamaño_PCs,5),MAX(Bono_Tamaño_Criatura+Bono_Tamaño_PCs,-5))</f>
        <v>0</v>
      </c>
      <c r="AR21" s="1872"/>
      <c r="AS21" s="2897">
        <f>AO21+AQ21</f>
        <v>1</v>
      </c>
      <c r="AT21" s="1872"/>
      <c r="AU21" s="1872"/>
    </row>
    <row r="22" spans="1:47" ht="12" customHeight="1" thickBot="1" x14ac:dyDescent="0.25">
      <c r="A22" s="10"/>
      <c r="B22" s="866"/>
      <c r="K22" s="659"/>
      <c r="L22" s="3285" t="s">
        <v>1407</v>
      </c>
      <c r="M22" s="3301" t="s">
        <v>1408</v>
      </c>
      <c r="N22" s="3301"/>
      <c r="O22" s="3299">
        <f>PenNatural</f>
        <v>0</v>
      </c>
      <c r="P22" s="3299"/>
      <c r="Q22" s="546">
        <f>IF(Acrobacias_final="-","-",Acrobacias_final+O22)</f>
        <v>-30</v>
      </c>
      <c r="R22" s="666"/>
      <c r="S22" s="1111"/>
      <c r="T22" s="1112"/>
      <c r="U22" s="1132"/>
      <c r="V22" s="3354" t="s">
        <v>8870</v>
      </c>
      <c r="W22" s="3355"/>
      <c r="X22" s="3356"/>
      <c r="Y22" s="3364" t="str">
        <f>IF(AA22=0,"",Raza)</f>
        <v/>
      </c>
      <c r="Z22" s="3365"/>
      <c r="AA22" s="681">
        <f>IF(Personalización!$L$6="Sin ajuste por Raza",0,IF(Raza=0,0,VLOOKUP(Raza,Tabla_Razas,7,FALSE)))</f>
        <v>0</v>
      </c>
      <c r="AB22" s="705">
        <v>0</v>
      </c>
      <c r="AD22" s="3352"/>
      <c r="AE22" s="3353"/>
      <c r="AF22" s="3353"/>
      <c r="AG22" s="3377"/>
      <c r="AH22" s="3378"/>
      <c r="AI22" s="1087" t="str">
        <f t="shared" si="1"/>
        <v/>
      </c>
      <c r="AJ22" s="547" t="str">
        <f t="shared" si="2"/>
        <v/>
      </c>
      <c r="AK22" s="1514" t="str">
        <f t="shared" si="3"/>
        <v/>
      </c>
      <c r="AL22" s="674"/>
      <c r="AM22" s="2888" t="str">
        <f t="shared" si="4"/>
        <v/>
      </c>
      <c r="AN22" s="2892" t="s">
        <v>1391</v>
      </c>
      <c r="AO22" s="2897">
        <f>CON+HLOOKUP(AN22,Bonos_Raza_Base,2,FALSE)</f>
        <v>0</v>
      </c>
      <c r="AP22" s="2892"/>
      <c r="AQ22" s="2897">
        <f>AO22+3*Tablas!G340+6*Tablas!G341+9*Tablas!G342-Tablas!G534</f>
        <v>0</v>
      </c>
      <c r="AR22" s="2897"/>
      <c r="AS22" s="2897">
        <f>AQ22+2*Tablas!H1221</f>
        <v>0</v>
      </c>
      <c r="AT22" s="1872"/>
      <c r="AU22" s="1872"/>
    </row>
    <row r="23" spans="1:47" ht="12" customHeight="1" thickBot="1" x14ac:dyDescent="0.25">
      <c r="A23" s="10"/>
      <c r="B23" s="866"/>
      <c r="C23" s="3228" t="s">
        <v>1396</v>
      </c>
      <c r="D23" s="3302"/>
      <c r="F23" s="3228" t="s">
        <v>1397</v>
      </c>
      <c r="G23" s="3229"/>
      <c r="H23" s="3229"/>
      <c r="I23" s="3229"/>
      <c r="J23" s="3302"/>
      <c r="K23" s="659"/>
      <c r="L23" s="3286"/>
      <c r="M23" s="3272" t="s">
        <v>1409</v>
      </c>
      <c r="N23" s="3272"/>
      <c r="O23" s="3277">
        <f>PenNatural</f>
        <v>0</v>
      </c>
      <c r="P23" s="3277"/>
      <c r="Q23" s="547">
        <f>IF(Atletismo_final="-","-",Atletismo_final+O23)</f>
        <v>-30</v>
      </c>
      <c r="R23" s="666"/>
      <c r="S23" s="1111"/>
      <c r="T23" s="1112"/>
      <c r="U23" s="1132"/>
      <c r="V23" s="3354" t="s">
        <v>1410</v>
      </c>
      <c r="W23" s="3355"/>
      <c r="X23" s="3356"/>
      <c r="Y23" s="3366"/>
      <c r="Z23" s="3367"/>
      <c r="AA23" s="681">
        <v>0</v>
      </c>
      <c r="AB23" s="705">
        <f>IF(Y23="PDs",VLOOKUP(Principal!$AB$13,Tablas!W27:X37,2),0)</f>
        <v>0</v>
      </c>
      <c r="AD23" s="3379"/>
      <c r="AE23" s="3380"/>
      <c r="AF23" s="3380"/>
      <c r="AG23" s="3381"/>
      <c r="AH23" s="3382"/>
      <c r="AI23" s="1720" t="str">
        <f t="shared" si="1"/>
        <v/>
      </c>
      <c r="AJ23" s="1721" t="str">
        <f t="shared" si="2"/>
        <v/>
      </c>
      <c r="AK23" s="1514" t="str">
        <f t="shared" si="3"/>
        <v/>
      </c>
      <c r="AL23" s="674"/>
      <c r="AM23" s="2888" t="str">
        <f t="shared" si="4"/>
        <v/>
      </c>
      <c r="AN23" s="2892"/>
      <c r="AO23" s="2897"/>
      <c r="AP23" s="2892"/>
      <c r="AQ23" s="2892"/>
      <c r="AR23" s="1872"/>
      <c r="AS23" s="1872"/>
      <c r="AT23" s="1872"/>
      <c r="AU23" s="1872"/>
    </row>
    <row r="24" spans="1:47" ht="12" customHeight="1" thickBot="1" x14ac:dyDescent="0.25">
      <c r="A24" s="10"/>
      <c r="B24" s="866"/>
      <c r="C24" s="1699" t="s">
        <v>1368</v>
      </c>
      <c r="D24" s="1700">
        <f>IF(Raza="Criatura",VLOOKUP(Tamaño,Tabla_CreaciónSeres,3),20)+IF(OR(Nephilim="Nephilim Turak",AND(L6="Grande",OR(Raza="Turak",Raza="Jayán"))),-10,0)</f>
        <v>20</v>
      </c>
      <c r="F24" s="3293" t="s">
        <v>1400</v>
      </c>
      <c r="G24" s="3294"/>
      <c r="H24" s="3295">
        <f>MAX(HA_final,HA_SinArmas_final)</f>
        <v>0</v>
      </c>
      <c r="I24" s="3306" t="s">
        <v>1401</v>
      </c>
      <c r="J24" s="3307"/>
      <c r="K24" s="659"/>
      <c r="L24" s="3286"/>
      <c r="M24" s="3272" t="s">
        <v>1412</v>
      </c>
      <c r="N24" s="3272"/>
      <c r="O24" s="3277"/>
      <c r="P24" s="3277"/>
      <c r="Q24" s="547">
        <f>IF(Montar_final="-","-",Montar_final+O24)</f>
        <v>-30</v>
      </c>
      <c r="R24" s="666"/>
      <c r="S24" s="1111"/>
      <c r="T24" s="1112"/>
      <c r="U24" s="1131"/>
      <c r="V24" s="3354" t="s">
        <v>1413</v>
      </c>
      <c r="W24" s="3355"/>
      <c r="X24" s="3356"/>
      <c r="Y24" s="3362"/>
      <c r="Z24" s="3363"/>
      <c r="AA24" s="681">
        <f>IF(Personalización!$L$7="Sin ajuste por Legados",0,IF(Principal!Y24="No",0,IF(SUM(Tablas!P236:P265)&gt;0,1,0)))</f>
        <v>0</v>
      </c>
      <c r="AB24" s="1525">
        <f>40*Tablas!P248+80*Tablas!P249+120*Tablas!P250</f>
        <v>0</v>
      </c>
      <c r="AD24" s="336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69"/>
      <c r="AF24" s="3369"/>
      <c r="AG24" s="3369"/>
      <c r="AH24" s="3369"/>
      <c r="AI24" s="3369"/>
      <c r="AJ24" s="3370"/>
      <c r="AK24" s="1514"/>
      <c r="AL24" s="674"/>
      <c r="AM24" s="2888" t="s">
        <v>8673</v>
      </c>
      <c r="AN24" s="2892"/>
      <c r="AO24" s="2892"/>
      <c r="AP24" s="2892"/>
      <c r="AQ24" s="2892"/>
      <c r="AR24" s="1872"/>
      <c r="AS24" s="1872"/>
      <c r="AT24" s="1872"/>
      <c r="AU24" s="1872"/>
    </row>
    <row r="25" spans="1:47" ht="12" customHeight="1" x14ac:dyDescent="0.2">
      <c r="A25" s="10"/>
      <c r="B25" s="866"/>
      <c r="C25" s="1701" t="s">
        <v>1376</v>
      </c>
      <c r="D25" s="579">
        <f>Bono_Agi</f>
        <v>0</v>
      </c>
      <c r="F25" s="3293"/>
      <c r="G25" s="3294"/>
      <c r="H25" s="3295"/>
      <c r="I25" s="3310">
        <f>Combate!AD15+Combate!AF15</f>
        <v>0</v>
      </c>
      <c r="J25" s="3311"/>
      <c r="K25" s="659"/>
      <c r="L25" s="3286"/>
      <c r="M25" s="3272" t="s">
        <v>1416</v>
      </c>
      <c r="N25" s="3272"/>
      <c r="O25" s="3277">
        <f>PenNatural-MIN(MAX(LlevarArmadura_final-Combate!H16,0)+Combate!H17,0)+Combate!H17</f>
        <v>0</v>
      </c>
      <c r="P25" s="3277"/>
      <c r="Q25" s="547">
        <f>IF(Nadar_final="-","-",Nadar_final+O25)</f>
        <v>-30</v>
      </c>
      <c r="R25" s="666"/>
      <c r="S25" s="1111"/>
      <c r="T25" s="1112"/>
      <c r="U25" s="1131"/>
      <c r="V25" s="3374" t="s">
        <v>1417</v>
      </c>
      <c r="W25" s="3375"/>
      <c r="X25" s="3376"/>
      <c r="Y25" s="3362"/>
      <c r="Z25" s="3363"/>
      <c r="AA25" s="681">
        <f>IF(Personalización!$O$6="Sin ajuste por Artefactos",0,IF(Y25="Si",1,0))</f>
        <v>0</v>
      </c>
      <c r="AB25" s="819">
        <v>0</v>
      </c>
      <c r="AD25" s="3371"/>
      <c r="AE25" s="3372"/>
      <c r="AF25" s="3372"/>
      <c r="AG25" s="3372"/>
      <c r="AH25" s="3372"/>
      <c r="AI25" s="3372"/>
      <c r="AJ25" s="3373"/>
      <c r="AK25" s="1514"/>
      <c r="AL25" s="674"/>
      <c r="AM25" s="2888" t="s">
        <v>1840</v>
      </c>
      <c r="AN25" s="2901" t="b">
        <f>AND(Personalización!AN15,TipoDeCriatura="Natural")</f>
        <v>0</v>
      </c>
      <c r="AO25" s="2892"/>
      <c r="AP25" s="2892"/>
      <c r="AQ25" s="2892"/>
      <c r="AR25" s="1872"/>
      <c r="AS25" s="1872"/>
      <c r="AT25" s="1872"/>
      <c r="AU25" s="1872"/>
    </row>
    <row r="26" spans="1:47" ht="12" customHeight="1" x14ac:dyDescent="0.2">
      <c r="A26" s="10"/>
      <c r="B26" s="866"/>
      <c r="C26" s="1702" t="s">
        <v>1381</v>
      </c>
      <c r="D26" s="579">
        <f>Bono_Des</f>
        <v>0</v>
      </c>
      <c r="F26" s="3296" t="str">
        <f>IF(HP_final&gt;HE_final,"H. Parada:","H. Esquiva:")</f>
        <v>H. Esquiva:</v>
      </c>
      <c r="G26" s="3297"/>
      <c r="H26" s="3298">
        <f>MAX(HP_final,HE_final,HD_SinArmas_final)</f>
        <v>0</v>
      </c>
      <c r="I26" s="3310"/>
      <c r="J26" s="3311"/>
      <c r="K26" s="659"/>
      <c r="L26" s="3286"/>
      <c r="M26" s="3272" t="s">
        <v>1419</v>
      </c>
      <c r="N26" s="3272"/>
      <c r="O26" s="3277">
        <f>PenNatural</f>
        <v>0</v>
      </c>
      <c r="P26" s="3277"/>
      <c r="Q26" s="547">
        <f>IF(Trepar_final="-","-",Trepar_final+O26)</f>
        <v>-30</v>
      </c>
      <c r="R26" s="666"/>
      <c r="S26" s="1111"/>
      <c r="T26" s="1112"/>
      <c r="U26" s="1131"/>
      <c r="V26" s="3357" t="s">
        <v>1420</v>
      </c>
      <c r="W26" s="3358"/>
      <c r="X26" s="3359"/>
      <c r="Y26" s="3360"/>
      <c r="Z26" s="3361"/>
      <c r="AA26" s="1722">
        <f>IF(Personalización!$O$7="Sin ajuste por PDs",0,ROUNDUP((AB27-AB22-AB23-AB24-AB25)/100,0))</f>
        <v>0</v>
      </c>
      <c r="AB26" s="1723"/>
      <c r="AD26" s="3371"/>
      <c r="AE26" s="3372"/>
      <c r="AF26" s="3372"/>
      <c r="AG26" s="3372"/>
      <c r="AH26" s="3372"/>
      <c r="AI26" s="3372"/>
      <c r="AJ26" s="3373"/>
      <c r="AK26" s="1514"/>
      <c r="AL26" s="674"/>
      <c r="AM26" s="2888" t="s">
        <v>1385</v>
      </c>
      <c r="AN26" s="2901" t="b">
        <f>AB13&lt;AP26</f>
        <v>0</v>
      </c>
      <c r="AO26" s="2892" t="s">
        <v>8674</v>
      </c>
      <c r="AP26" s="2892">
        <f>IF(OR(Tablas!J1772&gt;0,Tablas!J1786&gt;0,Tablas!J1821&gt;0,(AND(Raza="Ebudan",SueAman="Conseguido",Personalización!E47="Si"))),30,0)</f>
        <v>0</v>
      </c>
      <c r="AQ26" s="2892" t="s">
        <v>8675</v>
      </c>
      <c r="AR26" s="1872"/>
      <c r="AS26" s="1872"/>
      <c r="AT26" s="1872"/>
      <c r="AU26" s="1872"/>
    </row>
    <row r="27" spans="1:47" ht="12" customHeight="1" thickBot="1" x14ac:dyDescent="0.25">
      <c r="A27" s="10"/>
      <c r="B27" s="866"/>
      <c r="C27" s="1702" t="s">
        <v>1411</v>
      </c>
      <c r="D27" s="579">
        <f>HLOOKUP("Turno",Bonos_Cat_Base,2,FALSE)</f>
        <v>0</v>
      </c>
      <c r="F27" s="3296"/>
      <c r="G27" s="3297"/>
      <c r="H27" s="3298"/>
      <c r="I27" s="3310"/>
      <c r="J27" s="3311"/>
      <c r="K27" s="659"/>
      <c r="L27" s="3286"/>
      <c r="M27" s="3272" t="s">
        <v>1422</v>
      </c>
      <c r="N27" s="3272"/>
      <c r="O27" s="3277">
        <f>PenNatural</f>
        <v>0</v>
      </c>
      <c r="P27" s="3277"/>
      <c r="Q27" s="547">
        <f>IF(Saltar_final="-","-",Saltar_final+O27)</f>
        <v>-30</v>
      </c>
      <c r="R27" s="666"/>
      <c r="S27" s="1111"/>
      <c r="T27" s="1112"/>
      <c r="U27" s="1131"/>
      <c r="V27" s="3385" t="str">
        <f>IF(COUNTA(Personalización!$L$6:$Q$7)&gt;0,"Sin ajuste(s)","")</f>
        <v/>
      </c>
      <c r="W27" s="3386"/>
      <c r="X27" s="3386"/>
      <c r="Y27" s="3383" t="s">
        <v>1423</v>
      </c>
      <c r="Z27" s="3384"/>
      <c r="AA27" s="1566">
        <f>SUM(AA22:AA26)</f>
        <v>0</v>
      </c>
      <c r="AB27" s="1724">
        <f>SUM(AB22:AB26)+50*Tablas!G353+100*Tablas!G354+150*Tablas!G355+Tablas!K1860</f>
        <v>0</v>
      </c>
      <c r="AD27" s="1077"/>
      <c r="AE27" s="3387" t="s">
        <v>1424</v>
      </c>
      <c r="AF27" s="3387"/>
      <c r="AG27" s="3387"/>
      <c r="AH27" s="3387"/>
      <c r="AI27" s="3387"/>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888"/>
      <c r="AN27" s="2892"/>
      <c r="AO27" s="2892"/>
      <c r="AP27" s="2892"/>
      <c r="AQ27" s="2892"/>
      <c r="AR27" s="1872"/>
      <c r="AS27" s="1872"/>
      <c r="AT27" s="1872"/>
      <c r="AU27" s="1872"/>
    </row>
    <row r="28" spans="1:47" ht="12" customHeight="1" thickBot="1" x14ac:dyDescent="0.25">
      <c r="A28" s="10"/>
      <c r="B28" s="866"/>
      <c r="C28" s="1702" t="s">
        <v>1414</v>
      </c>
      <c r="D28" s="579">
        <f>PenNatural</f>
        <v>0</v>
      </c>
      <c r="F28" s="3412" t="s">
        <v>1415</v>
      </c>
      <c r="G28" s="3413"/>
      <c r="H28" s="3416">
        <f>LlevarArmadura_final</f>
        <v>0</v>
      </c>
      <c r="I28" s="3310"/>
      <c r="J28" s="3311"/>
      <c r="K28" s="660"/>
      <c r="L28" s="3287"/>
      <c r="M28" s="3400" t="s">
        <v>6372</v>
      </c>
      <c r="N28" s="3400"/>
      <c r="O28" s="3288"/>
      <c r="P28" s="3288"/>
      <c r="Q28" s="548">
        <f>IF(Pilotar_final="-","-",Pilotar_final+O28)</f>
        <v>-30</v>
      </c>
      <c r="R28" s="666"/>
      <c r="S28" s="1111"/>
      <c r="T28" s="1112"/>
      <c r="U28" s="1131"/>
      <c r="W28" s="47"/>
      <c r="X28" s="47"/>
      <c r="Y28" s="47"/>
      <c r="Z28" s="47"/>
      <c r="AA28" s="47"/>
      <c r="AB28" s="47"/>
      <c r="AC28" s="47"/>
      <c r="AD28" s="47"/>
      <c r="AE28" s="47"/>
      <c r="AK28" s="1514"/>
      <c r="AL28" s="674"/>
      <c r="AM28" s="2888"/>
      <c r="AN28" s="2892"/>
      <c r="AO28" s="2892"/>
      <c r="AP28" s="2892"/>
      <c r="AQ28" s="2892"/>
      <c r="AR28" s="1872"/>
      <c r="AS28" s="1872"/>
      <c r="AT28" s="1872"/>
      <c r="AU28" s="1872"/>
    </row>
    <row r="29" spans="1:47" ht="12" customHeight="1" thickBot="1" x14ac:dyDescent="0.25">
      <c r="A29" s="10"/>
      <c r="B29" s="866"/>
      <c r="C29" s="1702" t="s">
        <v>7417</v>
      </c>
      <c r="D29" s="579">
        <f>20+Tablas!$S$1239</f>
        <v>20</v>
      </c>
      <c r="F29" s="3414"/>
      <c r="G29" s="3415"/>
      <c r="H29" s="3417"/>
      <c r="I29" s="3312"/>
      <c r="J29" s="3313"/>
      <c r="K29" s="659"/>
      <c r="L29" s="3286" t="s">
        <v>1425</v>
      </c>
      <c r="M29" s="3272" t="s">
        <v>1426</v>
      </c>
      <c r="N29" s="3272"/>
      <c r="O29" s="3277"/>
      <c r="P29" s="3277"/>
      <c r="Q29" s="547">
        <f>IF(Estilo_final="-","-",Estilo_final+O29)</f>
        <v>-30</v>
      </c>
      <c r="R29" s="666"/>
      <c r="S29" s="1111"/>
      <c r="T29" s="1112"/>
      <c r="U29" s="1131"/>
      <c r="V29" s="3324" t="s">
        <v>1429</v>
      </c>
      <c r="W29" s="3324"/>
      <c r="X29" s="3324"/>
      <c r="Y29" s="3324"/>
      <c r="Z29" s="3324"/>
      <c r="AA29" s="3324"/>
      <c r="AB29" s="3324"/>
      <c r="AC29" s="3324"/>
      <c r="AD29" s="3324"/>
      <c r="AE29" s="3324"/>
      <c r="AF29" s="3447" t="s">
        <v>1430</v>
      </c>
      <c r="AG29" s="3447"/>
      <c r="AH29" s="3447"/>
      <c r="AI29" s="3447"/>
      <c r="AJ29" s="3447"/>
      <c r="AK29" s="1514"/>
      <c r="AL29" s="674"/>
      <c r="AM29" s="2893"/>
      <c r="AN29" s="2892"/>
      <c r="AO29" s="2892"/>
      <c r="AP29" s="2892"/>
      <c r="AQ29" s="2892"/>
      <c r="AR29" s="1872"/>
      <c r="AS29" s="1872"/>
      <c r="AT29" s="1872"/>
      <c r="AU29" s="1872"/>
    </row>
    <row r="30" spans="1:47" ht="12" customHeight="1" x14ac:dyDescent="0.2">
      <c r="A30" s="10"/>
      <c r="B30" s="866"/>
      <c r="C30" s="1703" t="s">
        <v>1421</v>
      </c>
      <c r="D30" s="2491"/>
      <c r="F30" s="3267" t="str">
        <f>IF(Tablas!G527&gt;0,"Arma exclusiva:","Arma desarrollada:")</f>
        <v>Arma desarrollada:</v>
      </c>
      <c r="G30" s="3268"/>
      <c r="H30" s="3269"/>
      <c r="I30" s="3270" t="str">
        <f>IF(Tablas!H1413&gt;0,"Sin Pen. por Dolor",IF(Tablas!$G$533&gt;0,IF(OR(Tablas!$G$335&gt;0,Ki!$P$57="-"),"x1/2 Pen. por Cansancio","x2 Pen. por Dolor"),IF(Tablas!$G$534&gt;0,IF(OR(Tablas!$G$335&gt;0,Ki!$P$57="-"),"x1/2 Pen. por Dolor","x2 Pen. por Cansancio"),IF(AND(Tablas!$G$335&gt;0,Ki!$P$57="-"),"x1/3 Penalizadores",IF(OR(Tablas!$G$335&gt;0,Ki!$P$57="-"),"x1/2 Penalizadores","")))))</f>
        <v/>
      </c>
      <c r="J30" s="3271"/>
      <c r="K30" s="659"/>
      <c r="L30" s="3286"/>
      <c r="M30" s="3272" t="s">
        <v>1428</v>
      </c>
      <c r="N30" s="3272"/>
      <c r="O30" s="3277"/>
      <c r="P30" s="3277"/>
      <c r="Q30" s="547">
        <f>IF(Intimidar_final="-","-",Intimidar_final+O30)</f>
        <v>-30</v>
      </c>
      <c r="R30" s="666"/>
      <c r="S30" s="1111"/>
      <c r="T30" s="1112"/>
      <c r="U30" s="1131"/>
      <c r="V30" s="3439" t="str">
        <f>IF(Raza="","",VLOOKUP(Raza,Tabla_Razas,20,FALSE))</f>
        <v/>
      </c>
      <c r="W30" s="3404"/>
      <c r="X30" s="3404"/>
      <c r="Y30" s="3404"/>
      <c r="Z30" s="3404"/>
      <c r="AA30" s="3404"/>
      <c r="AB30" s="3404"/>
      <c r="AC30" s="3404"/>
      <c r="AD30" s="3404"/>
      <c r="AE30" s="3440"/>
      <c r="AF30" s="3403" t="str">
        <f>Tablas!R266</f>
        <v/>
      </c>
      <c r="AG30" s="3404"/>
      <c r="AH30" s="3404"/>
      <c r="AI30" s="3404"/>
      <c r="AJ30" s="3405"/>
      <c r="AK30" s="1516">
        <f>IF($G$42=0,0,VLOOKUP($G$42,Tabla_LegadosSangre,7,FALSE))</f>
        <v>0</v>
      </c>
      <c r="AL30" s="674"/>
      <c r="AM30" s="2902"/>
      <c r="AN30" s="2892"/>
      <c r="AO30" s="2892"/>
      <c r="AP30" s="2892"/>
      <c r="AQ30" s="2892"/>
      <c r="AR30" s="1872"/>
      <c r="AS30" s="1872"/>
      <c r="AT30" s="1872"/>
      <c r="AU30" s="1872"/>
    </row>
    <row r="31" spans="1:47" ht="12" customHeight="1" thickBot="1" x14ac:dyDescent="0.25">
      <c r="A31" s="10"/>
      <c r="B31" s="866"/>
      <c r="C31" s="3283" t="s">
        <v>1352</v>
      </c>
      <c r="D31" s="3289">
        <f>SUM(D24:D30)+25*Tablas!G316+45*Tablas!G317+60*Tablas!G318-30*Tablas!G528-60*Tablas!G529+IF(Ki!P40="-",10,0)+IF(Mod_ATA&lt;0,TRUNC(Mod_ATA/2,0),0)+IF(Raza="Nephilim Turak",-10)+IF(Raza="Turak",-20)+'Tablas psiquica'!$AH$58</f>
        <v>40</v>
      </c>
      <c r="F31" s="3397" t="s">
        <v>2115</v>
      </c>
      <c r="G31" s="3398"/>
      <c r="H31" s="3399"/>
      <c r="I31" s="3270"/>
      <c r="J31" s="3271"/>
      <c r="K31" s="659"/>
      <c r="L31" s="3286"/>
      <c r="M31" s="3272" t="s">
        <v>1431</v>
      </c>
      <c r="N31" s="3272"/>
      <c r="O31" s="3277"/>
      <c r="P31" s="3277"/>
      <c r="Q31" s="547">
        <f>IF(Liderazgo_final="-","-",Liderazgo_final+O31)</f>
        <v>-30</v>
      </c>
      <c r="R31" s="666"/>
      <c r="S31" s="1111"/>
      <c r="T31" s="1112"/>
      <c r="U31" s="1131"/>
      <c r="V31" s="3441"/>
      <c r="W31" s="3407"/>
      <c r="X31" s="3407"/>
      <c r="Y31" s="3407"/>
      <c r="Z31" s="3407"/>
      <c r="AA31" s="3407"/>
      <c r="AB31" s="3407"/>
      <c r="AC31" s="3407"/>
      <c r="AD31" s="3407"/>
      <c r="AE31" s="3442"/>
      <c r="AF31" s="3406"/>
      <c r="AG31" s="3407"/>
      <c r="AH31" s="3407"/>
      <c r="AI31" s="3407"/>
      <c r="AJ31" s="3408"/>
      <c r="AK31" s="1516"/>
      <c r="AL31" s="674"/>
      <c r="AM31" s="2888" t="s">
        <v>7387</v>
      </c>
      <c r="AN31" s="2892"/>
      <c r="AO31" s="2892"/>
      <c r="AP31" s="2892"/>
      <c r="AQ31" s="2892"/>
      <c r="AR31" s="1872"/>
      <c r="AS31" s="1872"/>
      <c r="AT31" s="1872"/>
      <c r="AU31" s="1872"/>
    </row>
    <row r="32" spans="1:47" ht="12" customHeight="1" thickBot="1" x14ac:dyDescent="0.25">
      <c r="A32" s="10"/>
      <c r="B32" s="866"/>
      <c r="C32" s="3284"/>
      <c r="D32" s="3290"/>
      <c r="F32" s="3401" t="s">
        <v>1427</v>
      </c>
      <c r="G32" s="3402"/>
      <c r="H32" s="3402"/>
      <c r="I32" s="3402"/>
      <c r="J32" s="1394">
        <f>VLOOKUP(G13+G11,Tabla_NumAcciones,2)</f>
        <v>1</v>
      </c>
      <c r="K32" s="659"/>
      <c r="L32" s="3286"/>
      <c r="M32" s="3272" t="s">
        <v>1433</v>
      </c>
      <c r="N32" s="3272"/>
      <c r="O32" s="3277"/>
      <c r="P32" s="3277"/>
      <c r="Q32" s="547">
        <f>IF(Persuasión_final="-","-",Persuasión_final+O32)</f>
        <v>-30</v>
      </c>
      <c r="R32" s="666"/>
      <c r="S32" s="1111"/>
      <c r="T32" s="1112"/>
      <c r="U32" s="1131"/>
      <c r="V32" s="3441"/>
      <c r="W32" s="3407"/>
      <c r="X32" s="3407"/>
      <c r="Y32" s="3407"/>
      <c r="Z32" s="3407"/>
      <c r="AA32" s="3407"/>
      <c r="AB32" s="3407"/>
      <c r="AC32" s="3407"/>
      <c r="AD32" s="3407"/>
      <c r="AE32" s="3442"/>
      <c r="AF32" s="3406"/>
      <c r="AG32" s="3407"/>
      <c r="AH32" s="3407"/>
      <c r="AI32" s="3407"/>
      <c r="AJ32" s="3408"/>
      <c r="AK32" s="1516"/>
      <c r="AL32" s="674"/>
      <c r="AM32" s="2888" t="s">
        <v>6684</v>
      </c>
      <c r="AN32" s="2892" t="str">
        <f>IF(AND(Raza="Criatura",AN39,AB13&lt;30),"$AO$36",Lista_VentajasComun)</f>
        <v>Tablas!$C$257:$C$398</v>
      </c>
      <c r="AO32" s="2892"/>
      <c r="AP32" s="2892"/>
      <c r="AQ32" s="2892"/>
      <c r="AR32" s="1872"/>
      <c r="AS32" s="1872"/>
      <c r="AT32" s="1872"/>
      <c r="AU32" s="1872"/>
    </row>
    <row r="33" spans="1:47" ht="12" customHeight="1" thickBot="1" x14ac:dyDescent="0.25">
      <c r="A33" s="10"/>
      <c r="B33" s="866"/>
      <c r="K33" s="659"/>
      <c r="L33" s="3286"/>
      <c r="M33" s="3272" t="s">
        <v>819</v>
      </c>
      <c r="N33" s="3272"/>
      <c r="O33" s="3277"/>
      <c r="P33" s="3277"/>
      <c r="Q33" s="547">
        <f>IF(Comercio_final="-","-",Comercio_final+O33)</f>
        <v>-30</v>
      </c>
      <c r="R33" s="666"/>
      <c r="S33" s="1111"/>
      <c r="T33" s="1112"/>
      <c r="U33" s="1131"/>
      <c r="V33" s="3441"/>
      <c r="W33" s="3407"/>
      <c r="X33" s="3407"/>
      <c r="Y33" s="3407"/>
      <c r="Z33" s="3407"/>
      <c r="AA33" s="3407"/>
      <c r="AB33" s="3407"/>
      <c r="AC33" s="3407"/>
      <c r="AD33" s="3407"/>
      <c r="AE33" s="3442"/>
      <c r="AF33" s="3406"/>
      <c r="AG33" s="3407"/>
      <c r="AH33" s="3407"/>
      <c r="AI33" s="3407"/>
      <c r="AJ33" s="3408"/>
      <c r="AK33" s="1516"/>
      <c r="AL33" s="674"/>
      <c r="AM33" s="2888" t="s">
        <v>6685</v>
      </c>
      <c r="AN33" s="2892" t="str">
        <f>IF(AND(Raza="Criatura",AN39,AB13&lt;30),"$AO$36",IF(AND(Don,Psíquico),"Lista_VentajasDonYPsi",IF(Don,"Lista_VentajasDon",IF(Psíquico,"Lista_VentajasPsi","$AO$37"))))</f>
        <v>$AO$37</v>
      </c>
      <c r="AO33" s="2892"/>
      <c r="AP33" s="2892"/>
      <c r="AQ33" s="2892"/>
      <c r="AR33" s="1872"/>
      <c r="AS33" s="1872"/>
      <c r="AT33" s="1872"/>
      <c r="AU33" s="1872"/>
    </row>
    <row r="34" spans="1:47" ht="12" customHeight="1" x14ac:dyDescent="0.2">
      <c r="A34" s="10"/>
      <c r="B34" s="866"/>
      <c r="C34" s="3281" t="s">
        <v>1432</v>
      </c>
      <c r="D34" s="3282"/>
      <c r="E34" s="3282"/>
      <c r="F34" s="3282"/>
      <c r="G34" s="2999"/>
      <c r="H34" s="2999"/>
      <c r="I34" s="3000"/>
      <c r="J34" s="1638">
        <f>IF(AND(Raza="Criatura",AN39),0,3)+J49-Tablas!C234+IF(Y23="PDs",0,IF($AB$13=0,0,VLOOKUP($AB$13,Tabla_Gnosis,3,FALSE)))</f>
        <v>3</v>
      </c>
      <c r="K34" s="723"/>
      <c r="L34" s="3286"/>
      <c r="M34" s="3272" t="s">
        <v>820</v>
      </c>
      <c r="N34" s="3272"/>
      <c r="O34" s="3276"/>
      <c r="P34" s="3276"/>
      <c r="Q34" s="547">
        <f>IF(Callejeo_final="-","-",Callejeo_final+O34)</f>
        <v>-30</v>
      </c>
      <c r="R34" s="666"/>
      <c r="S34" s="1111"/>
      <c r="T34" s="1112"/>
      <c r="U34" s="1131"/>
      <c r="V34" s="3441"/>
      <c r="W34" s="3407"/>
      <c r="X34" s="3407"/>
      <c r="Y34" s="3407"/>
      <c r="Z34" s="3407"/>
      <c r="AA34" s="3407"/>
      <c r="AB34" s="3407"/>
      <c r="AC34" s="3407"/>
      <c r="AD34" s="3407"/>
      <c r="AE34" s="3442"/>
      <c r="AF34" s="3409"/>
      <c r="AG34" s="3410"/>
      <c r="AH34" s="3410"/>
      <c r="AI34" s="3410"/>
      <c r="AJ34" s="3411"/>
      <c r="AK34" s="1516">
        <f>IF($G$42=0,0,VLOOKUP($G$42,Tabla_LegadosSangre,10,FALSE))</f>
        <v>0</v>
      </c>
      <c r="AL34" s="674"/>
      <c r="AM34" s="2888" t="s">
        <v>6686</v>
      </c>
      <c r="AN34" s="2903" t="str">
        <f>IF(AND(Raza="Criatura",AN39,AB13&lt;30),"$AO$36","Lista_VentajasTrasfondo")</f>
        <v>Lista_VentajasTrasfondo</v>
      </c>
      <c r="AO34" s="2892"/>
      <c r="AP34" s="2892"/>
      <c r="AQ34" s="2892"/>
      <c r="AR34" s="1872"/>
      <c r="AS34" s="1872"/>
      <c r="AT34" s="1872"/>
      <c r="AU34" s="1872"/>
    </row>
    <row r="35" spans="1:47" ht="12" customHeight="1" thickBot="1" x14ac:dyDescent="0.25">
      <c r="A35" s="10"/>
      <c r="B35" s="866"/>
      <c r="C35" s="3278"/>
      <c r="D35" s="3279"/>
      <c r="E35" s="3279"/>
      <c r="F35" s="3280"/>
      <c r="G35" s="3457"/>
      <c r="H35" s="3458"/>
      <c r="I35" s="3458"/>
      <c r="J35" s="3459"/>
      <c r="K35" s="723"/>
      <c r="L35" s="3286"/>
      <c r="M35" s="3272" t="s">
        <v>821</v>
      </c>
      <c r="N35" s="3272"/>
      <c r="O35" s="3276"/>
      <c r="P35" s="3276"/>
      <c r="Q35" s="547">
        <f>IF(Etiqueta_final="-","-",Etiqueta_final+O35)</f>
        <v>-30</v>
      </c>
      <c r="R35" s="666"/>
      <c r="S35" s="1111"/>
      <c r="T35" s="1112"/>
      <c r="U35" s="1131"/>
      <c r="V35" s="3443"/>
      <c r="W35" s="3444"/>
      <c r="X35" s="3444"/>
      <c r="Y35" s="3444"/>
      <c r="Z35" s="3444"/>
      <c r="AA35" s="3444"/>
      <c r="AB35" s="3444"/>
      <c r="AC35" s="3444"/>
      <c r="AD35" s="3444"/>
      <c r="AE35" s="3445"/>
      <c r="AF35" s="3446" t="str">
        <f>IF(ISNUMBER(SEARCH("Afinidad Elemental",AF30)),"+10 Daño base ataques elemento afín","")</f>
        <v/>
      </c>
      <c r="AG35" s="3446"/>
      <c r="AH35" s="3446"/>
      <c r="AI35" s="3446"/>
      <c r="AJ35" s="3446"/>
      <c r="AK35" s="1516">
        <f>IF($G$42=0,0,VLOOKUP($G$42,Tabla_LegadosSangre,13,FALSE))</f>
        <v>0</v>
      </c>
      <c r="AL35" s="674"/>
      <c r="AM35" s="2888" t="s">
        <v>6687</v>
      </c>
      <c r="AN35" s="2892" t="str">
        <f>IF(AND(Raza="Criatura",AN39,AB13&lt;30),"$AO$36","Lista_LegadosSangre")</f>
        <v>Lista_LegadosSangre</v>
      </c>
      <c r="AO35" s="2892"/>
      <c r="AP35" s="2892"/>
      <c r="AQ35" s="2892"/>
      <c r="AR35" s="1872"/>
      <c r="AS35" s="1872"/>
      <c r="AT35" s="1872"/>
      <c r="AU35" s="1872"/>
    </row>
    <row r="36" spans="1:47" ht="12" customHeight="1" thickBot="1" x14ac:dyDescent="0.25">
      <c r="A36" s="10"/>
      <c r="B36" s="866"/>
      <c r="C36" s="3273"/>
      <c r="D36" s="3274"/>
      <c r="E36" s="3274"/>
      <c r="F36" s="3275"/>
      <c r="G36" s="3427"/>
      <c r="H36" s="3428"/>
      <c r="I36" s="3428"/>
      <c r="J36" s="3429"/>
      <c r="K36" s="723"/>
      <c r="L36" s="3285" t="s">
        <v>1434</v>
      </c>
      <c r="M36" s="3301" t="s">
        <v>1435</v>
      </c>
      <c r="N36" s="3301"/>
      <c r="O36" s="3299">
        <f>IF(Combate!$C$15=0,0,VLOOKUP(Combate!$C$15,Tabla_Yelmos,3,FALSE))</f>
        <v>0</v>
      </c>
      <c r="P36" s="3299"/>
      <c r="Q36" s="546">
        <f>IF(Advertir_final="-","-",Advertir_final+O36)</f>
        <v>-30</v>
      </c>
      <c r="R36" s="666"/>
      <c r="S36" s="1111"/>
      <c r="T36" s="1112"/>
      <c r="U36" s="1131"/>
      <c r="V36" s="3197" t="s">
        <v>7263</v>
      </c>
      <c r="W36" s="3198"/>
      <c r="X36" s="3198"/>
      <c r="Y36" s="3198"/>
      <c r="Z36" s="3198"/>
      <c r="AA36" s="3198"/>
      <c r="AB36" s="3198"/>
      <c r="AC36" s="3198"/>
      <c r="AD36" s="3198"/>
      <c r="AE36" s="3198"/>
      <c r="AF36" s="3198"/>
      <c r="AG36" s="3198"/>
      <c r="AH36" s="3198"/>
      <c r="AI36" s="3198"/>
      <c r="AJ36" s="3199"/>
      <c r="AK36" s="1516"/>
      <c r="AL36" s="674"/>
      <c r="AM36" s="2888" t="s">
        <v>6688</v>
      </c>
      <c r="AN36" s="2892" t="b">
        <f>OR(ISNUMBER(SEARCH("Don",$C35&amp;$C36&amp;$C37&amp;$C38&amp;$C39&amp;$C40&amp;$C41&amp;$C42)),Tablas!H1222&gt;0)</f>
        <v>0</v>
      </c>
      <c r="AO36" s="2892" t="s">
        <v>8512</v>
      </c>
      <c r="AP36" s="2892"/>
      <c r="AQ36" s="2892"/>
      <c r="AR36" s="1872"/>
      <c r="AS36" s="1872"/>
      <c r="AT36" s="1872"/>
      <c r="AU36" s="1872"/>
    </row>
    <row r="37" spans="1:47" ht="12" customHeight="1" x14ac:dyDescent="0.2">
      <c r="A37" s="10"/>
      <c r="B37" s="866"/>
      <c r="C37" s="3273"/>
      <c r="D37" s="3274"/>
      <c r="E37" s="3274"/>
      <c r="F37" s="3275"/>
      <c r="G37" s="3427"/>
      <c r="H37" s="3428"/>
      <c r="I37" s="3428"/>
      <c r="J37" s="3429"/>
      <c r="K37" s="723"/>
      <c r="L37" s="3286"/>
      <c r="M37" s="3272" t="s">
        <v>1436</v>
      </c>
      <c r="N37" s="3272"/>
      <c r="O37" s="3277">
        <f>IF(Combate!$C$15=0,0,VLOOKUP(Combate!$C$15,Tabla_Yelmos,3,FALSE))</f>
        <v>0</v>
      </c>
      <c r="P37" s="3277"/>
      <c r="Q37" s="547">
        <f>IF(Buscar_final="-","-",Buscar_final+O37)</f>
        <v>-30</v>
      </c>
      <c r="R37" s="666"/>
      <c r="S37" s="1111"/>
      <c r="T37" s="1112"/>
      <c r="U37" s="1131"/>
      <c r="V37" s="3567" t="str">
        <f>IF(Nephilim="","",VLOOKUP(Nephilim,Tabla_Razas,20,FALSE))</f>
        <v/>
      </c>
      <c r="W37" s="3568"/>
      <c r="X37" s="3568"/>
      <c r="Y37" s="3568"/>
      <c r="Z37" s="3568"/>
      <c r="AA37" s="3568"/>
      <c r="AB37" s="3568"/>
      <c r="AC37" s="3568"/>
      <c r="AD37" s="3568"/>
      <c r="AE37" s="3568"/>
      <c r="AF37" s="3568"/>
      <c r="AG37" s="3568"/>
      <c r="AH37" s="3568"/>
      <c r="AI37" s="3568"/>
      <c r="AJ37" s="3569"/>
      <c r="AK37" s="1516"/>
      <c r="AL37" s="674"/>
      <c r="AM37" s="2888" t="s">
        <v>6689</v>
      </c>
      <c r="AN37" s="2892" t="b">
        <f>OR(ISNUMBER(SEARCH("psiquica",$C35&amp;$C36&amp;$C37&amp;$C38&amp;$C39&amp;$C40&amp;$C41&amp;$C42)),Tablas!H1223&gt;0,Tablas!H1224&gt;0)</f>
        <v>0</v>
      </c>
      <c r="AO37" s="2892" t="s">
        <v>7386</v>
      </c>
      <c r="AP37" s="2892"/>
      <c r="AQ37" s="2892"/>
      <c r="AR37" s="1872"/>
      <c r="AS37" s="1872"/>
      <c r="AT37" s="1872"/>
      <c r="AU37" s="1872"/>
    </row>
    <row r="38" spans="1:47" ht="12" customHeight="1" thickBot="1" x14ac:dyDescent="0.25">
      <c r="A38" s="10"/>
      <c r="B38" s="513"/>
      <c r="C38" s="3273"/>
      <c r="D38" s="3274"/>
      <c r="E38" s="3274"/>
      <c r="F38" s="3275"/>
      <c r="G38" s="3427"/>
      <c r="H38" s="3428"/>
      <c r="I38" s="3428"/>
      <c r="J38" s="3429"/>
      <c r="K38" s="723"/>
      <c r="L38" s="3287"/>
      <c r="M38" s="3400" t="s">
        <v>1437</v>
      </c>
      <c r="N38" s="3400"/>
      <c r="O38" s="3288"/>
      <c r="P38" s="3288"/>
      <c r="Q38" s="548">
        <f>IF(Rastrear_final="-","-",Rastrear_final+O38)</f>
        <v>-30</v>
      </c>
      <c r="R38" s="666"/>
      <c r="S38" s="1111"/>
      <c r="T38" s="1112"/>
      <c r="U38" s="1131"/>
      <c r="V38" s="3570"/>
      <c r="W38" s="3571"/>
      <c r="X38" s="3571"/>
      <c r="Y38" s="3571"/>
      <c r="Z38" s="3571"/>
      <c r="AA38" s="3571"/>
      <c r="AB38" s="3571"/>
      <c r="AC38" s="3571"/>
      <c r="AD38" s="3571"/>
      <c r="AE38" s="3571"/>
      <c r="AF38" s="3571"/>
      <c r="AG38" s="3571"/>
      <c r="AH38" s="3571"/>
      <c r="AI38" s="3571"/>
      <c r="AJ38" s="3572"/>
      <c r="AK38" s="1515"/>
      <c r="AL38" s="674"/>
      <c r="AM38" s="2888" t="s">
        <v>8998</v>
      </c>
      <c r="AN38" s="2892" t="str">
        <f>IF(AND(Raza="Criatura",AN39,AB13&lt;30),"$AO$36",Lista_Desventajas)</f>
        <v>Tablas!$C$500:$C$556</v>
      </c>
      <c r="AO38" s="2892"/>
      <c r="AP38" s="2892"/>
      <c r="AQ38" s="2892"/>
      <c r="AR38" s="1872"/>
      <c r="AS38" s="1872"/>
      <c r="AT38" s="1872"/>
      <c r="AU38" s="1872"/>
    </row>
    <row r="39" spans="1:47" ht="12" customHeight="1" thickBot="1" x14ac:dyDescent="0.25">
      <c r="A39" s="10"/>
      <c r="B39" s="513"/>
      <c r="C39" s="3273"/>
      <c r="D39" s="3274"/>
      <c r="E39" s="3274"/>
      <c r="F39" s="3275"/>
      <c r="G39" s="3427"/>
      <c r="H39" s="3428"/>
      <c r="I39" s="3428"/>
      <c r="J39" s="3429"/>
      <c r="K39" s="723"/>
      <c r="L39" s="3286" t="s">
        <v>1438</v>
      </c>
      <c r="M39" s="3272" t="s">
        <v>1439</v>
      </c>
      <c r="N39" s="3272"/>
      <c r="O39" s="3277"/>
      <c r="P39" s="3277"/>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888" t="s">
        <v>9535</v>
      </c>
      <c r="AN39" s="2892" t="b">
        <f>Personalización!F9&lt;&gt;"Si (No oficial)"</f>
        <v>1</v>
      </c>
      <c r="AO39" s="2892"/>
      <c r="AP39" s="2892"/>
      <c r="AQ39" s="2892"/>
      <c r="AR39" s="1872"/>
      <c r="AS39" s="1872"/>
      <c r="AT39" s="1872"/>
      <c r="AU39" s="1872"/>
    </row>
    <row r="40" spans="1:47" ht="12" customHeight="1" thickBot="1" x14ac:dyDescent="0.25">
      <c r="A40" s="10"/>
      <c r="B40" s="513"/>
      <c r="C40" s="3273"/>
      <c r="D40" s="3274"/>
      <c r="E40" s="3274"/>
      <c r="F40" s="3275"/>
      <c r="G40" s="3563"/>
      <c r="H40" s="3564"/>
      <c r="I40" s="3564"/>
      <c r="J40" s="3565"/>
      <c r="K40" s="723"/>
      <c r="L40" s="3286"/>
      <c r="M40" s="3272" t="s">
        <v>1440</v>
      </c>
      <c r="N40" s="3272"/>
      <c r="O40" s="3277"/>
      <c r="P40" s="3277"/>
      <c r="Q40" s="547" t="str">
        <f>IF(Ciencia_final="-","-",Ciencia_final+O40)</f>
        <v>-</v>
      </c>
      <c r="R40" s="666"/>
      <c r="S40" s="1111"/>
      <c r="T40" s="1112"/>
      <c r="U40" s="1131"/>
      <c r="V40" s="3108" t="s">
        <v>1442</v>
      </c>
      <c r="W40" s="3109"/>
      <c r="X40" s="3109"/>
      <c r="Y40" s="3109"/>
      <c r="Z40" s="3109"/>
      <c r="AA40" s="3109"/>
      <c r="AB40" s="3157"/>
      <c r="AC40" s="3157"/>
      <c r="AD40" s="3157"/>
      <c r="AE40" s="3157"/>
      <c r="AF40" s="3109"/>
      <c r="AG40" s="3110"/>
      <c r="AH40" s="3573" t="s">
        <v>1375</v>
      </c>
      <c r="AI40" s="3574"/>
      <c r="AJ40" s="1718">
        <f>IF(ISNUMBER(SUM(AJ42:AJ69)+AJ70),SUM(AJ42:AJ69)+AJ70,0)</f>
        <v>0</v>
      </c>
      <c r="AK40" s="1514"/>
      <c r="AL40" s="674"/>
      <c r="AM40" s="2888"/>
      <c r="AN40" s="2892"/>
      <c r="AO40" s="2892"/>
      <c r="AP40" s="2904"/>
      <c r="AQ40" s="2892"/>
      <c r="AR40" s="1872"/>
      <c r="AS40" s="1872"/>
      <c r="AT40" s="1872"/>
      <c r="AU40" s="1872"/>
    </row>
    <row r="41" spans="1:47" ht="12" customHeight="1" x14ac:dyDescent="0.2">
      <c r="A41" s="10"/>
      <c r="B41" s="513"/>
      <c r="C41" s="3273"/>
      <c r="D41" s="3274"/>
      <c r="E41" s="3274"/>
      <c r="F41" s="3275"/>
      <c r="G41" s="3424"/>
      <c r="H41" s="3425"/>
      <c r="I41" s="3425"/>
      <c r="J41" s="3426"/>
      <c r="K41" s="723"/>
      <c r="L41" s="3286"/>
      <c r="M41" s="3272" t="s">
        <v>2595</v>
      </c>
      <c r="N41" s="3272"/>
      <c r="O41" s="3277"/>
      <c r="P41" s="3277"/>
      <c r="Q41" s="547">
        <f>IF(Ley_final="-","-",Ley_final+O41)</f>
        <v>-30</v>
      </c>
      <c r="R41" s="666"/>
      <c r="S41" s="1111"/>
      <c r="T41" s="1112"/>
      <c r="U41" s="1131"/>
      <c r="V41" s="3578" t="s">
        <v>8504</v>
      </c>
      <c r="W41" s="3579"/>
      <c r="X41" s="3579"/>
      <c r="Y41" s="3579"/>
      <c r="Z41" s="3579"/>
      <c r="AA41" s="3580"/>
      <c r="AB41" s="3557" t="s">
        <v>9504</v>
      </c>
      <c r="AC41" s="3584"/>
      <c r="AD41" s="3584"/>
      <c r="AE41" s="3585"/>
      <c r="AF41" s="3586" t="s">
        <v>7524</v>
      </c>
      <c r="AG41" s="3586"/>
      <c r="AH41" s="3587"/>
      <c r="AI41" s="1725" t="s">
        <v>1379</v>
      </c>
      <c r="AJ41" s="1726" t="s">
        <v>1380</v>
      </c>
      <c r="AK41" s="1514"/>
      <c r="AL41" s="674"/>
      <c r="AM41" s="2888" t="s">
        <v>8502</v>
      </c>
      <c r="AN41" s="2892"/>
      <c r="AO41" s="2892" t="s">
        <v>8503</v>
      </c>
      <c r="AP41" s="2892"/>
      <c r="AQ41" s="2892"/>
      <c r="AR41" s="1872"/>
      <c r="AS41" s="1872" t="str">
        <f>AK44</f>
        <v/>
      </c>
      <c r="AT41" s="1872"/>
      <c r="AU41" s="1872"/>
    </row>
    <row r="42" spans="1:47" ht="12" customHeight="1" x14ac:dyDescent="0.2">
      <c r="A42" s="10"/>
      <c r="B42" s="513"/>
      <c r="C42" s="3498"/>
      <c r="D42" s="3499"/>
      <c r="E42" s="3499"/>
      <c r="F42" s="3500"/>
      <c r="G42" s="3421"/>
      <c r="H42" s="3422"/>
      <c r="I42" s="3422"/>
      <c r="J42" s="3423"/>
      <c r="K42" s="723"/>
      <c r="L42" s="3286"/>
      <c r="M42" s="3272" t="s">
        <v>1441</v>
      </c>
      <c r="N42" s="3272"/>
      <c r="O42" s="3277"/>
      <c r="P42" s="3277"/>
      <c r="Q42" s="547">
        <f>IF(Herbolaria_final="-","-",Herbolaria_final+O42)</f>
        <v>-30</v>
      </c>
      <c r="R42" s="666"/>
      <c r="S42" s="1111">
        <f>IF(V42="",MAX($S$41:S41)+1,0)</f>
        <v>1</v>
      </c>
      <c r="T42" s="1112">
        <f>IF(V42="",0,MAX($T$41:T41)+1)</f>
        <v>0</v>
      </c>
      <c r="U42" s="1132">
        <f>IF(V42="",Tablas!A1,V42&amp;1)</f>
        <v>1</v>
      </c>
      <c r="V42" s="3575"/>
      <c r="W42" s="3576"/>
      <c r="X42" s="3576"/>
      <c r="Y42" s="3576"/>
      <c r="Z42" s="3576"/>
      <c r="AA42" s="3577"/>
      <c r="AB42" s="3581"/>
      <c r="AC42" s="3582"/>
      <c r="AD42" s="3582"/>
      <c r="AE42" s="3583"/>
      <c r="AF42" s="3566"/>
      <c r="AG42" s="3279"/>
      <c r="AH42" s="3280"/>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888" t="str">
        <f>AB42&amp;IF(AF42="",""," "&amp;AF42)</f>
        <v/>
      </c>
      <c r="AN42" s="2892"/>
      <c r="AO42" s="1872">
        <f>COUNTIF($AB$41:AB41,AB42&amp;"*")</f>
        <v>1</v>
      </c>
      <c r="AP42" s="2892"/>
      <c r="AQ42" s="2888" t="s">
        <v>6683</v>
      </c>
      <c r="AR42" s="1872"/>
      <c r="AS42" s="2888" t="s">
        <v>6683</v>
      </c>
      <c r="AT42" s="1872"/>
      <c r="AU42" s="1872"/>
    </row>
    <row r="43" spans="1:47" ht="12" customHeight="1" x14ac:dyDescent="0.2">
      <c r="A43" s="10"/>
      <c r="B43" s="513"/>
      <c r="C43" s="3501"/>
      <c r="D43" s="3502"/>
      <c r="E43" s="3502"/>
      <c r="F43" s="3503"/>
      <c r="G43" s="3421"/>
      <c r="H43" s="3422"/>
      <c r="I43" s="3422"/>
      <c r="J43" s="3423"/>
      <c r="K43" s="723"/>
      <c r="L43" s="3286"/>
      <c r="M43" s="3272" t="s">
        <v>1443</v>
      </c>
      <c r="N43" s="3272"/>
      <c r="O43" s="3277"/>
      <c r="P43" s="3277"/>
      <c r="Q43" s="547" t="str">
        <f>IF(Historia_final="-","-",Historia_final+O43)</f>
        <v>-</v>
      </c>
      <c r="R43" s="666"/>
      <c r="S43" s="1111">
        <f>IF(V43="",MAX($S$41:S42)+1,0)</f>
        <v>2</v>
      </c>
      <c r="T43" s="1112">
        <f>IF(V43="",0,MAX($T$41:T42)+1)</f>
        <v>0</v>
      </c>
      <c r="U43" s="1132">
        <f>IF(V43="",Tablas!A2,IF(COUNTIF(V$42:V42,V43)&gt;0,V43&amp;COUNTIF(V$42:V42,V43)+1,V43&amp;1))</f>
        <v>2</v>
      </c>
      <c r="V43" s="3433"/>
      <c r="W43" s="3434"/>
      <c r="X43" s="3434"/>
      <c r="Y43" s="3434"/>
      <c r="Z43" s="3434"/>
      <c r="AA43" s="3435"/>
      <c r="AB43" s="3430"/>
      <c r="AC43" s="3431"/>
      <c r="AD43" s="3431"/>
      <c r="AE43" s="3432"/>
      <c r="AF43" s="3448"/>
      <c r="AG43" s="3449"/>
      <c r="AH43" s="3450"/>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888" t="str">
        <f t="shared" ref="AM43:AM69" si="9">AB43&amp;IF(AF43="",""," "&amp;AF43)</f>
        <v/>
      </c>
      <c r="AN43" s="2892"/>
      <c r="AO43" s="1872">
        <f>COUNTIF($AB$41:AB42,AB43&amp;"*")</f>
        <v>1</v>
      </c>
      <c r="AP43" s="2892"/>
      <c r="AQ43" s="2893" t="str">
        <f>IF(A48="","",VLOOKUP(A48,Tablas!$E$499:$J$565,6,FALSE))</f>
        <v/>
      </c>
      <c r="AR43" s="1872"/>
      <c r="AS43" s="2893" t="str">
        <f>IF(C51="","",VLOOKUP(C51,Tablas!$E$499:$J$565,6,FALSE))</f>
        <v/>
      </c>
      <c r="AT43" s="1872"/>
      <c r="AU43" s="1872"/>
    </row>
    <row r="44" spans="1:47" ht="12" customHeight="1" x14ac:dyDescent="0.2">
      <c r="A44" s="10"/>
      <c r="B44" s="513"/>
      <c r="C44" s="3273"/>
      <c r="D44" s="3274"/>
      <c r="E44" s="3274"/>
      <c r="F44" s="3491"/>
      <c r="G44" s="3421"/>
      <c r="H44" s="3422"/>
      <c r="I44" s="3422"/>
      <c r="J44" s="3423"/>
      <c r="K44" s="661"/>
      <c r="L44" s="3286"/>
      <c r="M44" s="3272" t="s">
        <v>822</v>
      </c>
      <c r="N44" s="3272"/>
      <c r="O44" s="3277"/>
      <c r="P44" s="3277"/>
      <c r="Q44" s="547">
        <f>IF(Tactica_final="-","-",Tactica_final+O44)</f>
        <v>-30</v>
      </c>
      <c r="R44" s="666"/>
      <c r="S44" s="1111">
        <f>IF(V44="",MAX($S$41:S43)+1,0)</f>
        <v>3</v>
      </c>
      <c r="T44" s="1112">
        <f>IF(V44="",0,MAX($T$41:T43)+1)</f>
        <v>0</v>
      </c>
      <c r="U44" s="1132">
        <f>IF(V44="",Tablas!A3,IF(COUNTIF(V$42:V43,V44)&gt;0,V44&amp;COUNTIF(V$42:V43,V44)+1,V44&amp;1))</f>
        <v>3</v>
      </c>
      <c r="V44" s="3433"/>
      <c r="W44" s="3434"/>
      <c r="X44" s="3434"/>
      <c r="Y44" s="3434"/>
      <c r="Z44" s="3434"/>
      <c r="AA44" s="3435"/>
      <c r="AB44" s="3430"/>
      <c r="AC44" s="3431"/>
      <c r="AD44" s="3431"/>
      <c r="AE44" s="3432"/>
      <c r="AF44" s="3561"/>
      <c r="AG44" s="3274"/>
      <c r="AH44" s="3275"/>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888" t="str">
        <f t="shared" si="9"/>
        <v/>
      </c>
      <c r="AN44" s="2892"/>
      <c r="AO44" s="1872">
        <f>COUNTIF($AB$41:AB43,AB44&amp;"*")</f>
        <v>1</v>
      </c>
      <c r="AP44" s="2892"/>
      <c r="AQ44" s="2893" t="str">
        <f>IF(A49="","",VLOOKUP(A49,Tablas!$E$499:$J$565,6,FALSE))</f>
        <v/>
      </c>
      <c r="AR44" s="1872"/>
      <c r="AS44" s="2893" t="str">
        <f>IF(C52="","",VLOOKUP(C52,Tablas!$E$499:$J$565,6,FALSE))</f>
        <v/>
      </c>
      <c r="AT44" s="1872"/>
      <c r="AU44" s="1872"/>
    </row>
    <row r="45" spans="1:47" ht="12" customHeight="1" x14ac:dyDescent="0.2">
      <c r="A45" s="10"/>
      <c r="B45" s="866"/>
      <c r="C45" s="3273"/>
      <c r="D45" s="3274"/>
      <c r="E45" s="3274"/>
      <c r="F45" s="3491"/>
      <c r="G45" s="3421"/>
      <c r="H45" s="3422"/>
      <c r="I45" s="3422"/>
      <c r="J45" s="3423"/>
      <c r="K45" s="661"/>
      <c r="L45" s="3286"/>
      <c r="M45" s="3272" t="s">
        <v>1446</v>
      </c>
      <c r="N45" s="3272"/>
      <c r="O45" s="3277"/>
      <c r="P45" s="3277"/>
      <c r="Q45" s="547" t="str">
        <f>IF(Medicina_final="-","-",Medicina_final+O45)</f>
        <v>-</v>
      </c>
      <c r="R45" s="666"/>
      <c r="S45" s="1111">
        <f>IF(V45="",MAX($S$41:S44)+1,0)</f>
        <v>4</v>
      </c>
      <c r="T45" s="1112">
        <f>IF(V45="",0,MAX($T$41:T44)+1)</f>
        <v>0</v>
      </c>
      <c r="U45" s="1132">
        <f>IF(V45="",Tablas!A4,IF(COUNTIF(V$42:V44,V45)&gt;0,V45&amp;COUNTIF(V$42:V44,V45)+1,V45&amp;1))</f>
        <v>4</v>
      </c>
      <c r="V45" s="3433"/>
      <c r="W45" s="3434"/>
      <c r="X45" s="3434"/>
      <c r="Y45" s="3434"/>
      <c r="Z45" s="3434"/>
      <c r="AA45" s="3435"/>
      <c r="AB45" s="3430"/>
      <c r="AC45" s="3431"/>
      <c r="AD45" s="3431"/>
      <c r="AE45" s="3432"/>
      <c r="AF45" s="3448"/>
      <c r="AG45" s="3449"/>
      <c r="AH45" s="3450"/>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888" t="str">
        <f t="shared" si="9"/>
        <v/>
      </c>
      <c r="AN45" s="2892"/>
      <c r="AO45" s="1872">
        <f>COUNTIF($AB$41:AB44,AB45&amp;"*")</f>
        <v>1</v>
      </c>
      <c r="AP45" s="2892"/>
      <c r="AQ45" s="2892"/>
      <c r="AR45" s="1872"/>
      <c r="AS45" s="2893" t="str">
        <f>IF(C53="","",VLOOKUP(C53,Tablas!$E$499:$J$565,6,FALSE))</f>
        <v/>
      </c>
      <c r="AT45" s="1872"/>
      <c r="AU45" s="1872"/>
    </row>
    <row r="46" spans="1:47" ht="12" customHeight="1" x14ac:dyDescent="0.2">
      <c r="A46" s="10"/>
      <c r="B46" s="866"/>
      <c r="C46" s="3273"/>
      <c r="D46" s="3274"/>
      <c r="E46" s="3274"/>
      <c r="F46" s="3491"/>
      <c r="G46" s="3421"/>
      <c r="H46" s="3422"/>
      <c r="I46" s="3422"/>
      <c r="J46" s="3423"/>
      <c r="K46" s="661"/>
      <c r="L46" s="3286"/>
      <c r="M46" s="3272" t="s">
        <v>1447</v>
      </c>
      <c r="N46" s="3272"/>
      <c r="O46" s="3277"/>
      <c r="P46" s="3277"/>
      <c r="Q46" s="547">
        <f>IF(Memorizar_final="-","-",Memorizar_final+O46)</f>
        <v>-30</v>
      </c>
      <c r="R46" s="666"/>
      <c r="S46" s="1111">
        <f>IF(V46="",MAX($S$41:S45)+1,0)</f>
        <v>5</v>
      </c>
      <c r="T46" s="1112">
        <f>IF(V46="",0,MAX($T$41:T45)+1)</f>
        <v>0</v>
      </c>
      <c r="U46" s="1132">
        <f>IF(V46="",Tablas!A5,IF(COUNTIF(V$42:V45,V46)&gt;0,V46&amp;COUNTIF(V$42:V45,V46)+1,V46&amp;1))</f>
        <v>5</v>
      </c>
      <c r="V46" s="3433"/>
      <c r="W46" s="3434"/>
      <c r="X46" s="3434"/>
      <c r="Y46" s="3434"/>
      <c r="Z46" s="3434"/>
      <c r="AA46" s="3435"/>
      <c r="AB46" s="3430"/>
      <c r="AC46" s="3431"/>
      <c r="AD46" s="3431"/>
      <c r="AE46" s="3432"/>
      <c r="AF46" s="3448"/>
      <c r="AG46" s="3449"/>
      <c r="AH46" s="3450"/>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888" t="str">
        <f t="shared" si="9"/>
        <v/>
      </c>
      <c r="AN46" s="2892"/>
      <c r="AO46" s="2892"/>
      <c r="AP46" s="2892"/>
      <c r="AQ46" s="2892"/>
      <c r="AR46" s="1872"/>
      <c r="AS46" s="1872"/>
      <c r="AT46" s="1872"/>
      <c r="AU46" s="1872"/>
    </row>
    <row r="47" spans="1:47" ht="12" customHeight="1" x14ac:dyDescent="0.2">
      <c r="A47" s="10"/>
      <c r="B47" s="866"/>
      <c r="C47" s="3273"/>
      <c r="D47" s="3274"/>
      <c r="E47" s="3274"/>
      <c r="F47" s="3491"/>
      <c r="G47" s="3488"/>
      <c r="H47" s="3489"/>
      <c r="I47" s="3489"/>
      <c r="J47" s="3490"/>
      <c r="L47" s="3286"/>
      <c r="M47" s="3272" t="s">
        <v>1448</v>
      </c>
      <c r="N47" s="3272"/>
      <c r="O47" s="3277"/>
      <c r="P47" s="3277"/>
      <c r="Q47" s="547">
        <f>IF(Navegación_final="-","-",Navegación_final+O47)</f>
        <v>-30</v>
      </c>
      <c r="R47" s="666"/>
      <c r="S47" s="1111">
        <f>IF(V47="",MAX($S$41:S46)+1,0)</f>
        <v>6</v>
      </c>
      <c r="T47" s="1112">
        <f>IF(V47="",0,MAX($T$41:T46)+1)</f>
        <v>0</v>
      </c>
      <c r="U47" s="1132">
        <f>IF(V47="",Tablas!A6,IF(COUNTIF(V$42:V46,V47)&gt;0,V47&amp;COUNTIF(V$42:V46,V47)+1,V47&amp;1))</f>
        <v>6</v>
      </c>
      <c r="V47" s="3433"/>
      <c r="W47" s="3434"/>
      <c r="X47" s="3434"/>
      <c r="Y47" s="3434"/>
      <c r="Z47" s="3434"/>
      <c r="AA47" s="3435"/>
      <c r="AB47" s="3430"/>
      <c r="AC47" s="3431"/>
      <c r="AD47" s="3431"/>
      <c r="AE47" s="3432"/>
      <c r="AF47" s="3448"/>
      <c r="AG47" s="3449"/>
      <c r="AH47" s="3450"/>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888" t="str">
        <f t="shared" si="9"/>
        <v/>
      </c>
      <c r="AN47" s="2895"/>
      <c r="AO47" s="2892"/>
      <c r="AP47" s="2892"/>
      <c r="AQ47" s="2892"/>
      <c r="AR47" s="1872"/>
      <c r="AS47" s="1872"/>
      <c r="AT47" s="1872"/>
      <c r="AU47" s="1872"/>
    </row>
    <row r="48" spans="1:47" ht="12" customHeight="1" x14ac:dyDescent="0.2">
      <c r="A48" s="10"/>
      <c r="B48" s="866"/>
      <c r="C48" s="3273"/>
      <c r="D48" s="3274"/>
      <c r="E48" s="3274"/>
      <c r="F48" s="3491"/>
      <c r="G48" s="3493" t="s">
        <v>10256</v>
      </c>
      <c r="H48" s="3494"/>
      <c r="I48" s="3494"/>
      <c r="J48" s="2749">
        <f>TRUNC(Nivel_Total/2)+IF(Nivel_Total&gt;=16,(TRUNC((Nivel_Total-14)/2)^2+TRUNC((Nivel_Total-14)/2))/2)-SUM($H$50:$H$53,$J$50:$J$53)-$J$49</f>
        <v>0</v>
      </c>
      <c r="K48" s="661"/>
      <c r="L48" s="3286"/>
      <c r="M48" s="3272" t="s">
        <v>1449</v>
      </c>
      <c r="N48" s="3272"/>
      <c r="O48" s="3277"/>
      <c r="P48" s="3277"/>
      <c r="Q48" s="547">
        <f>IF(Ocultismo_final="-","-",Ocultismo_final+O48)</f>
        <v>-30</v>
      </c>
      <c r="R48" s="666"/>
      <c r="S48" s="1111">
        <f>IF(V48="",MAX($S$41:S47)+1,0)</f>
        <v>7</v>
      </c>
      <c r="T48" s="1112">
        <f>IF(V48="",0,MAX($T$41:T47)+1)</f>
        <v>0</v>
      </c>
      <c r="U48" s="1132">
        <f>IF(V48="",Tablas!A7,IF(COUNTIF(V$42:V47,V48)&gt;0,V48&amp;COUNTIF(V$42:V47,V48)+1,V48&amp;1))</f>
        <v>7</v>
      </c>
      <c r="V48" s="3433"/>
      <c r="W48" s="3434"/>
      <c r="X48" s="3434"/>
      <c r="Y48" s="3434"/>
      <c r="Z48" s="3434"/>
      <c r="AA48" s="3435"/>
      <c r="AB48" s="3430"/>
      <c r="AC48" s="3431"/>
      <c r="AD48" s="3431"/>
      <c r="AE48" s="3432"/>
      <c r="AF48" s="3448"/>
      <c r="AG48" s="3449"/>
      <c r="AH48" s="3450"/>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888" t="str">
        <f t="shared" si="9"/>
        <v/>
      </c>
      <c r="AN48" s="2895"/>
      <c r="AO48" s="2892"/>
      <c r="AP48" s="2892"/>
      <c r="AQ48" s="2892"/>
      <c r="AR48" s="1872"/>
      <c r="AS48" s="1872"/>
      <c r="AT48" s="1872"/>
      <c r="AU48" s="1872"/>
    </row>
    <row r="49" spans="1:47" ht="12" customHeight="1" x14ac:dyDescent="0.2">
      <c r="A49" s="10"/>
      <c r="B49" s="866"/>
      <c r="C49" s="3436"/>
      <c r="D49" s="3437"/>
      <c r="E49" s="3437"/>
      <c r="F49" s="3438"/>
      <c r="G49" s="3493" t="s">
        <v>10265</v>
      </c>
      <c r="H49" s="3494"/>
      <c r="I49" s="3494"/>
      <c r="J49" s="2877"/>
      <c r="K49" s="659"/>
      <c r="L49" s="3286"/>
      <c r="M49" s="3272" t="s">
        <v>1450</v>
      </c>
      <c r="N49" s="3272"/>
      <c r="O49" s="3277"/>
      <c r="P49" s="3277"/>
      <c r="Q49" s="547" t="str">
        <f>IF(Tasación_final="-","-",Tasación_final+O49)</f>
        <v>-</v>
      </c>
      <c r="R49" s="666"/>
      <c r="S49" s="1111">
        <f>IF(V49="",MAX($S$41:S48)+1,0)</f>
        <v>8</v>
      </c>
      <c r="T49" s="1112">
        <f>IF(V49="",0,MAX($T$41:T48)+1)</f>
        <v>0</v>
      </c>
      <c r="U49" s="1132">
        <f>IF(V49="",Tablas!A8,IF(COUNTIF(V$42:V48,V49)&gt;0,V49&amp;COUNTIF(V$42:V48,V49)+1,V49&amp;1))</f>
        <v>8</v>
      </c>
      <c r="V49" s="3433"/>
      <c r="W49" s="3434"/>
      <c r="X49" s="3434"/>
      <c r="Y49" s="3434"/>
      <c r="Z49" s="3434"/>
      <c r="AA49" s="3435"/>
      <c r="AB49" s="3430"/>
      <c r="AC49" s="3431"/>
      <c r="AD49" s="3431"/>
      <c r="AE49" s="3432"/>
      <c r="AF49" s="3448"/>
      <c r="AG49" s="3449"/>
      <c r="AH49" s="3450"/>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888" t="str">
        <f t="shared" si="9"/>
        <v/>
      </c>
      <c r="AN49" s="2892"/>
      <c r="AO49" s="2892"/>
      <c r="AP49" s="2892"/>
      <c r="AQ49" s="2892"/>
      <c r="AR49" s="1872"/>
      <c r="AS49" s="1872"/>
      <c r="AT49" s="1872"/>
      <c r="AU49" s="1872"/>
    </row>
    <row r="50" spans="1:47" ht="12" customHeight="1" x14ac:dyDescent="0.2">
      <c r="A50" s="10"/>
      <c r="B50" s="866"/>
      <c r="C50" s="3504" t="s">
        <v>2853</v>
      </c>
      <c r="D50" s="3505"/>
      <c r="E50" s="3505"/>
      <c r="F50" s="3506"/>
      <c r="G50" s="1678" t="s">
        <v>1376</v>
      </c>
      <c r="H50" s="2731"/>
      <c r="I50" s="1678" t="s">
        <v>1389</v>
      </c>
      <c r="J50" s="2732"/>
      <c r="K50" s="659"/>
      <c r="L50" s="3286"/>
      <c r="M50" s="3272" t="s">
        <v>1451</v>
      </c>
      <c r="N50" s="3272"/>
      <c r="O50" s="3277"/>
      <c r="P50" s="3277"/>
      <c r="Q50" s="547" t="str">
        <f>IF(V.Mágica_final="-","-",V.Mágica_final+O50)</f>
        <v>-</v>
      </c>
      <c r="R50" s="666"/>
      <c r="S50" s="1111">
        <f>IF(V50="",MAX($S$41:S49)+1,0)</f>
        <v>9</v>
      </c>
      <c r="T50" s="1112">
        <f>IF(V50="",0,MAX($T$41:T49)+1)</f>
        <v>0</v>
      </c>
      <c r="U50" s="1132">
        <f>IF(V50="",Tablas!A9,IF(COUNTIF(V$42:V49,V50)&gt;0,V50&amp;COUNTIF(V$42:V49,V50)+1,V50&amp;1))</f>
        <v>9</v>
      </c>
      <c r="V50" s="3433"/>
      <c r="W50" s="3434"/>
      <c r="X50" s="3434"/>
      <c r="Y50" s="3434"/>
      <c r="Z50" s="3434"/>
      <c r="AA50" s="3435"/>
      <c r="AB50" s="3430"/>
      <c r="AC50" s="3431"/>
      <c r="AD50" s="3431"/>
      <c r="AE50" s="3432"/>
      <c r="AF50" s="3448"/>
      <c r="AG50" s="3449"/>
      <c r="AH50" s="3450"/>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888" t="str">
        <f t="shared" si="9"/>
        <v/>
      </c>
      <c r="AN50" s="2892"/>
      <c r="AO50" s="2892"/>
      <c r="AP50" s="2892"/>
      <c r="AQ50" s="2892"/>
      <c r="AR50" s="1872"/>
      <c r="AS50" s="1872"/>
      <c r="AT50" s="1872"/>
      <c r="AU50" s="1872"/>
    </row>
    <row r="51" spans="1:47" ht="12" customHeight="1" x14ac:dyDescent="0.2">
      <c r="A51" s="10"/>
      <c r="B51" s="866"/>
      <c r="C51" s="3418"/>
      <c r="D51" s="3419"/>
      <c r="E51" s="3419"/>
      <c r="F51" s="3420"/>
      <c r="G51" s="1678" t="s">
        <v>1501</v>
      </c>
      <c r="H51" s="2734"/>
      <c r="I51" s="1678" t="s">
        <v>1392</v>
      </c>
      <c r="J51" s="2735"/>
      <c r="K51" s="659"/>
      <c r="L51" s="3285" t="s">
        <v>1452</v>
      </c>
      <c r="M51" s="3301" t="s">
        <v>1453</v>
      </c>
      <c r="N51" s="3301"/>
      <c r="O51" s="3299"/>
      <c r="P51" s="3299"/>
      <c r="Q51" s="546">
        <f>IF(Frialdad_final="-","-",Frialdad_final+O51)</f>
        <v>-30</v>
      </c>
      <c r="R51" s="666"/>
      <c r="S51" s="1111">
        <f>IF(V51="",MAX($S$41:S50)+1,0)</f>
        <v>10</v>
      </c>
      <c r="T51" s="1112">
        <f>IF(V51="",0,MAX($T$41:T50)+1)</f>
        <v>0</v>
      </c>
      <c r="U51" s="1132">
        <f>IF(V51="",Tablas!A10,IF(COUNTIF(V$42:V50,V51)&gt;0,V51&amp;COUNTIF(V$42:V50,V51)+1,V51&amp;1))</f>
        <v>10</v>
      </c>
      <c r="V51" s="3433"/>
      <c r="W51" s="3434"/>
      <c r="X51" s="3434"/>
      <c r="Y51" s="3434"/>
      <c r="Z51" s="3434"/>
      <c r="AA51" s="3435"/>
      <c r="AB51" s="3430"/>
      <c r="AC51" s="3431"/>
      <c r="AD51" s="3431"/>
      <c r="AE51" s="3432"/>
      <c r="AF51" s="3448"/>
      <c r="AG51" s="3449"/>
      <c r="AH51" s="3450"/>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888" t="str">
        <f t="shared" si="9"/>
        <v/>
      </c>
      <c r="AN51" s="2892"/>
      <c r="AO51" s="2892"/>
      <c r="AP51" s="2892"/>
      <c r="AQ51" s="2892"/>
      <c r="AR51" s="1872"/>
      <c r="AS51" s="1872"/>
      <c r="AT51" s="1872"/>
      <c r="AU51" s="1872"/>
    </row>
    <row r="52" spans="1:47" ht="12" customHeight="1" x14ac:dyDescent="0.2">
      <c r="A52" s="10"/>
      <c r="B52" s="866"/>
      <c r="C52" s="3495"/>
      <c r="D52" s="3496"/>
      <c r="E52" s="3496"/>
      <c r="F52" s="3497"/>
      <c r="G52" s="1678" t="s">
        <v>1381</v>
      </c>
      <c r="H52" s="2734"/>
      <c r="I52" s="1678" t="s">
        <v>1394</v>
      </c>
      <c r="J52" s="2735"/>
      <c r="K52" s="876"/>
      <c r="L52" s="3286"/>
      <c r="M52" s="3272" t="s">
        <v>1454</v>
      </c>
      <c r="N52" s="3272"/>
      <c r="O52" s="3277">
        <f>PenNatural</f>
        <v>0</v>
      </c>
      <c r="P52" s="3277"/>
      <c r="Q52" s="547">
        <f>IF(P.Fuerza_final="-","-",P.Fuerza_final+O52)</f>
        <v>-30</v>
      </c>
      <c r="R52" s="666"/>
      <c r="S52" s="1111">
        <f>IF(V52="",MAX($S$41:S51)+1,0)</f>
        <v>11</v>
      </c>
      <c r="T52" s="1112">
        <f>IF(V52="",0,MAX($T$41:T51)+1)</f>
        <v>0</v>
      </c>
      <c r="U52" s="1132">
        <f>IF(V52="",Tablas!A11,IF(COUNTIF(V$42:V51,V52)&gt;0,V52&amp;COUNTIF(V$42:V51,V52)+1,V52&amp;1))</f>
        <v>11</v>
      </c>
      <c r="V52" s="3433"/>
      <c r="W52" s="3434"/>
      <c r="X52" s="3434"/>
      <c r="Y52" s="3434"/>
      <c r="Z52" s="3434"/>
      <c r="AA52" s="3435"/>
      <c r="AB52" s="3430"/>
      <c r="AC52" s="3431"/>
      <c r="AD52" s="3431"/>
      <c r="AE52" s="3432"/>
      <c r="AF52" s="3448"/>
      <c r="AG52" s="3449"/>
      <c r="AH52" s="3450"/>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888" t="str">
        <f t="shared" si="9"/>
        <v/>
      </c>
      <c r="AN52" s="2892"/>
      <c r="AO52" s="2892"/>
      <c r="AP52" s="2892"/>
      <c r="AQ52" s="2892"/>
      <c r="AR52" s="1872"/>
      <c r="AS52" s="1872"/>
      <c r="AT52" s="1872"/>
      <c r="AU52" s="1872"/>
    </row>
    <row r="53" spans="1:47" ht="12" customHeight="1" thickBot="1" x14ac:dyDescent="0.25">
      <c r="A53" s="10"/>
      <c r="B53" s="866"/>
      <c r="C53" s="3460"/>
      <c r="D53" s="3461"/>
      <c r="E53" s="3461"/>
      <c r="F53" s="3462"/>
      <c r="G53" s="2750" t="s">
        <v>1386</v>
      </c>
      <c r="H53" s="2736"/>
      <c r="I53" s="2750" t="s">
        <v>1395</v>
      </c>
      <c r="J53" s="2751"/>
      <c r="K53" s="876"/>
      <c r="L53" s="3287"/>
      <c r="M53" s="3400" t="s">
        <v>1457</v>
      </c>
      <c r="N53" s="3400"/>
      <c r="O53" s="3288"/>
      <c r="P53" s="3288"/>
      <c r="Q53" s="548">
        <f>IF(Res.Dolor_final="-","-",Res.Dolor_final+O53)</f>
        <v>-30</v>
      </c>
      <c r="R53" s="666"/>
      <c r="S53" s="1111">
        <f>IF(V53="",MAX($S$41:S52)+1,0)</f>
        <v>12</v>
      </c>
      <c r="T53" s="1112">
        <f>IF(V53="",0,MAX($T$41:T52)+1)</f>
        <v>0</v>
      </c>
      <c r="U53" s="1132">
        <f>IF(V53="",Tablas!A12,IF(COUNTIF(V$42:V52,V53)&gt;0,V53&amp;COUNTIF(V$42:V52,V53)+1,V53&amp;1))</f>
        <v>12</v>
      </c>
      <c r="V53" s="3433"/>
      <c r="W53" s="3434"/>
      <c r="X53" s="3434"/>
      <c r="Y53" s="3434"/>
      <c r="Z53" s="3434"/>
      <c r="AA53" s="3435"/>
      <c r="AB53" s="3430"/>
      <c r="AC53" s="3431"/>
      <c r="AD53" s="3431"/>
      <c r="AE53" s="3432"/>
      <c r="AF53" s="3448"/>
      <c r="AG53" s="3449"/>
      <c r="AH53" s="3450"/>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888" t="str">
        <f t="shared" si="9"/>
        <v/>
      </c>
      <c r="AN53" s="2892"/>
      <c r="AO53" s="2892"/>
      <c r="AP53" s="2892"/>
      <c r="AQ53" s="2892"/>
      <c r="AR53" s="1872"/>
      <c r="AS53" s="1872"/>
      <c r="AT53" s="1872"/>
      <c r="AU53" s="1872"/>
    </row>
    <row r="54" spans="1:47" ht="12" customHeight="1" x14ac:dyDescent="0.2">
      <c r="A54" s="10"/>
      <c r="B54" s="866"/>
      <c r="C54" s="3554" t="str">
        <f>IF(F54&lt;=0,"",IF(COUNTIF(Principal!$AS$43:$AS$45,"Trasfondo")&gt;0,"PC exclusivos trasfondo",""))</f>
        <v/>
      </c>
      <c r="D54" s="3554"/>
      <c r="E54" s="3554"/>
      <c r="F54" s="2345">
        <f>-Tablas!$F$234</f>
        <v>0</v>
      </c>
      <c r="G54" s="3554" t="str">
        <f>IF(J54&lt;=0,"",IF(AND(COUNTIF(Principal!$AS$43:$AS$45,"Don")&gt;0,COUNTIF(Principal!$AS$43:$AS$45,"Psiquicos")&gt;0),"PC exclusivos Don/Psíquicos",IF(COUNTIF(Principal!$AS$43:$AS$45,"Don")&gt;0,"PC exclusivos Don",IF(COUNTIF(Principal!$AS$43:$AS$45,"Psiquicos")&gt;0,"PC exclusivos Psíquica",""))))</f>
        <v/>
      </c>
      <c r="H54" s="3554"/>
      <c r="I54" s="3554"/>
      <c r="J54" s="2345">
        <f>-Tablas!E234</f>
        <v>0</v>
      </c>
      <c r="K54" s="659"/>
      <c r="L54" s="3286" t="s">
        <v>1460</v>
      </c>
      <c r="M54" s="3272" t="s">
        <v>1461</v>
      </c>
      <c r="N54" s="3272"/>
      <c r="O54" s="3277"/>
      <c r="P54" s="3277"/>
      <c r="Q54" s="547">
        <f>IF(Cerrajería_final="-","-",Cerrajería_final+O54)</f>
        <v>-30</v>
      </c>
      <c r="R54" s="666"/>
      <c r="S54" s="1111">
        <f>IF(V54="",MAX($S$41:S53)+1,0)</f>
        <v>13</v>
      </c>
      <c r="T54" s="1112">
        <f>IF(V54="",0,MAX($T$41:T53)+1)</f>
        <v>0</v>
      </c>
      <c r="U54" s="1132">
        <f>IF(V54="",Tablas!A13,IF(COUNTIF(V$42:V53,V54)&gt;0,V54&amp;COUNTIF(V$42:V53,V54)+1,V54&amp;1))</f>
        <v>13</v>
      </c>
      <c r="V54" s="3433"/>
      <c r="W54" s="3434"/>
      <c r="X54" s="3434"/>
      <c r="Y54" s="3434"/>
      <c r="Z54" s="3434"/>
      <c r="AA54" s="3435"/>
      <c r="AB54" s="3430"/>
      <c r="AC54" s="3431"/>
      <c r="AD54" s="3431"/>
      <c r="AE54" s="3432"/>
      <c r="AF54" s="3448"/>
      <c r="AG54" s="3449"/>
      <c r="AH54" s="3450"/>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888" t="str">
        <f t="shared" si="9"/>
        <v/>
      </c>
      <c r="AN54" s="2892"/>
      <c r="AO54" s="2892"/>
      <c r="AP54" s="2892"/>
      <c r="AQ54" s="2892"/>
      <c r="AR54" s="1872"/>
      <c r="AS54" s="1872"/>
      <c r="AT54" s="1872"/>
      <c r="AU54" s="1872"/>
    </row>
    <row r="55" spans="1:47" ht="12" customHeight="1" thickBot="1" x14ac:dyDescent="0.25">
      <c r="A55" s="10"/>
      <c r="B55" s="866"/>
      <c r="K55" s="659"/>
      <c r="L55" s="3286"/>
      <c r="M55" s="3272" t="s">
        <v>1463</v>
      </c>
      <c r="N55" s="3272"/>
      <c r="O55" s="3277"/>
      <c r="P55" s="3277"/>
      <c r="Q55" s="547">
        <f>IF(Disfraz_final="-","-",Disfraz_final+O55)</f>
        <v>-30</v>
      </c>
      <c r="R55" s="666"/>
      <c r="S55" s="1111">
        <f>IF(V55="",MAX($S$41:S54)+1,0)</f>
        <v>14</v>
      </c>
      <c r="T55" s="1112">
        <f>IF(V55="",0,MAX($T$41:T54)+1)</f>
        <v>0</v>
      </c>
      <c r="U55" s="1132">
        <f>IF(V55="",Tablas!A14,IF(COUNTIF(V$42:V54,V55)&gt;0,V55&amp;COUNTIF(V$42:V54,V55)+1,V55&amp;1))</f>
        <v>14</v>
      </c>
      <c r="V55" s="3433"/>
      <c r="W55" s="3434"/>
      <c r="X55" s="3434"/>
      <c r="Y55" s="3434"/>
      <c r="Z55" s="3434"/>
      <c r="AA55" s="3435"/>
      <c r="AB55" s="3430"/>
      <c r="AC55" s="3431"/>
      <c r="AD55" s="3431"/>
      <c r="AE55" s="3432"/>
      <c r="AF55" s="3448"/>
      <c r="AG55" s="3449"/>
      <c r="AH55" s="3450"/>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888" t="str">
        <f t="shared" si="9"/>
        <v/>
      </c>
      <c r="AN55" s="2892"/>
      <c r="AO55" s="2892"/>
      <c r="AP55" s="2892"/>
      <c r="AQ55" s="2892"/>
      <c r="AR55" s="1872"/>
      <c r="AS55" s="1872"/>
      <c r="AT55" s="1872"/>
      <c r="AU55" s="1872"/>
    </row>
    <row r="56" spans="1:47" ht="12" customHeight="1" x14ac:dyDescent="0.2">
      <c r="A56" s="10"/>
      <c r="B56" s="866"/>
      <c r="C56" s="3484" t="s">
        <v>1455</v>
      </c>
      <c r="D56" s="3166"/>
      <c r="E56" s="3167"/>
      <c r="F56" s="1704" t="s">
        <v>1368</v>
      </c>
      <c r="G56" s="1569" t="s">
        <v>1370</v>
      </c>
      <c r="H56" s="1569" t="s">
        <v>1456</v>
      </c>
      <c r="I56" s="1705" t="s">
        <v>1421</v>
      </c>
      <c r="J56" s="1706" t="s">
        <v>1352</v>
      </c>
      <c r="K56" s="659"/>
      <c r="L56" s="3286"/>
      <c r="M56" s="3272" t="s">
        <v>1465</v>
      </c>
      <c r="N56" s="3272"/>
      <c r="O56" s="3277">
        <f>PenNatural</f>
        <v>0</v>
      </c>
      <c r="P56" s="3277"/>
      <c r="Q56" s="547">
        <f>IF(Ocultarse_final="-","-",Ocultarse_final+O56)</f>
        <v>-30</v>
      </c>
      <c r="R56" s="666"/>
      <c r="S56" s="1111">
        <f>IF(V56="",MAX($S$41:S55)+1,0)</f>
        <v>15</v>
      </c>
      <c r="T56" s="1112">
        <f>IF(V56="",0,MAX($T$41:T55)+1)</f>
        <v>0</v>
      </c>
      <c r="U56" s="1132">
        <f>IF(V56="",Tablas!A15,IF(COUNTIF(V$42:V55,V56)&gt;0,V56&amp;COUNTIF(V$42:V55,V56)+1,V56&amp;1))</f>
        <v>15</v>
      </c>
      <c r="V56" s="3433"/>
      <c r="W56" s="3434"/>
      <c r="X56" s="3434"/>
      <c r="Y56" s="3434"/>
      <c r="Z56" s="3434"/>
      <c r="AA56" s="3435"/>
      <c r="AB56" s="3430"/>
      <c r="AC56" s="3431"/>
      <c r="AD56" s="3431"/>
      <c r="AE56" s="3432"/>
      <c r="AF56" s="3448"/>
      <c r="AG56" s="3449"/>
      <c r="AH56" s="3450"/>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888" t="str">
        <f t="shared" si="9"/>
        <v/>
      </c>
      <c r="AN56" s="2892"/>
      <c r="AO56" s="2892"/>
      <c r="AP56" s="2892"/>
      <c r="AQ56" s="2892"/>
      <c r="AR56" s="1872"/>
      <c r="AS56" s="1872"/>
      <c r="AT56" s="1872"/>
      <c r="AU56" s="1872"/>
    </row>
    <row r="57" spans="1:47" ht="12" customHeight="1" x14ac:dyDescent="0.2">
      <c r="A57" s="10"/>
      <c r="B57" s="866"/>
      <c r="C57" s="3485"/>
      <c r="D57" s="3543" t="s">
        <v>1458</v>
      </c>
      <c r="E57" s="3544"/>
      <c r="F57" s="1679">
        <f>IF(SUM(PDs!$S$5:$S$14)=0,20,25+(SUM(PDs!$S$5:$S$14)*5))</f>
        <v>20</v>
      </c>
      <c r="G57" s="1680" t="s">
        <v>1459</v>
      </c>
      <c r="H57" s="1680" t="s">
        <v>1459</v>
      </c>
      <c r="I57" s="2452"/>
      <c r="J57" s="1707">
        <f>F57+I57</f>
        <v>20</v>
      </c>
      <c r="K57" s="876"/>
      <c r="L57" s="3286"/>
      <c r="M57" s="3272" t="s">
        <v>1467</v>
      </c>
      <c r="N57" s="3272"/>
      <c r="O57" s="3277"/>
      <c r="P57" s="3277"/>
      <c r="Q57" s="547">
        <f>IF(Robo_final="-","-",Robo_final+O57)</f>
        <v>-30</v>
      </c>
      <c r="R57" s="666"/>
      <c r="S57" s="1111">
        <f>IF(V57="",MAX($S$41:S56)+1,0)</f>
        <v>16</v>
      </c>
      <c r="T57" s="1112">
        <f>IF(V57="",0,MAX($T$41:T56)+1)</f>
        <v>0</v>
      </c>
      <c r="U57" s="1132">
        <f>IF(V57="",Tablas!A16,IF(COUNTIF(V$42:V56,V57)&gt;0,V57&amp;COUNTIF(V$42:V56,V57)+1,V57&amp;1))</f>
        <v>16</v>
      </c>
      <c r="V57" s="3433"/>
      <c r="W57" s="3434"/>
      <c r="X57" s="3434"/>
      <c r="Y57" s="3434"/>
      <c r="Z57" s="3434"/>
      <c r="AA57" s="3435"/>
      <c r="AB57" s="3430"/>
      <c r="AC57" s="3431"/>
      <c r="AD57" s="3431"/>
      <c r="AE57" s="3432"/>
      <c r="AF57" s="3448"/>
      <c r="AG57" s="3449"/>
      <c r="AH57" s="3450"/>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888" t="str">
        <f t="shared" si="9"/>
        <v/>
      </c>
      <c r="AN57" s="2892"/>
      <c r="AO57" s="2892"/>
      <c r="AP57" s="2892"/>
      <c r="AQ57" s="2892"/>
      <c r="AR57" s="1872"/>
      <c r="AS57" s="1872"/>
      <c r="AT57" s="1872"/>
      <c r="AU57" s="1872"/>
    </row>
    <row r="58" spans="1:47" ht="12" customHeight="1" x14ac:dyDescent="0.2">
      <c r="A58" s="10"/>
      <c r="B58" s="866"/>
      <c r="C58" s="3485"/>
      <c r="D58" s="3455" t="s">
        <v>1462</v>
      </c>
      <c r="E58" s="3456"/>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TRUNC((SUM(F58:I58)+IF(Dominiofísico,10,0)+IF(CuerpodeVacío,20,0)+Tablas!$G$267*25+Tablas!$G$268*50+10*Tablas!$P$242+Tablas!$K$1739+Tablas!$K$1805+Tablas!$S$1389+'Tablas psiquica'!$AH$60+Tablas!$K$1739)*IF(Tablas!$G$515&gt;0,0.5,1),0)</f>
        <v>20</v>
      </c>
      <c r="K58" s="659"/>
      <c r="L58" s="3286"/>
      <c r="M58" s="3272" t="s">
        <v>1469</v>
      </c>
      <c r="N58" s="3272"/>
      <c r="O58" s="3277">
        <f>PenNatural-MIN(MAX(LlevarArmadura_final-Combate!H16,0)+Combate!H17,0)+MIN(Combate!H17+MAX(LlevarArmadura_final-Combate!H16,0),ROUNDDOWN(Combate!H17/2,0))</f>
        <v>0</v>
      </c>
      <c r="P58" s="3277"/>
      <c r="Q58" s="547">
        <f>IF(Sigilo_final="-","-",Sigilo_final+O58)</f>
        <v>-30</v>
      </c>
      <c r="R58" s="666"/>
      <c r="S58" s="1111">
        <f>IF(V58="",MAX($S$41:S57)+1,0)</f>
        <v>17</v>
      </c>
      <c r="T58" s="1112">
        <f>IF(V58="",0,MAX($T$41:T57)+1)</f>
        <v>0</v>
      </c>
      <c r="U58" s="1132">
        <f>IF(V58="",Tablas!A17,IF(COUNTIF(V$42:V57,V58)&gt;0,V58&amp;COUNTIF(V$42:V57,V58)+1,V58&amp;1))</f>
        <v>17</v>
      </c>
      <c r="V58" s="3433"/>
      <c r="W58" s="3434"/>
      <c r="X58" s="3434"/>
      <c r="Y58" s="3434"/>
      <c r="Z58" s="3434"/>
      <c r="AA58" s="3435"/>
      <c r="AB58" s="3430"/>
      <c r="AC58" s="3431"/>
      <c r="AD58" s="3431"/>
      <c r="AE58" s="3432"/>
      <c r="AF58" s="3448"/>
      <c r="AG58" s="3449"/>
      <c r="AH58" s="3450"/>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888" t="str">
        <f t="shared" si="9"/>
        <v/>
      </c>
      <c r="AN58" s="2892"/>
      <c r="AO58" s="2892"/>
      <c r="AP58" s="2892"/>
      <c r="AQ58" s="2892"/>
      <c r="AR58" s="1872"/>
      <c r="AS58" s="1872"/>
      <c r="AT58" s="1872"/>
      <c r="AU58" s="1872"/>
    </row>
    <row r="59" spans="1:47" ht="12" customHeight="1" x14ac:dyDescent="0.2">
      <c r="A59" s="10"/>
      <c r="B59" s="866"/>
      <c r="C59" s="3485"/>
      <c r="D59" s="3455" t="s">
        <v>1464</v>
      </c>
      <c r="E59" s="3456"/>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TRUNC((SUM(F59:I59)+IF(CuerpodeVacío,20,0)+Tablas!$G$267*25+Tablas!$G$268*50+Tablas!$K$1739+Tablas!S1390+Tablas!$K$1739)*IF(Tablas!$G$509&gt;0,0.5,1),0)</f>
        <v>20</v>
      </c>
      <c r="K59" s="659"/>
      <c r="L59" s="3286"/>
      <c r="M59" s="3272" t="s">
        <v>1471</v>
      </c>
      <c r="N59" s="3272"/>
      <c r="O59" s="3277"/>
      <c r="P59" s="3277"/>
      <c r="Q59" s="547">
        <f>IF(Trampería_final="-","-",Trampería_final+O59)</f>
        <v>-30</v>
      </c>
      <c r="R59" s="666"/>
      <c r="S59" s="1111">
        <f>IF(V59="",MAX($S$41:S58)+1,0)</f>
        <v>18</v>
      </c>
      <c r="T59" s="1112">
        <f>IF(V59="",0,MAX($T$41:T58)+1)</f>
        <v>0</v>
      </c>
      <c r="U59" s="1132">
        <f>IF(V59="",Tablas!A18,IF(COUNTIF(V$42:V58,V59)&gt;0,V59&amp;COUNTIF(V$42:V58,V59)+1,V59&amp;1))</f>
        <v>18</v>
      </c>
      <c r="V59" s="3433"/>
      <c r="W59" s="3434"/>
      <c r="X59" s="3434"/>
      <c r="Y59" s="3434"/>
      <c r="Z59" s="3434"/>
      <c r="AA59" s="3435"/>
      <c r="AB59" s="3430"/>
      <c r="AC59" s="3431"/>
      <c r="AD59" s="3431"/>
      <c r="AE59" s="3432"/>
      <c r="AF59" s="3448"/>
      <c r="AG59" s="3449"/>
      <c r="AH59" s="3450"/>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888" t="str">
        <f t="shared" si="9"/>
        <v/>
      </c>
      <c r="AN59" s="2892"/>
      <c r="AO59" s="2892"/>
      <c r="AP59" s="2892"/>
      <c r="AQ59" s="2892"/>
      <c r="AR59" s="1872"/>
      <c r="AS59" s="1872"/>
      <c r="AT59" s="1872"/>
      <c r="AU59" s="1872"/>
    </row>
    <row r="60" spans="1:47" ht="12" customHeight="1" x14ac:dyDescent="0.2">
      <c r="A60" s="10"/>
      <c r="B60" s="866"/>
      <c r="C60" s="3485"/>
      <c r="D60" s="3455" t="s">
        <v>1466</v>
      </c>
      <c r="E60" s="3456"/>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TRUNC((SUM(F60:I60)+IF(CuerpodeVacío,20,0)+Tablas!$G$267*25+Tablas!$G$268*50+20*Tablas!$P$255+Tablas!$K$1739+Tablas!$S$1391)*IF(Tablas!$G$510&gt;0,0.5,1),0)</f>
        <v>20</v>
      </c>
      <c r="K60" s="659"/>
      <c r="L60" s="3286"/>
      <c r="M60" s="3272" t="s">
        <v>1472</v>
      </c>
      <c r="N60" s="3272"/>
      <c r="O60" s="3277"/>
      <c r="P60" s="3277"/>
      <c r="Q60" s="547" t="str">
        <f>IF(Venenos_final="-","-",Venenos_final+O60)</f>
        <v>-</v>
      </c>
      <c r="R60" s="666"/>
      <c r="S60" s="1111">
        <f>IF(V60="",MAX($S$41:S59)+1,0)</f>
        <v>19</v>
      </c>
      <c r="T60" s="1112">
        <f>IF(V60="",0,MAX($T$41:T59)+1)</f>
        <v>0</v>
      </c>
      <c r="U60" s="1132">
        <f>IF(V60="",Tablas!A19,IF(COUNTIF(V$42:V59,V60)&gt;0,V60&amp;COUNTIF(V$42:V59,V60)+1,V60&amp;1))</f>
        <v>19</v>
      </c>
      <c r="V60" s="3433"/>
      <c r="W60" s="3434"/>
      <c r="X60" s="3434"/>
      <c r="Y60" s="3434"/>
      <c r="Z60" s="3434"/>
      <c r="AA60" s="3435"/>
      <c r="AB60" s="3430"/>
      <c r="AC60" s="3431"/>
      <c r="AD60" s="3431"/>
      <c r="AE60" s="3432"/>
      <c r="AF60" s="3448"/>
      <c r="AG60" s="3449"/>
      <c r="AH60" s="3450"/>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888" t="str">
        <f t="shared" si="9"/>
        <v/>
      </c>
      <c r="AN60" s="2892"/>
      <c r="AO60" s="2892"/>
      <c r="AP60" s="2892"/>
      <c r="AQ60" s="2892"/>
      <c r="AR60" s="1872"/>
      <c r="AS60" s="1872"/>
      <c r="AT60" s="1872"/>
      <c r="AU60" s="1872"/>
    </row>
    <row r="61" spans="1:47" ht="12" customHeight="1" x14ac:dyDescent="0.2">
      <c r="A61" s="10"/>
      <c r="B61" s="866"/>
      <c r="C61" s="3485"/>
      <c r="D61" s="3455" t="s">
        <v>1468</v>
      </c>
      <c r="E61" s="3456"/>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TRUNC((SUM(F61:I61)+IF(CuerpodeVacío,20,0)+Tablas!$G$281*10+Tablas!$G$269*25+Tablas!$G$270*50+Tablas!$K$1739+Tablas!S1407)*IF(Tablas!G512&gt;0,0.5,1),0)</f>
        <v>20</v>
      </c>
      <c r="K61" s="659"/>
      <c r="L61" s="3285" t="s">
        <v>1473</v>
      </c>
      <c r="M61" s="3301" t="s">
        <v>1474</v>
      </c>
      <c r="N61" s="3301"/>
      <c r="O61" s="3299"/>
      <c r="P61" s="3299"/>
      <c r="Q61" s="546">
        <f>IF(Arte_final="-","-",Arte_final+O61)</f>
        <v>-30</v>
      </c>
      <c r="R61" s="666"/>
      <c r="S61" s="1111">
        <f>IF(V61="",MAX($S$41:S60)+1,0)</f>
        <v>20</v>
      </c>
      <c r="T61" s="1112">
        <f>IF(V61="",0,MAX($T$41:T60)+1)</f>
        <v>0</v>
      </c>
      <c r="U61" s="1132">
        <f>IF(V61="",Tablas!A20,IF(COUNTIF(V$42:V60,V61)&gt;0,V61&amp;COUNTIF(V$42:V60,V61)+1,V61&amp;1))</f>
        <v>20</v>
      </c>
      <c r="V61" s="3433"/>
      <c r="W61" s="3434"/>
      <c r="X61" s="3434"/>
      <c r="Y61" s="3434"/>
      <c r="Z61" s="3434"/>
      <c r="AA61" s="3435"/>
      <c r="AB61" s="3430"/>
      <c r="AC61" s="3431"/>
      <c r="AD61" s="3431"/>
      <c r="AE61" s="3432"/>
      <c r="AF61" s="3448"/>
      <c r="AG61" s="3449"/>
      <c r="AH61" s="3450"/>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888" t="str">
        <f t="shared" si="9"/>
        <v/>
      </c>
      <c r="AN61" s="2892"/>
      <c r="AO61" s="2892"/>
      <c r="AP61" s="2892"/>
      <c r="AQ61" s="2892"/>
      <c r="AR61" s="1872"/>
      <c r="AS61" s="1872"/>
      <c r="AT61" s="1872"/>
      <c r="AU61" s="1872"/>
    </row>
    <row r="62" spans="1:47" ht="12" customHeight="1" x14ac:dyDescent="0.2">
      <c r="A62" s="10"/>
      <c r="B62" s="866"/>
      <c r="C62" s="3485"/>
      <c r="D62" s="3492" t="s">
        <v>1470</v>
      </c>
      <c r="E62" s="3190"/>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SUM(F62:I62)+IF(CuerpodeVacío,20,0)+Tablas!$G$271*25+Tablas!$G$272*50+Tablas!$K$1739+Tablas!$S$1397+Tablas!$K$1739+'Tablas psiquica'!$AH$8</f>
        <v>20</v>
      </c>
      <c r="K62" s="659"/>
      <c r="L62" s="3286"/>
      <c r="M62" s="3272" t="s">
        <v>1475</v>
      </c>
      <c r="N62" s="3272"/>
      <c r="O62" s="3277">
        <f>PenNatural</f>
        <v>0</v>
      </c>
      <c r="P62" s="3277"/>
      <c r="Q62" s="547" t="str">
        <f>IF(Baile_final="-","-",Baile_final+O62)</f>
        <v>-</v>
      </c>
      <c r="R62" s="666"/>
      <c r="S62" s="1111">
        <f>IF(V62="",MAX($S$41:S61)+1,0)</f>
        <v>21</v>
      </c>
      <c r="T62" s="1112">
        <f>IF(V62="",0,MAX($T$41:T61)+1)</f>
        <v>0</v>
      </c>
      <c r="U62" s="1132">
        <f>IF(V62="",Tablas!A21,IF(COUNTIF(V$42:V61,V62)&gt;0,V62&amp;COUNTIF(V$42:V61,V62)+1,V62&amp;1))</f>
        <v>21</v>
      </c>
      <c r="V62" s="3433"/>
      <c r="W62" s="3434"/>
      <c r="X62" s="3434"/>
      <c r="Y62" s="3434"/>
      <c r="Z62" s="3434"/>
      <c r="AA62" s="3435"/>
      <c r="AB62" s="3430"/>
      <c r="AC62" s="3431"/>
      <c r="AD62" s="3431"/>
      <c r="AE62" s="3432"/>
      <c r="AF62" s="3448"/>
      <c r="AG62" s="3449"/>
      <c r="AH62" s="3450"/>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888" t="str">
        <f t="shared" si="9"/>
        <v/>
      </c>
      <c r="AN62" s="2892"/>
      <c r="AO62" s="2892"/>
      <c r="AP62" s="2892"/>
      <c r="AQ62" s="2892"/>
      <c r="AR62" s="1872"/>
      <c r="AS62" s="1872"/>
      <c r="AT62" s="1872"/>
      <c r="AU62" s="1872"/>
    </row>
    <row r="63" spans="1:47" ht="12" customHeight="1" x14ac:dyDescent="0.2">
      <c r="A63" s="10"/>
      <c r="B63" s="866"/>
      <c r="C63" s="3486"/>
      <c r="D63" s="3463" t="s">
        <v>1382</v>
      </c>
      <c r="E63" s="3451"/>
      <c r="F63" s="3451"/>
      <c r="G63" s="3451"/>
      <c r="H63" s="3451"/>
      <c r="I63" s="3451"/>
      <c r="J63" s="3452"/>
      <c r="K63" s="659"/>
      <c r="L63" s="3286"/>
      <c r="M63" s="3272" t="s">
        <v>1476</v>
      </c>
      <c r="N63" s="3272"/>
      <c r="O63" s="3277"/>
      <c r="P63" s="3277"/>
      <c r="Q63" s="547" t="str">
        <f>IF(Forja_final="-","-",Forja_final+O63)</f>
        <v>-</v>
      </c>
      <c r="R63" s="666"/>
      <c r="S63" s="1111">
        <f>IF(V63="",MAX($S$41:S62)+1,0)</f>
        <v>22</v>
      </c>
      <c r="T63" s="1112">
        <f>IF(V63="",0,MAX($T$41:T62)+1)</f>
        <v>0</v>
      </c>
      <c r="U63" s="1132">
        <f>IF(V63="",Tablas!A22,IF(COUNTIF(V$42:V62,V63)&gt;0,V63&amp;COUNTIF(V$42:V62,V63)+1,V63&amp;1))</f>
        <v>22</v>
      </c>
      <c r="V63" s="3433"/>
      <c r="W63" s="3434"/>
      <c r="X63" s="3434"/>
      <c r="Y63" s="3434"/>
      <c r="Z63" s="3434"/>
      <c r="AA63" s="3435"/>
      <c r="AB63" s="3430"/>
      <c r="AC63" s="3431"/>
      <c r="AD63" s="3431"/>
      <c r="AE63" s="3432"/>
      <c r="AF63" s="3448"/>
      <c r="AG63" s="3449"/>
      <c r="AH63" s="3450"/>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888" t="str">
        <f t="shared" si="9"/>
        <v/>
      </c>
      <c r="AN63" s="2892"/>
      <c r="AO63" s="2892"/>
      <c r="AP63" s="2892"/>
      <c r="AQ63" s="2892"/>
      <c r="AR63" s="1872"/>
      <c r="AS63" s="1872"/>
      <c r="AT63" s="1872"/>
      <c r="AU63" s="1872"/>
    </row>
    <row r="64" spans="1:47" ht="12" customHeight="1" x14ac:dyDescent="0.2">
      <c r="A64" s="10"/>
      <c r="B64" s="866"/>
      <c r="C64" s="3486"/>
      <c r="D64" s="3463"/>
      <c r="E64" s="3453"/>
      <c r="F64" s="3453"/>
      <c r="G64" s="3453"/>
      <c r="H64" s="3453"/>
      <c r="I64" s="3453"/>
      <c r="J64" s="3454"/>
      <c r="K64" s="659"/>
      <c r="L64" s="3286"/>
      <c r="M64" s="3272" t="s">
        <v>816</v>
      </c>
      <c r="N64" s="3272"/>
      <c r="O64" s="3277"/>
      <c r="P64" s="3277"/>
      <c r="Q64" s="547">
        <f>IF(Runas_final="-","-",Runas_final+O64)</f>
        <v>-30</v>
      </c>
      <c r="R64" s="666"/>
      <c r="S64" s="1111">
        <f>IF(V64="",MAX($S$41:S63)+1,0)</f>
        <v>23</v>
      </c>
      <c r="T64" s="1112">
        <f>IF(V64="",0,MAX($T$41:T63)+1)</f>
        <v>0</v>
      </c>
      <c r="U64" s="1132">
        <f>IF(V64="",Tablas!A23,IF(COUNTIF(V$42:V63,V64)&gt;0,V64&amp;COUNTIF(V$42:V63,V64)+1,V64&amp;1))</f>
        <v>23</v>
      </c>
      <c r="V64" s="3433"/>
      <c r="W64" s="3434"/>
      <c r="X64" s="3434"/>
      <c r="Y64" s="3434"/>
      <c r="Z64" s="3434"/>
      <c r="AA64" s="3435"/>
      <c r="AB64" s="3430"/>
      <c r="AC64" s="3431"/>
      <c r="AD64" s="3431"/>
      <c r="AE64" s="3432"/>
      <c r="AF64" s="3448"/>
      <c r="AG64" s="3449"/>
      <c r="AH64" s="3450"/>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888" t="str">
        <f t="shared" si="9"/>
        <v/>
      </c>
      <c r="AN64" s="2892"/>
      <c r="AO64" s="2892"/>
      <c r="AP64" s="2892"/>
      <c r="AQ64" s="2892"/>
      <c r="AR64" s="1872"/>
      <c r="AS64" s="1872"/>
      <c r="AT64" s="1872"/>
      <c r="AU64" s="1872"/>
    </row>
    <row r="65" spans="1:47" ht="12" customHeight="1" thickBot="1" x14ac:dyDescent="0.25">
      <c r="A65" s="10"/>
      <c r="B65" s="866"/>
      <c r="C65" s="3487"/>
      <c r="D65" s="3552" t="str">
        <f>IF(SUM(Tablas!$I$1080:$I$1091)&gt;0,"+20 RM favorecida y -20 RM opuesta: Des. elemental",IF(OR(TipoDeCriatura="Entre mundos, Elemental",TipoDeCriatura="Ánima, Elemental"),"+20 Resistencias afines, -20 opuestas: Ser elemental",IF(ISNUMBER(SEARCH("Afinidad Elemental",AF30)),"+20 a los controles de Resistencias afines: Legado","")))</f>
        <v/>
      </c>
      <c r="E65" s="3552"/>
      <c r="F65" s="3552"/>
      <c r="G65" s="3552"/>
      <c r="H65" s="3552"/>
      <c r="I65" s="3552"/>
      <c r="J65" s="3553"/>
      <c r="K65" s="659"/>
      <c r="L65" s="3286"/>
      <c r="M65" s="3272" t="s">
        <v>817</v>
      </c>
      <c r="N65" s="3272"/>
      <c r="O65" s="3277"/>
      <c r="P65" s="3277"/>
      <c r="Q65" s="547">
        <f>IF(Alquimia_final="-","-",Alquimia_final+O65)</f>
        <v>-30</v>
      </c>
      <c r="R65" s="666"/>
      <c r="S65" s="1111">
        <f>IF(V65="",MAX($S$41:S64)+1,0)</f>
        <v>24</v>
      </c>
      <c r="T65" s="1112">
        <f>IF(V65="",0,MAX($T$41:T64)+1)</f>
        <v>0</v>
      </c>
      <c r="U65" s="1132">
        <f>IF(V65="",Tablas!A24,IF(COUNTIF(V$42:V64,V65)&gt;0,V65&amp;COUNTIF(V$42:V64,V65)+1,V65&amp;1))</f>
        <v>24</v>
      </c>
      <c r="V65" s="3433"/>
      <c r="W65" s="3434"/>
      <c r="X65" s="3434"/>
      <c r="Y65" s="3434"/>
      <c r="Z65" s="3434"/>
      <c r="AA65" s="3435"/>
      <c r="AB65" s="3430"/>
      <c r="AC65" s="3431"/>
      <c r="AD65" s="3431"/>
      <c r="AE65" s="3432"/>
      <c r="AF65" s="3448"/>
      <c r="AG65" s="3449"/>
      <c r="AH65" s="3450"/>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888" t="str">
        <f t="shared" si="9"/>
        <v/>
      </c>
      <c r="AN65" s="2892"/>
      <c r="AO65" s="2892"/>
      <c r="AP65" s="2892"/>
      <c r="AQ65" s="2892"/>
      <c r="AR65" s="1872"/>
      <c r="AS65" s="1872"/>
      <c r="AT65" s="1872"/>
      <c r="AU65" s="1872"/>
    </row>
    <row r="66" spans="1:47" ht="12" customHeight="1" thickBot="1" x14ac:dyDescent="0.25">
      <c r="A66" s="10"/>
      <c r="B66" s="866"/>
      <c r="K66" s="659"/>
      <c r="L66" s="3286"/>
      <c r="M66" s="3272" t="s">
        <v>818</v>
      </c>
      <c r="N66" s="3272"/>
      <c r="O66" s="3277"/>
      <c r="P66" s="3277"/>
      <c r="Q66" s="547">
        <f>IF(Animismo_final="-","-",Animismo_final+O66)</f>
        <v>-30</v>
      </c>
      <c r="R66" s="666"/>
      <c r="S66" s="1111">
        <f>IF(V66="",MAX($S$41:S65)+1,0)</f>
        <v>25</v>
      </c>
      <c r="T66" s="1112">
        <f>IF(V66="",0,MAX($T$41:T65)+1)</f>
        <v>0</v>
      </c>
      <c r="U66" s="1132">
        <f>IF(V66="",Tablas!A25,IF(COUNTIF(V$42:V65,V66)&gt;0,V66&amp;COUNTIF(V$42:V65,V66)+1,V66&amp;1))</f>
        <v>25</v>
      </c>
      <c r="V66" s="3433"/>
      <c r="W66" s="3434"/>
      <c r="X66" s="3434"/>
      <c r="Y66" s="3434"/>
      <c r="Z66" s="3434"/>
      <c r="AA66" s="3435"/>
      <c r="AB66" s="3430"/>
      <c r="AC66" s="3431"/>
      <c r="AD66" s="3431"/>
      <c r="AE66" s="3432"/>
      <c r="AF66" s="3448"/>
      <c r="AG66" s="3449"/>
      <c r="AH66" s="3450"/>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888" t="str">
        <f t="shared" si="9"/>
        <v/>
      </c>
      <c r="AN66" s="2892"/>
      <c r="AO66" s="2892"/>
      <c r="AP66" s="2892"/>
      <c r="AQ66" s="2892"/>
      <c r="AR66" s="1872"/>
      <c r="AS66" s="1872"/>
      <c r="AT66" s="1872"/>
      <c r="AU66" s="1872"/>
    </row>
    <row r="67" spans="1:47" ht="12" customHeight="1" thickBot="1" x14ac:dyDescent="0.25">
      <c r="A67" s="10"/>
      <c r="B67" s="866"/>
      <c r="C67" s="2998" t="s">
        <v>1478</v>
      </c>
      <c r="D67" s="3464"/>
      <c r="E67" s="1709">
        <f>IF(INT=0,0,VLOOKUP(INT,Tabla_Idiomas,2))</f>
        <v>0</v>
      </c>
      <c r="G67" s="3465" t="s">
        <v>9812</v>
      </c>
      <c r="H67" s="3466"/>
      <c r="I67" s="3466"/>
      <c r="J67" s="3467"/>
      <c r="K67" s="659"/>
      <c r="L67" s="3286"/>
      <c r="M67" s="3272" t="s">
        <v>1477</v>
      </c>
      <c r="N67" s="3272"/>
      <c r="O67" s="3277"/>
      <c r="P67" s="3277"/>
      <c r="Q67" s="547" t="str">
        <f>IF(Música_final="-","-",Música_final+O67)</f>
        <v>-</v>
      </c>
      <c r="R67" s="666"/>
      <c r="S67" s="1111">
        <f>IF(V67="",MAX($S$41:S66)+1,0)</f>
        <v>26</v>
      </c>
      <c r="T67" s="1112">
        <f>IF(V67="",0,MAX($T$41:T66)+1)</f>
        <v>0</v>
      </c>
      <c r="U67" s="1132">
        <f>IF(V67="",Tablas!A26,IF(COUNTIF(V$42:V66,V67)&gt;0,V67&amp;COUNTIF(V$42:V66,V67)+1,V67&amp;1))</f>
        <v>26</v>
      </c>
      <c r="V67" s="3433"/>
      <c r="W67" s="3434"/>
      <c r="X67" s="3434"/>
      <c r="Y67" s="3434"/>
      <c r="Z67" s="3434"/>
      <c r="AA67" s="3435"/>
      <c r="AB67" s="3430"/>
      <c r="AC67" s="3431"/>
      <c r="AD67" s="3431"/>
      <c r="AE67" s="3432"/>
      <c r="AF67" s="3448"/>
      <c r="AG67" s="3449"/>
      <c r="AH67" s="3450"/>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888" t="str">
        <f t="shared" si="9"/>
        <v/>
      </c>
      <c r="AN67" s="2892"/>
      <c r="AO67" s="2892"/>
      <c r="AP67" s="2892"/>
      <c r="AQ67" s="2892"/>
      <c r="AR67" s="1872"/>
      <c r="AS67" s="1872"/>
      <c r="AT67" s="1872"/>
      <c r="AU67" s="1872"/>
    </row>
    <row r="68" spans="1:47" ht="12" customHeight="1" x14ac:dyDescent="0.2">
      <c r="A68" s="10"/>
      <c r="B68" s="866"/>
      <c r="C68" s="1710" t="s">
        <v>1368</v>
      </c>
      <c r="D68" s="3480"/>
      <c r="E68" s="3481"/>
      <c r="G68" s="3470"/>
      <c r="H68" s="3471"/>
      <c r="I68" s="3471"/>
      <c r="J68" s="3472"/>
      <c r="K68" s="659"/>
      <c r="L68" s="3286"/>
      <c r="M68" s="3272" t="s">
        <v>1479</v>
      </c>
      <c r="N68" s="3272"/>
      <c r="O68" s="3277"/>
      <c r="P68" s="3277"/>
      <c r="Q68" s="547">
        <f>IF(T.Manos_final="-","-",T.Manos_final+O68)</f>
        <v>-30</v>
      </c>
      <c r="R68" s="666"/>
      <c r="S68" s="1111">
        <f>IF(V68="",MAX($S$41:S67)+1,0)</f>
        <v>27</v>
      </c>
      <c r="T68" s="1112">
        <f>IF(V68="",0,MAX($T$41:T67)+1)</f>
        <v>0</v>
      </c>
      <c r="U68" s="1132">
        <f>IF(V68="",Tablas!A27,IF(COUNTIF(V$42:V67,V68)&gt;0,V68&amp;COUNTIF(V$42:V67,V68)+1,V68&amp;1))</f>
        <v>27</v>
      </c>
      <c r="V68" s="3433"/>
      <c r="W68" s="3434"/>
      <c r="X68" s="3434"/>
      <c r="Y68" s="3434"/>
      <c r="Z68" s="3434"/>
      <c r="AA68" s="3435"/>
      <c r="AB68" s="3430"/>
      <c r="AC68" s="3431"/>
      <c r="AD68" s="3431"/>
      <c r="AE68" s="3432"/>
      <c r="AF68" s="3448"/>
      <c r="AG68" s="3449"/>
      <c r="AH68" s="3450"/>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888" t="str">
        <f t="shared" si="9"/>
        <v/>
      </c>
      <c r="AN68" s="2892"/>
      <c r="AO68" s="2892"/>
      <c r="AP68" s="2892"/>
      <c r="AQ68" s="2892"/>
      <c r="AR68" s="1872"/>
      <c r="AS68" s="1872"/>
      <c r="AT68" s="1872"/>
      <c r="AU68" s="1872"/>
    </row>
    <row r="69" spans="1:47" ht="12" customHeight="1" x14ac:dyDescent="0.2">
      <c r="A69" s="10"/>
      <c r="B69" s="866"/>
      <c r="C69" s="1711" t="s">
        <v>1481</v>
      </c>
      <c r="D69" s="3468"/>
      <c r="E69" s="3469"/>
      <c r="G69" s="3473"/>
      <c r="H69" s="3474"/>
      <c r="I69" s="3474"/>
      <c r="J69" s="3475"/>
      <c r="K69" s="659"/>
      <c r="L69" s="3286"/>
      <c r="M69" s="3272" t="s">
        <v>6373</v>
      </c>
      <c r="N69" s="3272"/>
      <c r="O69" s="3277"/>
      <c r="P69" s="3277"/>
      <c r="Q69" s="547">
        <f>IF(Caligrafíaritual_final="-","-",Caligrafíaritual_final+O69)</f>
        <v>-30</v>
      </c>
      <c r="R69" s="666"/>
      <c r="S69" s="1111">
        <f>IF(V69="",MAX($S$41:S68)+1,0)</f>
        <v>28</v>
      </c>
      <c r="T69" s="1112">
        <f>IF(V69="",0,MAX($T$41:T68)+1)</f>
        <v>0</v>
      </c>
      <c r="U69" s="1132">
        <f>IF(V69="",Tablas!A28,IF(COUNTIF(V$42:V68,V69)&gt;0,V69&amp;COUNTIF(V$42:V68,V69)+1,V69&amp;1))</f>
        <v>28</v>
      </c>
      <c r="V69" s="3519"/>
      <c r="W69" s="3520"/>
      <c r="X69" s="3520"/>
      <c r="Y69" s="3520"/>
      <c r="Z69" s="3520"/>
      <c r="AA69" s="3521"/>
      <c r="AB69" s="3537"/>
      <c r="AC69" s="3538"/>
      <c r="AD69" s="3538"/>
      <c r="AE69" s="3539"/>
      <c r="AF69" s="3540"/>
      <c r="AG69" s="3541"/>
      <c r="AH69" s="3542"/>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888" t="str">
        <f t="shared" si="9"/>
        <v/>
      </c>
      <c r="AN69" s="2892"/>
      <c r="AO69" s="2892"/>
      <c r="AP69" s="2892"/>
      <c r="AQ69" s="2892"/>
      <c r="AR69" s="1872"/>
      <c r="AS69" s="1872"/>
      <c r="AT69" s="1872"/>
      <c r="AU69" s="1872"/>
    </row>
    <row r="70" spans="1:47" ht="12" customHeight="1" x14ac:dyDescent="0.2">
      <c r="A70" s="10"/>
      <c r="B70" s="866"/>
      <c r="C70" s="1702" t="s">
        <v>1482</v>
      </c>
      <c r="D70" s="3084"/>
      <c r="E70" s="3479"/>
      <c r="G70" s="3473"/>
      <c r="H70" s="3474"/>
      <c r="I70" s="3474"/>
      <c r="J70" s="3475"/>
      <c r="K70" s="662"/>
      <c r="L70" s="3286"/>
      <c r="M70" s="3272" t="s">
        <v>6374</v>
      </c>
      <c r="N70" s="3272"/>
      <c r="O70" s="3277"/>
      <c r="P70" s="3277"/>
      <c r="Q70" s="547">
        <f>IF(Orfebrería_final="-","-",Orfebrería_final+O70)</f>
        <v>-30</v>
      </c>
      <c r="R70" s="967"/>
      <c r="S70" s="1111"/>
      <c r="T70" s="1112"/>
      <c r="U70" s="1131"/>
      <c r="V70" s="3522"/>
      <c r="W70" s="3523"/>
      <c r="X70" s="3523"/>
      <c r="Y70" s="3523"/>
      <c r="Z70" s="3523"/>
      <c r="AA70" s="3523"/>
      <c r="AB70" s="3526"/>
      <c r="AC70" s="3523"/>
      <c r="AD70" s="3523"/>
      <c r="AE70" s="3523"/>
      <c r="AF70" s="3523"/>
      <c r="AG70" s="3523"/>
      <c r="AH70" s="3527"/>
      <c r="AI70" s="3535"/>
      <c r="AJ70" s="3530"/>
      <c r="AK70" s="1514"/>
      <c r="AL70" s="674"/>
      <c r="AM70" s="2888"/>
      <c r="AN70" s="2892"/>
      <c r="AO70" s="2892"/>
      <c r="AP70" s="2892"/>
      <c r="AQ70" s="2892"/>
      <c r="AR70" s="1872"/>
      <c r="AS70" s="1872"/>
      <c r="AT70" s="1872"/>
      <c r="AU70" s="1872"/>
    </row>
    <row r="71" spans="1:47" ht="12" customHeight="1" x14ac:dyDescent="0.2">
      <c r="A71" s="10"/>
      <c r="B71" s="866"/>
      <c r="C71" s="1702" t="s">
        <v>1483</v>
      </c>
      <c r="D71" s="3084"/>
      <c r="E71" s="3479"/>
      <c r="G71" s="3473"/>
      <c r="H71" s="3474"/>
      <c r="I71" s="3474"/>
      <c r="J71" s="3475"/>
      <c r="K71" s="662"/>
      <c r="L71" s="3286"/>
      <c r="M71" s="3272" t="s">
        <v>6375</v>
      </c>
      <c r="N71" s="3272"/>
      <c r="O71" s="3277"/>
      <c r="P71" s="3277"/>
      <c r="Q71" s="547">
        <f>IF(Confección_final="-","-",Confección_final+O71)</f>
        <v>-30</v>
      </c>
      <c r="R71" s="967"/>
      <c r="S71" s="1111"/>
      <c r="T71" s="1112"/>
      <c r="U71" s="1131"/>
      <c r="V71" s="3524"/>
      <c r="W71" s="3525"/>
      <c r="X71" s="3525"/>
      <c r="Y71" s="3525"/>
      <c r="Z71" s="3525"/>
      <c r="AA71" s="3525"/>
      <c r="AB71" s="3528"/>
      <c r="AC71" s="3525"/>
      <c r="AD71" s="3525"/>
      <c r="AE71" s="3525"/>
      <c r="AF71" s="3525"/>
      <c r="AG71" s="3525"/>
      <c r="AH71" s="3529"/>
      <c r="AI71" s="3536"/>
      <c r="AJ71" s="3531"/>
      <c r="AK71" s="1514"/>
      <c r="AL71" s="674"/>
      <c r="AM71" s="2888"/>
      <c r="AN71" s="2892"/>
      <c r="AO71" s="2892"/>
      <c r="AP71" s="2892"/>
      <c r="AQ71" s="2892"/>
      <c r="AR71" s="1872"/>
      <c r="AS71" s="1872"/>
      <c r="AT71" s="1872"/>
      <c r="AU71" s="1872"/>
    </row>
    <row r="72" spans="1:47" ht="12" customHeight="1" thickBot="1" x14ac:dyDescent="0.25">
      <c r="A72" s="10"/>
      <c r="B72" s="866"/>
      <c r="C72" s="1702" t="s">
        <v>1484</v>
      </c>
      <c r="D72" s="3084"/>
      <c r="E72" s="3479"/>
      <c r="F72" s="36"/>
      <c r="G72" s="3473"/>
      <c r="H72" s="3474"/>
      <c r="I72" s="3474"/>
      <c r="J72" s="3475"/>
      <c r="K72" s="659"/>
      <c r="L72" s="3287"/>
      <c r="M72" s="3550" t="s">
        <v>6376</v>
      </c>
      <c r="N72" s="3550"/>
      <c r="O72" s="3288"/>
      <c r="P72" s="3288"/>
      <c r="Q72" s="548">
        <f>IF(Conf.marionetas_final="-","-",Conf.marionetas_final+O72)</f>
        <v>-30</v>
      </c>
      <c r="R72" s="666"/>
      <c r="S72" s="1111"/>
      <c r="T72" s="1112"/>
      <c r="U72" s="1131"/>
      <c r="V72" s="3532" t="str">
        <f>IF(SUM(AJ42:AJ69)&gt;PDs!T5/2,"Exceso de PDs en Poderes","")</f>
        <v/>
      </c>
      <c r="W72" s="3533"/>
      <c r="X72" s="3533"/>
      <c r="Y72" s="3533"/>
      <c r="Z72" s="3533"/>
      <c r="AA72" s="3533"/>
      <c r="AB72" s="3533"/>
      <c r="AC72" s="3533"/>
      <c r="AD72" s="3533"/>
      <c r="AE72" s="3533"/>
      <c r="AF72" s="3533"/>
      <c r="AG72" s="3533"/>
      <c r="AH72" s="3533"/>
      <c r="AI72" s="3533"/>
      <c r="AJ72" s="3534"/>
      <c r="AK72" s="1514"/>
      <c r="AL72" s="674"/>
      <c r="AM72" s="2888"/>
      <c r="AN72" s="2892"/>
      <c r="AO72" s="2892"/>
      <c r="AP72" s="2892"/>
      <c r="AQ72" s="2892"/>
      <c r="AR72" s="1872"/>
      <c r="AS72" s="1872"/>
      <c r="AT72" s="1872"/>
      <c r="AU72" s="1872"/>
    </row>
    <row r="73" spans="1:47" ht="12" customHeight="1" thickBot="1" x14ac:dyDescent="0.25">
      <c r="A73" s="10"/>
      <c r="B73" s="866"/>
      <c r="C73" s="1702" t="s">
        <v>1485</v>
      </c>
      <c r="D73" s="3084"/>
      <c r="E73" s="3479"/>
      <c r="F73" s="36"/>
      <c r="G73" s="3473"/>
      <c r="H73" s="3474"/>
      <c r="I73" s="3474"/>
      <c r="J73" s="3475"/>
      <c r="K73" s="659"/>
      <c r="L73" s="3286" t="s">
        <v>1480</v>
      </c>
      <c r="M73" s="3272" t="str">
        <f>IF(PDs!E177="","-",PDs!E177)</f>
        <v>-</v>
      </c>
      <c r="N73" s="3272"/>
      <c r="O73" s="3277"/>
      <c r="P73" s="3277"/>
      <c r="Q73" s="547" t="str">
        <f>IF(PDs!AA177="-","-",PDs!AA177+O73)</f>
        <v>-</v>
      </c>
      <c r="R73" s="666"/>
      <c r="S73" s="1111"/>
      <c r="T73" s="1112"/>
      <c r="U73" s="1131"/>
      <c r="AK73" s="1514"/>
      <c r="AL73" s="674"/>
      <c r="AM73" s="2888"/>
      <c r="AN73" s="2892"/>
      <c r="AO73" s="2892"/>
      <c r="AP73" s="2892"/>
      <c r="AQ73" s="2892"/>
      <c r="AR73" s="1872"/>
      <c r="AS73" s="1872"/>
      <c r="AT73" s="1872"/>
      <c r="AU73" s="1872"/>
    </row>
    <row r="74" spans="1:47" ht="12" customHeight="1" x14ac:dyDescent="0.2">
      <c r="A74" s="10"/>
      <c r="B74" s="866"/>
      <c r="C74" s="1702" t="s">
        <v>1486</v>
      </c>
      <c r="D74" s="3084"/>
      <c r="E74" s="3479"/>
      <c r="F74" s="36"/>
      <c r="G74" s="3473"/>
      <c r="H74" s="3474"/>
      <c r="I74" s="3474"/>
      <c r="J74" s="3475"/>
      <c r="K74" s="659"/>
      <c r="L74" s="3286"/>
      <c r="M74" s="3272" t="str">
        <f>IF(PDs!E178="","-",PDs!E178)</f>
        <v>-</v>
      </c>
      <c r="N74" s="3272"/>
      <c r="O74" s="3277"/>
      <c r="P74" s="3277"/>
      <c r="Q74" s="547" t="str">
        <f>IF(PDs!AA178="-","-",PDs!AA178+O74)</f>
        <v>-</v>
      </c>
      <c r="R74" s="666"/>
      <c r="S74" s="1111"/>
      <c r="T74" s="1112"/>
      <c r="U74" s="1131"/>
      <c r="V74" s="3507" t="s">
        <v>9813</v>
      </c>
      <c r="W74" s="3510"/>
      <c r="X74" s="3511"/>
      <c r="Y74" s="3511"/>
      <c r="Z74" s="3511"/>
      <c r="AA74" s="3511"/>
      <c r="AB74" s="3511"/>
      <c r="AC74" s="3511"/>
      <c r="AD74" s="3511"/>
      <c r="AE74" s="3511"/>
      <c r="AF74" s="3511"/>
      <c r="AG74" s="3511"/>
      <c r="AH74" s="3511"/>
      <c r="AI74" s="3511"/>
      <c r="AJ74" s="3512"/>
      <c r="AK74" s="1514"/>
      <c r="AL74" s="674"/>
      <c r="AM74" s="2888"/>
      <c r="AN74" s="2892"/>
      <c r="AO74" s="2892"/>
      <c r="AP74" s="2892"/>
      <c r="AQ74" s="2892"/>
      <c r="AR74" s="1872"/>
      <c r="AS74" s="1872"/>
      <c r="AT74" s="1872"/>
      <c r="AU74" s="1872"/>
    </row>
    <row r="75" spans="1:47" ht="12" customHeight="1" thickBot="1" x14ac:dyDescent="0.25">
      <c r="A75" s="10"/>
      <c r="B75" s="866"/>
      <c r="C75" s="1702" t="s">
        <v>1488</v>
      </c>
      <c r="D75" s="3084"/>
      <c r="E75" s="3479"/>
      <c r="F75" s="36"/>
      <c r="G75" s="3476"/>
      <c r="H75" s="3477"/>
      <c r="I75" s="3477"/>
      <c r="J75" s="3478"/>
      <c r="K75" s="659"/>
      <c r="L75" s="3286"/>
      <c r="M75" s="3272" t="str">
        <f>IF(PDs!E179="","-",PDs!E179)</f>
        <v>-</v>
      </c>
      <c r="N75" s="3272"/>
      <c r="O75" s="3277"/>
      <c r="P75" s="3277"/>
      <c r="Q75" s="547" t="str">
        <f>IF(PDs!AA179="-","-",PDs!AA179+O75)</f>
        <v>-</v>
      </c>
      <c r="R75" s="666"/>
      <c r="S75" s="1111"/>
      <c r="T75" s="1112"/>
      <c r="U75" s="1131"/>
      <c r="V75" s="3508"/>
      <c r="W75" s="3513"/>
      <c r="X75" s="3514"/>
      <c r="Y75" s="3514"/>
      <c r="Z75" s="3514"/>
      <c r="AA75" s="3514"/>
      <c r="AB75" s="3514"/>
      <c r="AC75" s="3514"/>
      <c r="AD75" s="3514"/>
      <c r="AE75" s="3514"/>
      <c r="AF75" s="3514"/>
      <c r="AG75" s="3514"/>
      <c r="AH75" s="3514"/>
      <c r="AI75" s="3514"/>
      <c r="AJ75" s="3515"/>
      <c r="AK75" s="1514"/>
      <c r="AL75" s="674"/>
      <c r="AM75" s="2888"/>
      <c r="AN75" s="2892"/>
      <c r="AO75" s="2892"/>
      <c r="AP75" s="2892"/>
      <c r="AQ75" s="2892"/>
      <c r="AR75" s="1872"/>
      <c r="AS75" s="1872"/>
      <c r="AT75" s="1872"/>
      <c r="AU75" s="1872"/>
    </row>
    <row r="76" spans="1:47" ht="12" customHeight="1" x14ac:dyDescent="0.2">
      <c r="A76" s="10"/>
      <c r="B76" s="866"/>
      <c r="C76" s="1702" t="s">
        <v>1489</v>
      </c>
      <c r="D76" s="3084"/>
      <c r="E76" s="3479"/>
      <c r="F76" s="36"/>
      <c r="G76" s="3548" t="s">
        <v>1487</v>
      </c>
      <c r="H76" s="3549"/>
      <c r="I76" s="3549"/>
      <c r="J76" s="2752">
        <f>IF(TipoDeCriatura="Natural",IF(AB14&gt;19,9,IF(AB14&gt;14,6,IF(AB14&gt;9,3,0))),"")</f>
        <v>0</v>
      </c>
      <c r="K76" s="659"/>
      <c r="L76" s="3286"/>
      <c r="M76" s="3272" t="str">
        <f>IF(PDs!E180="","-",PDs!E180)</f>
        <v>-</v>
      </c>
      <c r="N76" s="3272"/>
      <c r="O76" s="3277"/>
      <c r="P76" s="3277"/>
      <c r="Q76" s="547" t="str">
        <f>IF(PDs!AA180="-","-",PDs!AA180+O76)</f>
        <v>-</v>
      </c>
      <c r="R76" s="666"/>
      <c r="S76" s="1111"/>
      <c r="T76" s="1112"/>
      <c r="U76" s="1131"/>
      <c r="V76" s="3508"/>
      <c r="W76" s="3513"/>
      <c r="X76" s="3514"/>
      <c r="Y76" s="3514"/>
      <c r="Z76" s="3514"/>
      <c r="AA76" s="3514"/>
      <c r="AB76" s="3514"/>
      <c r="AC76" s="3514"/>
      <c r="AD76" s="3514"/>
      <c r="AE76" s="3514"/>
      <c r="AF76" s="3514"/>
      <c r="AG76" s="3514"/>
      <c r="AH76" s="3514"/>
      <c r="AI76" s="3514"/>
      <c r="AJ76" s="3515"/>
      <c r="AK76" s="1514"/>
      <c r="AL76" s="674"/>
      <c r="AM76" s="2888"/>
      <c r="AN76" s="2892"/>
      <c r="AO76" s="2892"/>
      <c r="AP76" s="2892"/>
      <c r="AQ76" s="2892"/>
      <c r="AR76" s="1872"/>
      <c r="AS76" s="1872"/>
      <c r="AT76" s="1872"/>
      <c r="AU76" s="1872"/>
    </row>
    <row r="77" spans="1:47" ht="12" customHeight="1" thickBot="1" x14ac:dyDescent="0.25">
      <c r="A77" s="10"/>
      <c r="B77" s="866"/>
      <c r="C77" s="1712" t="s">
        <v>1490</v>
      </c>
      <c r="D77" s="3546"/>
      <c r="E77" s="3547"/>
      <c r="F77" s="36"/>
      <c r="G77" s="3545" t="s">
        <v>7260</v>
      </c>
      <c r="H77" s="3336"/>
      <c r="I77" s="3336"/>
      <c r="J77" s="1713"/>
      <c r="K77" s="659"/>
      <c r="L77" s="3482"/>
      <c r="M77" s="3483" t="str">
        <f>IF(PDs!E181="","-",PDs!E181)</f>
        <v>-</v>
      </c>
      <c r="N77" s="3483"/>
      <c r="O77" s="3551"/>
      <c r="P77" s="3551"/>
      <c r="Q77" s="549" t="str">
        <f>IF(PDs!AA181="-","-",PDs!AA181+O77)</f>
        <v>-</v>
      </c>
      <c r="R77" s="666"/>
      <c r="S77" s="1111"/>
      <c r="T77" s="1112"/>
      <c r="U77" s="1131"/>
      <c r="V77" s="3509"/>
      <c r="W77" s="3516"/>
      <c r="X77" s="3517"/>
      <c r="Y77" s="3517"/>
      <c r="Z77" s="3517"/>
      <c r="AA77" s="3517"/>
      <c r="AB77" s="3517"/>
      <c r="AC77" s="3517"/>
      <c r="AD77" s="3517"/>
      <c r="AE77" s="3517"/>
      <c r="AF77" s="3517"/>
      <c r="AG77" s="3517"/>
      <c r="AH77" s="3517"/>
      <c r="AI77" s="3517"/>
      <c r="AJ77" s="3518"/>
      <c r="AK77" s="1514"/>
      <c r="AL77" s="674"/>
      <c r="AM77" s="2888"/>
      <c r="AN77" s="2892"/>
      <c r="AO77" s="2892"/>
      <c r="AP77" s="2892"/>
      <c r="AQ77" s="2892"/>
      <c r="AR77" s="1872"/>
      <c r="AS77" s="1872"/>
      <c r="AT77" s="1872"/>
      <c r="AU77" s="1872"/>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888"/>
      <c r="AN78" s="2892"/>
      <c r="AO78" s="2892"/>
      <c r="AP78" s="2892"/>
      <c r="AQ78" s="2892"/>
      <c r="AR78" s="1872"/>
      <c r="AS78" s="1872"/>
      <c r="AT78" s="1872"/>
      <c r="AU78" s="1872"/>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891" t="s">
        <v>8944</v>
      </c>
      <c r="AN79" s="2892"/>
      <c r="AO79" s="2892"/>
      <c r="AP79" s="2892"/>
      <c r="AQ79" s="2892"/>
      <c r="AR79" s="1872"/>
      <c r="AS79" s="1872"/>
      <c r="AT79" s="1872"/>
      <c r="AU79" s="1872"/>
    </row>
  </sheetData>
  <sheetProtection selectLockedCells="1"/>
  <mergeCells count="386">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62" priority="75" stopIfTrue="1">
      <formula>NA()</formula>
    </cfRule>
    <cfRule type="expression" dxfId="161" priority="76" stopIfTrue="1">
      <formula>NA()</formula>
    </cfRule>
  </conditionalFormatting>
  <conditionalFormatting sqref="F35">
    <cfRule type="expression" dxfId="160" priority="77" stopIfTrue="1">
      <formula>A39=1</formula>
    </cfRule>
    <cfRule type="expression" dxfId="159" priority="78" stopIfTrue="1">
      <formula>A39</formula>
    </cfRule>
  </conditionalFormatting>
  <conditionalFormatting sqref="AF35:AJ35">
    <cfRule type="expression" dxfId="158" priority="87" stopIfTrue="1">
      <formula>F1=1</formula>
    </cfRule>
    <cfRule type="expression" dxfId="157" priority="88" stopIfTrue="1">
      <formula>F1=2</formula>
    </cfRule>
  </conditionalFormatting>
  <conditionalFormatting sqref="AF30">
    <cfRule type="expression" dxfId="156" priority="89" stopIfTrue="1">
      <formula>F1=1</formula>
    </cfRule>
    <cfRule type="expression" dxfId="155" priority="90" stopIfTrue="1">
      <formula>F1=2</formula>
    </cfRule>
    <cfRule type="cellIs" dxfId="154" priority="91" stopIfTrue="1" operator="equal">
      <formula>0</formula>
    </cfRule>
  </conditionalFormatting>
  <conditionalFormatting sqref="AI42 AI12:AI23">
    <cfRule type="cellIs" dxfId="153" priority="92" stopIfTrue="1" operator="greaterThan">
      <formula>$AB$13</formula>
    </cfRule>
  </conditionalFormatting>
  <conditionalFormatting sqref="J34">
    <cfRule type="cellIs" dxfId="152" priority="96" stopIfTrue="1" operator="lessThan">
      <formula>0</formula>
    </cfRule>
  </conditionalFormatting>
  <conditionalFormatting sqref="V30">
    <cfRule type="expression" dxfId="151" priority="107" stopIfTrue="1">
      <formula>$V$39=1</formula>
    </cfRule>
    <cfRule type="expression" dxfId="150" priority="108" stopIfTrue="1">
      <formula>$V$39=2</formula>
    </cfRule>
    <cfRule type="cellIs" dxfId="149" priority="109" stopIfTrue="1" operator="equal">
      <formula>0</formula>
    </cfRule>
  </conditionalFormatting>
  <conditionalFormatting sqref="D35:E35">
    <cfRule type="expression" dxfId="148" priority="143" stopIfTrue="1">
      <formula>NA()</formula>
    </cfRule>
    <cfRule type="expression" dxfId="147" priority="144" stopIfTrue="1">
      <formula>NA()</formula>
    </cfRule>
  </conditionalFormatting>
  <conditionalFormatting sqref="C35">
    <cfRule type="expression" dxfId="146" priority="145" stopIfTrue="1">
      <formula>NA()</formula>
    </cfRule>
    <cfRule type="expression" dxfId="145" priority="146" stopIfTrue="1">
      <formula>NA()</formula>
    </cfRule>
  </conditionalFormatting>
  <conditionalFormatting sqref="D36:F36">
    <cfRule type="expression" dxfId="144" priority="147" stopIfTrue="1">
      <formula>NA()</formula>
    </cfRule>
    <cfRule type="expression" dxfId="143" priority="148" stopIfTrue="1">
      <formula>NA()</formula>
    </cfRule>
  </conditionalFormatting>
  <conditionalFormatting sqref="C36">
    <cfRule type="expression" dxfId="142" priority="149" stopIfTrue="1">
      <formula>NA()</formula>
    </cfRule>
    <cfRule type="expression" dxfId="141" priority="150" stopIfTrue="1">
      <formula>NA()</formula>
    </cfRule>
  </conditionalFormatting>
  <conditionalFormatting sqref="C40">
    <cfRule type="expression" dxfId="140" priority="151" stopIfTrue="1">
      <formula>NA()</formula>
    </cfRule>
    <cfRule type="expression" dxfId="139" priority="152" stopIfTrue="1">
      <formula>NA()</formula>
    </cfRule>
  </conditionalFormatting>
  <conditionalFormatting sqref="V69">
    <cfRule type="cellIs" dxfId="138" priority="176" stopIfTrue="1" operator="equal">
      <formula>"Armas naturales"</formula>
    </cfRule>
  </conditionalFormatting>
  <conditionalFormatting sqref="C46">
    <cfRule type="expression" dxfId="137" priority="59" stopIfTrue="1">
      <formula>NA()</formula>
    </cfRule>
    <cfRule type="expression" dxfId="136" priority="60" stopIfTrue="1">
      <formula>NA()</formula>
    </cfRule>
  </conditionalFormatting>
  <conditionalFormatting sqref="D43:F43">
    <cfRule type="expression" dxfId="135" priority="63" stopIfTrue="1">
      <formula>NA()</formula>
    </cfRule>
    <cfRule type="expression" dxfId="134" priority="64" stopIfTrue="1">
      <formula>NA()</formula>
    </cfRule>
  </conditionalFormatting>
  <conditionalFormatting sqref="C43">
    <cfRule type="expression" dxfId="133" priority="65" stopIfTrue="1">
      <formula>NA()</formula>
    </cfRule>
    <cfRule type="expression" dxfId="132" priority="66" stopIfTrue="1">
      <formula>NA()</formula>
    </cfRule>
  </conditionalFormatting>
  <conditionalFormatting sqref="C47">
    <cfRule type="expression" dxfId="131" priority="67" stopIfTrue="1">
      <formula>NA()</formula>
    </cfRule>
    <cfRule type="expression" dxfId="130" priority="68" stopIfTrue="1">
      <formula>NA()</formula>
    </cfRule>
  </conditionalFormatting>
  <conditionalFormatting sqref="D45:F45">
    <cfRule type="expression" dxfId="129" priority="69" stopIfTrue="1">
      <formula>NA()</formula>
    </cfRule>
    <cfRule type="expression" dxfId="128" priority="70" stopIfTrue="1">
      <formula>NA()</formula>
    </cfRule>
  </conditionalFormatting>
  <conditionalFormatting sqref="C44:C45">
    <cfRule type="expression" dxfId="127" priority="71" stopIfTrue="1">
      <formula>NA()</formula>
    </cfRule>
    <cfRule type="expression" dxfId="126" priority="72" stopIfTrue="1">
      <formula>NA()</formula>
    </cfRule>
  </conditionalFormatting>
  <conditionalFormatting sqref="D44:F44">
    <cfRule type="expression" dxfId="125" priority="73" stopIfTrue="1">
      <formula>NA()</formula>
    </cfRule>
    <cfRule type="expression" dxfId="124" priority="74" stopIfTrue="1">
      <formula>NA()</formula>
    </cfRule>
  </conditionalFormatting>
  <conditionalFormatting sqref="C49:F49 C43:F47">
    <cfRule type="expression" dxfId="123" priority="1759">
      <formula>AND(NOT($AN$36),NOT($AN$37))</formula>
    </cfRule>
  </conditionalFormatting>
  <conditionalFormatting sqref="D48:F48">
    <cfRule type="expression" dxfId="122" priority="47" stopIfTrue="1">
      <formula>NA()</formula>
    </cfRule>
    <cfRule type="expression" dxfId="121" priority="48" stopIfTrue="1">
      <formula>NA()</formula>
    </cfRule>
  </conditionalFormatting>
  <conditionalFormatting sqref="C48">
    <cfRule type="expression" dxfId="120" priority="45" stopIfTrue="1">
      <formula>NA()</formula>
    </cfRule>
    <cfRule type="expression" dxfId="119" priority="46" stopIfTrue="1">
      <formula>NA()</formula>
    </cfRule>
  </conditionalFormatting>
  <conditionalFormatting sqref="C48:F48">
    <cfRule type="expression" dxfId="118" priority="49">
      <formula>AND(NOT($AN$36),NOT($AN$37))</formula>
    </cfRule>
  </conditionalFormatting>
  <conditionalFormatting sqref="J54 F54">
    <cfRule type="cellIs" dxfId="117" priority="44" stopIfTrue="1" operator="greaterThan">
      <formula>0</formula>
    </cfRule>
  </conditionalFormatting>
  <conditionalFormatting sqref="G54:J54">
    <cfRule type="expression" dxfId="116" priority="43" stopIfTrue="1">
      <formula>$J$54&lt;=0</formula>
    </cfRule>
  </conditionalFormatting>
  <conditionalFormatting sqref="C54:F54">
    <cfRule type="expression" dxfId="115" priority="42" stopIfTrue="1">
      <formula>$F$54&lt;=0</formula>
    </cfRule>
  </conditionalFormatting>
  <conditionalFormatting sqref="F54">
    <cfRule type="expression" dxfId="114" priority="37" stopIfTrue="1">
      <formula>$F$54&gt;0</formula>
    </cfRule>
  </conditionalFormatting>
  <conditionalFormatting sqref="Y23:Z23">
    <cfRule type="expression" dxfId="113" priority="40">
      <formula>$AB$13&lt;30</formula>
    </cfRule>
  </conditionalFormatting>
  <conditionalFormatting sqref="E12">
    <cfRule type="expression" dxfId="112" priority="19" stopIfTrue="1">
      <formula>OR(TipoDeCriatura="Ánima",TipoDeCriatura="Ánima, Elemental",TipoDeCriatura="No muerto, Espectro")</formula>
    </cfRule>
    <cfRule type="expression" dxfId="111" priority="2298" stopIfTrue="1">
      <formula>$D$12="-"</formula>
    </cfRule>
  </conditionalFormatting>
  <conditionalFormatting sqref="E17">
    <cfRule type="expression" dxfId="110" priority="2307" stopIfTrue="1">
      <formula>AND(OR($K$7="Ánima",$K$7="Ánima, Elemental",$K$7="No muerto, Espectro"),NOT($E$12=$E$17))</formula>
    </cfRule>
  </conditionalFormatting>
  <conditionalFormatting sqref="C54:E54 G54:I54">
    <cfRule type="expression" dxfId="109" priority="36" stopIfTrue="1">
      <formula>F$54&gt;0</formula>
    </cfRule>
  </conditionalFormatting>
  <conditionalFormatting sqref="AI43:AI69">
    <cfRule type="cellIs" dxfId="108" priority="29" stopIfTrue="1" operator="greaterThan">
      <formula>$AB$13</formula>
    </cfRule>
  </conditionalFormatting>
  <conditionalFormatting sqref="AD13:AD23">
    <cfRule type="expression" dxfId="107" priority="24" stopIfTrue="1">
      <formula>H2=1</formula>
    </cfRule>
    <cfRule type="expression" dxfId="106" priority="25" stopIfTrue="1">
      <formula>H2=2</formula>
    </cfRule>
  </conditionalFormatting>
  <conditionalFormatting sqref="AB42:AE69">
    <cfRule type="containsText" dxfId="105" priority="15" operator="containsText" text="Arma natural a distancia">
      <formula>NOT(ISERROR(SEARCH("Arma natural a distancia",AB42)))</formula>
    </cfRule>
    <cfRule type="expression" dxfId="104" priority="4784">
      <formula>AND($AK42&lt;&gt;"",$AF42="")</formula>
    </cfRule>
  </conditionalFormatting>
  <conditionalFormatting sqref="AB42:AH69">
    <cfRule type="expression" dxfId="103" priority="23">
      <formula>$AB42=""</formula>
    </cfRule>
  </conditionalFormatting>
  <conditionalFormatting sqref="AD12:AF23">
    <cfRule type="expression" dxfId="102" priority="22">
      <formula>AND($AK12&lt;&gt;"",$AG12="")</formula>
    </cfRule>
  </conditionalFormatting>
  <conditionalFormatting sqref="AG12:AH23">
    <cfRule type="expression" dxfId="101" priority="20">
      <formula>$AD12=""</formula>
    </cfRule>
  </conditionalFormatting>
  <conditionalFormatting sqref="E11:E14">
    <cfRule type="cellIs" dxfId="100" priority="4826" stopIfTrue="1" operator="greaterThan">
      <formula>$T$2</formula>
    </cfRule>
  </conditionalFormatting>
  <conditionalFormatting sqref="E15:E18">
    <cfRule type="cellIs" dxfId="99" priority="4827" operator="greaterThan">
      <formula>MAX($T$2,$T$3)</formula>
    </cfRule>
  </conditionalFormatting>
  <conditionalFormatting sqref="AI42:AJ69 AI12:AJ23">
    <cfRule type="expression" dxfId="98" priority="18" stopIfTrue="1">
      <formula>NOT(ISNUMBER(AI12))</formula>
    </cfRule>
  </conditionalFormatting>
  <conditionalFormatting sqref="AB13">
    <cfRule type="expression" dxfId="97" priority="17" stopIfTrue="1">
      <formula>$AN$26</formula>
    </cfRule>
  </conditionalFormatting>
  <conditionalFormatting sqref="Y11:AB12">
    <cfRule type="expression" dxfId="96" priority="16">
      <formula>$AN$25</formula>
    </cfRule>
  </conditionalFormatting>
  <conditionalFormatting sqref="I25">
    <cfRule type="cellIs" dxfId="95" priority="13" operator="greaterThan">
      <formula>0</formula>
    </cfRule>
    <cfRule type="cellIs" dxfId="94" priority="14" operator="lessThan">
      <formula>0</formula>
    </cfRule>
  </conditionalFormatting>
  <conditionalFormatting sqref="F54 J54">
    <cfRule type="expression" dxfId="93" priority="41" stopIfTrue="1">
      <formula>C54&lt;&gt;""</formula>
    </cfRule>
  </conditionalFormatting>
  <conditionalFormatting sqref="D37:F37">
    <cfRule type="expression" dxfId="92" priority="9" stopIfTrue="1">
      <formula>NA()</formula>
    </cfRule>
    <cfRule type="expression" dxfId="91" priority="10" stopIfTrue="1">
      <formula>NA()</formula>
    </cfRule>
  </conditionalFormatting>
  <conditionalFormatting sqref="C37">
    <cfRule type="expression" dxfId="90" priority="11" stopIfTrue="1">
      <formula>NA()</formula>
    </cfRule>
    <cfRule type="expression" dxfId="89" priority="12" stopIfTrue="1">
      <formula>NA()</formula>
    </cfRule>
  </conditionalFormatting>
  <conditionalFormatting sqref="D38:F38">
    <cfRule type="expression" dxfId="88" priority="5" stopIfTrue="1">
      <formula>NA()</formula>
    </cfRule>
    <cfRule type="expression" dxfId="87" priority="6" stopIfTrue="1">
      <formula>NA()</formula>
    </cfRule>
  </conditionalFormatting>
  <conditionalFormatting sqref="C38">
    <cfRule type="expression" dxfId="86" priority="7" stopIfTrue="1">
      <formula>NA()</formula>
    </cfRule>
    <cfRule type="expression" dxfId="85" priority="8" stopIfTrue="1">
      <formula>NA()</formula>
    </cfRule>
  </conditionalFormatting>
  <conditionalFormatting sqref="J48">
    <cfRule type="cellIs" dxfId="84" priority="3" stopIfTrue="1" operator="lessThan">
      <formula>0</formula>
    </cfRule>
  </conditionalFormatting>
  <conditionalFormatting sqref="C19:H19">
    <cfRule type="notContainsBlanks" dxfId="83"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888" t="s">
        <v>8943</v>
      </c>
      <c r="AE1" s="2897"/>
      <c r="AF1" s="2905"/>
      <c r="AG1" s="2897"/>
      <c r="AH1" s="2897"/>
      <c r="AI1" s="2897"/>
      <c r="AJ1" s="2897"/>
      <c r="AK1" s="2897"/>
      <c r="AL1" s="2892"/>
      <c r="AM1" s="2892"/>
      <c r="AN1" s="2892"/>
      <c r="AO1" s="2892"/>
      <c r="AP1" s="2892"/>
      <c r="AQ1" s="1872"/>
      <c r="AR1" s="1872"/>
      <c r="AS1" s="1872"/>
      <c r="AT1" s="1872"/>
      <c r="AU1" s="1872"/>
      <c r="AV1" s="1872"/>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888"/>
      <c r="AE2" s="2897"/>
      <c r="AF2" s="2905"/>
      <c r="AG2" s="2897"/>
      <c r="AH2" s="2897"/>
      <c r="AI2" s="2906"/>
      <c r="AJ2" s="2897"/>
      <c r="AK2" s="2897"/>
      <c r="AL2" s="2892"/>
      <c r="AM2" s="2892"/>
      <c r="AN2" s="2892"/>
      <c r="AO2" s="2892"/>
      <c r="AP2" s="2892"/>
      <c r="AQ2" s="1872"/>
      <c r="AR2" s="1872"/>
      <c r="AS2" s="1872"/>
      <c r="AT2" s="1872"/>
      <c r="AU2" s="1872"/>
      <c r="AV2" s="1872"/>
    </row>
    <row r="3" spans="1:48" ht="12" customHeight="1" thickBot="1" x14ac:dyDescent="0.25">
      <c r="A3" s="10"/>
      <c r="B3" s="872"/>
      <c r="AB3" s="1875"/>
      <c r="AC3" s="1500"/>
      <c r="AD3" s="2888"/>
      <c r="AE3" s="2897"/>
      <c r="AF3" s="2905"/>
      <c r="AG3" s="2897"/>
      <c r="AH3" s="2897"/>
      <c r="AI3" s="2897"/>
      <c r="AJ3" s="2897"/>
      <c r="AK3" s="2897"/>
      <c r="AL3" s="2892"/>
      <c r="AM3" s="2892"/>
      <c r="AN3" s="2892"/>
      <c r="AO3" s="2892"/>
      <c r="AP3" s="2892"/>
      <c r="AQ3" s="1872"/>
      <c r="AR3" s="1872"/>
      <c r="AS3" s="1872"/>
      <c r="AT3" s="1872"/>
      <c r="AU3" s="1872"/>
      <c r="AV3" s="1872"/>
    </row>
    <row r="4" spans="1:48" ht="12" customHeight="1" x14ac:dyDescent="0.2">
      <c r="A4" s="10"/>
      <c r="B4" s="872"/>
      <c r="C4" s="2263"/>
      <c r="D4" s="2264"/>
      <c r="E4" s="2264"/>
      <c r="F4" s="2264"/>
      <c r="G4" s="2264"/>
      <c r="H4" s="2264"/>
      <c r="I4" s="554"/>
      <c r="J4" s="554"/>
      <c r="K4" s="554"/>
      <c r="L4" s="555"/>
      <c r="M4" s="556"/>
      <c r="O4" s="3859" t="s">
        <v>1491</v>
      </c>
      <c r="P4" s="3879" t="s">
        <v>1492</v>
      </c>
      <c r="Q4" s="3880"/>
      <c r="R4" s="3881"/>
      <c r="S4" s="1223" t="s">
        <v>1406</v>
      </c>
      <c r="T4" s="1224" t="s">
        <v>1368</v>
      </c>
      <c r="V4" s="3862" t="s">
        <v>8542</v>
      </c>
      <c r="W4" s="3863"/>
      <c r="X4" s="3863"/>
      <c r="Y4" s="3863"/>
      <c r="Z4" s="3863"/>
      <c r="AA4" s="3864"/>
      <c r="AB4" s="1876"/>
      <c r="AC4" s="1500"/>
      <c r="AD4" s="2888"/>
      <c r="AE4" s="2897"/>
      <c r="AF4" s="2905"/>
      <c r="AG4" s="2897"/>
      <c r="AH4" s="2897"/>
      <c r="AI4" s="2897"/>
      <c r="AJ4" s="2897"/>
      <c r="AK4" s="2897"/>
      <c r="AL4" s="2892"/>
      <c r="AM4" s="2892"/>
      <c r="AN4" s="2892"/>
      <c r="AO4" s="2892"/>
      <c r="AP4" s="2892"/>
      <c r="AQ4" s="1872"/>
      <c r="AR4" s="1872"/>
      <c r="AS4" s="1872"/>
      <c r="AT4" s="1872"/>
      <c r="AU4" s="1872"/>
      <c r="AV4" s="1872"/>
    </row>
    <row r="5" spans="1:48" ht="12" customHeight="1" thickBot="1" x14ac:dyDescent="0.25">
      <c r="A5" s="10"/>
      <c r="B5" s="872"/>
      <c r="C5" s="2265"/>
      <c r="D5" s="2266"/>
      <c r="E5" s="2266"/>
      <c r="F5" s="2266"/>
      <c r="G5" s="2266"/>
      <c r="H5" s="2266"/>
      <c r="I5" s="2270" t="s">
        <v>1326</v>
      </c>
      <c r="J5" s="3798" t="str">
        <f>IF(OR(General!$F$22="",General!$F$22=0),"",General!$F$22)</f>
        <v/>
      </c>
      <c r="K5" s="3798"/>
      <c r="L5" s="3798"/>
      <c r="M5" s="557"/>
      <c r="O5" s="3860"/>
      <c r="P5" s="3783"/>
      <c r="Q5" s="3784"/>
      <c r="R5" s="3785"/>
      <c r="S5" s="3886"/>
      <c r="T5" s="3884">
        <f>IF($S$5&gt;0,(500+100*$S$5),400)</f>
        <v>400</v>
      </c>
      <c r="V5" s="3865"/>
      <c r="W5" s="3866"/>
      <c r="X5" s="3866"/>
      <c r="Y5" s="3866"/>
      <c r="Z5" s="3866"/>
      <c r="AA5" s="3867"/>
      <c r="AB5" s="1877"/>
      <c r="AC5" s="1500"/>
      <c r="AD5" s="2888" t="s">
        <v>9834</v>
      </c>
      <c r="AE5" s="2897" t="s">
        <v>1406</v>
      </c>
      <c r="AF5" s="2888" t="s">
        <v>9852</v>
      </c>
      <c r="AG5" s="2897"/>
      <c r="AH5" s="2897"/>
      <c r="AI5" s="2897"/>
      <c r="AJ5" s="2897"/>
      <c r="AK5" s="2897"/>
      <c r="AL5" s="2892"/>
      <c r="AM5" s="2892"/>
      <c r="AN5" s="2892"/>
      <c r="AO5" s="2892"/>
      <c r="AP5" s="2892"/>
      <c r="AQ5" s="1872"/>
      <c r="AR5" s="1872"/>
      <c r="AS5" s="1872"/>
      <c r="AT5" s="1872"/>
      <c r="AU5" s="1872"/>
      <c r="AV5" s="1872"/>
    </row>
    <row r="6" spans="1:48" ht="12" customHeight="1" x14ac:dyDescent="0.2">
      <c r="A6" s="10"/>
      <c r="B6" s="872"/>
      <c r="C6" s="2265"/>
      <c r="D6" s="2266"/>
      <c r="E6" s="2266"/>
      <c r="F6" s="2266"/>
      <c r="G6" s="2266"/>
      <c r="H6" s="2266"/>
      <c r="I6" s="2271"/>
      <c r="J6" s="3798"/>
      <c r="K6" s="3798"/>
      <c r="L6" s="3798"/>
      <c r="M6" s="557"/>
      <c r="O6" s="3860"/>
      <c r="P6" s="3786"/>
      <c r="Q6" s="3787"/>
      <c r="R6" s="3788"/>
      <c r="S6" s="3887"/>
      <c r="T6" s="3885"/>
      <c r="V6" s="3868" t="s">
        <v>8539</v>
      </c>
      <c r="W6" s="3869"/>
      <c r="X6" s="3869"/>
      <c r="Y6" s="1220" t="s">
        <v>1493</v>
      </c>
      <c r="Z6" s="1221" t="s">
        <v>8540</v>
      </c>
      <c r="AA6" s="1222" t="s">
        <v>8541</v>
      </c>
      <c r="AB6" s="1875"/>
      <c r="AC6" s="1500"/>
      <c r="AD6" s="2888">
        <f>Categoría_1</f>
        <v>0</v>
      </c>
      <c r="AE6" s="2897">
        <f>S5</f>
        <v>0</v>
      </c>
      <c r="AF6" s="2897">
        <f>IF(Categoría_1="Novel",S5*5,0)</f>
        <v>0</v>
      </c>
      <c r="AG6" s="2888"/>
      <c r="AH6" s="2888"/>
      <c r="AI6" s="2897"/>
      <c r="AJ6" s="2897"/>
      <c r="AK6" s="2897"/>
      <c r="AL6" s="2892"/>
      <c r="AM6" s="2892"/>
      <c r="AN6" s="2892"/>
      <c r="AO6" s="2892"/>
      <c r="AP6" s="2892"/>
      <c r="AQ6" s="1872"/>
      <c r="AR6" s="1872"/>
      <c r="AS6" s="1872"/>
      <c r="AT6" s="1872"/>
      <c r="AU6" s="1872"/>
      <c r="AV6" s="1872"/>
    </row>
    <row r="7" spans="1:48" ht="12" customHeight="1" x14ac:dyDescent="0.2">
      <c r="A7" s="10"/>
      <c r="B7" s="872"/>
      <c r="C7" s="2265"/>
      <c r="D7" s="2266"/>
      <c r="E7" s="2266"/>
      <c r="F7" s="2266"/>
      <c r="G7" s="2266"/>
      <c r="H7" s="2266"/>
      <c r="I7" s="2271"/>
      <c r="J7" s="3798"/>
      <c r="K7" s="3798"/>
      <c r="L7" s="3798"/>
      <c r="M7" s="557"/>
      <c r="O7" s="3860"/>
      <c r="P7" s="3789"/>
      <c r="Q7" s="3790"/>
      <c r="R7" s="3791"/>
      <c r="S7" s="3777"/>
      <c r="T7" s="3781">
        <f>IF($S$7&gt;0,(100*$S$7)+IF(S5=0,100,0),0)</f>
        <v>0</v>
      </c>
      <c r="V7" s="3876" t="str">
        <f>IF(AND(Categoría_1&lt;&gt;"",Categoría_2&lt;&gt;""),Categoría_1&amp;" a "&amp;Categoría_2,"-")</f>
        <v>-</v>
      </c>
      <c r="W7" s="3751"/>
      <c r="X7" s="3751"/>
      <c r="Y7" s="385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70"/>
      <c r="AA7" s="3871"/>
      <c r="AB7" s="1875"/>
      <c r="AC7" s="1500"/>
      <c r="AD7" s="2888">
        <f>Categoría_2</f>
        <v>0</v>
      </c>
      <c r="AE7" s="2897">
        <f>S7</f>
        <v>0</v>
      </c>
      <c r="AF7" s="2897">
        <f>IF(Categoría_2="Novel",S7*5,0)</f>
        <v>0</v>
      </c>
      <c r="AG7" s="2888"/>
      <c r="AH7" s="2888"/>
      <c r="AI7" s="2897"/>
      <c r="AJ7" s="2897"/>
      <c r="AK7" s="2897"/>
      <c r="AL7" s="2892"/>
      <c r="AM7" s="2892"/>
      <c r="AN7" s="2892"/>
      <c r="AO7" s="2892"/>
      <c r="AP7" s="2892"/>
      <c r="AQ7" s="1872"/>
      <c r="AR7" s="1872"/>
      <c r="AS7" s="1872"/>
      <c r="AT7" s="1872"/>
      <c r="AU7" s="1872"/>
      <c r="AV7" s="1872"/>
    </row>
    <row r="8" spans="1:48" ht="12" customHeight="1" x14ac:dyDescent="0.2">
      <c r="A8" s="10"/>
      <c r="B8" s="872"/>
      <c r="C8" s="2265"/>
      <c r="D8" s="2266"/>
      <c r="E8" s="2266"/>
      <c r="F8" s="2266"/>
      <c r="G8" s="2266"/>
      <c r="H8" s="2266"/>
      <c r="I8" s="2462" t="s">
        <v>1327</v>
      </c>
      <c r="J8" s="3798" t="str">
        <f>IF(P13=0,IF(P11=0,IF(P9=0,IF(P7=0,IF(P5=0,"",P5),P7),P9),P11),P13)</f>
        <v/>
      </c>
      <c r="K8" s="3798"/>
      <c r="L8" s="3798"/>
      <c r="M8" s="557"/>
      <c r="O8" s="3860"/>
      <c r="P8" s="3789"/>
      <c r="Q8" s="3790"/>
      <c r="R8" s="3791"/>
      <c r="S8" s="3777"/>
      <c r="T8" s="3781"/>
      <c r="V8" s="3876"/>
      <c r="W8" s="3751"/>
      <c r="X8" s="3751"/>
      <c r="Y8" s="3852"/>
      <c r="Z8" s="3870"/>
      <c r="AA8" s="3871"/>
      <c r="AB8" s="1875"/>
      <c r="AC8" s="1500"/>
      <c r="AD8" s="2888">
        <f>Categoría_3</f>
        <v>0</v>
      </c>
      <c r="AE8" s="2897">
        <f>S9</f>
        <v>0</v>
      </c>
      <c r="AF8" s="2897">
        <f>IF(Categoría_3="Novel",S9*5,0)</f>
        <v>0</v>
      </c>
      <c r="AG8" s="2897"/>
      <c r="AH8" s="2897"/>
      <c r="AI8" s="2897"/>
      <c r="AJ8" s="2897"/>
      <c r="AK8" s="2897"/>
      <c r="AL8" s="2892"/>
      <c r="AM8" s="2892"/>
      <c r="AN8" s="2892"/>
      <c r="AO8" s="2892"/>
      <c r="AP8" s="2892"/>
      <c r="AQ8" s="1872"/>
      <c r="AR8" s="1872"/>
      <c r="AS8" s="1872"/>
      <c r="AT8" s="1872"/>
      <c r="AU8" s="1872"/>
      <c r="AV8" s="1872"/>
    </row>
    <row r="9" spans="1:48" ht="12" customHeight="1" x14ac:dyDescent="0.2">
      <c r="A9" s="10"/>
      <c r="B9" s="872"/>
      <c r="C9" s="2265"/>
      <c r="D9" s="2266"/>
      <c r="E9" s="2266"/>
      <c r="F9" s="2266"/>
      <c r="G9" s="2266"/>
      <c r="H9" s="2266"/>
      <c r="I9" s="1012"/>
      <c r="J9" s="1012"/>
      <c r="K9" s="2272"/>
      <c r="L9" s="2272"/>
      <c r="M9" s="1219"/>
      <c r="O9" s="3860"/>
      <c r="P9" s="3786"/>
      <c r="Q9" s="3787"/>
      <c r="R9" s="3788"/>
      <c r="S9" s="3775"/>
      <c r="T9" s="3782">
        <f>IF($S$9&gt;0,(100*$S$9),0)</f>
        <v>0</v>
      </c>
      <c r="V9" s="3882" t="str">
        <f>IF(AND(Categoría_2&lt;&gt;"",Categoría_3&lt;&gt;""),Categoría_2&amp;" a "&amp;Categoría_3,"-")</f>
        <v>-</v>
      </c>
      <c r="W9" s="3883"/>
      <c r="X9" s="3883"/>
      <c r="Y9" s="385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72"/>
      <c r="AA9" s="3873"/>
      <c r="AB9" s="1875"/>
      <c r="AC9" s="1500"/>
      <c r="AD9" s="2888">
        <f>Categoría_4</f>
        <v>0</v>
      </c>
      <c r="AE9" s="2897">
        <f>S11</f>
        <v>0</v>
      </c>
      <c r="AF9" s="2897">
        <f>IF(Categoría_4="Novel",S11*5,0)</f>
        <v>0</v>
      </c>
      <c r="AG9" s="2897"/>
      <c r="AH9" s="2897"/>
      <c r="AI9" s="2897"/>
      <c r="AJ9" s="2897"/>
      <c r="AK9" s="2897"/>
      <c r="AL9" s="2892"/>
      <c r="AM9" s="2892"/>
      <c r="AN9" s="2892"/>
      <c r="AO9" s="2892"/>
      <c r="AP9" s="2892"/>
      <c r="AQ9" s="1872"/>
      <c r="AR9" s="1872"/>
      <c r="AS9" s="1872"/>
      <c r="AT9" s="1872"/>
      <c r="AU9" s="1872"/>
      <c r="AV9" s="1872"/>
    </row>
    <row r="10" spans="1:48" ht="12" customHeight="1" x14ac:dyDescent="0.2">
      <c r="A10" s="10"/>
      <c r="B10" s="872"/>
      <c r="C10" s="2265"/>
      <c r="D10" s="2266"/>
      <c r="E10" s="2266"/>
      <c r="F10" s="2266"/>
      <c r="G10" s="2266"/>
      <c r="H10" s="2266"/>
      <c r="I10" s="2462" t="s">
        <v>1366</v>
      </c>
      <c r="J10" s="3969" t="str">
        <f>Principal!K7</f>
        <v xml:space="preserve">Natural </v>
      </c>
      <c r="K10" s="3969"/>
      <c r="L10" s="3969"/>
      <c r="M10" s="1219"/>
      <c r="O10" s="3860"/>
      <c r="P10" s="3786"/>
      <c r="Q10" s="3787"/>
      <c r="R10" s="3788"/>
      <c r="S10" s="3775"/>
      <c r="T10" s="3782"/>
      <c r="V10" s="3882"/>
      <c r="W10" s="3883"/>
      <c r="X10" s="3883"/>
      <c r="Y10" s="3853"/>
      <c r="Z10" s="3872"/>
      <c r="AA10" s="3873"/>
      <c r="AB10" s="1875"/>
      <c r="AC10" s="1500"/>
      <c r="AD10" s="2888">
        <f>Categoría_5</f>
        <v>0</v>
      </c>
      <c r="AE10" s="2897">
        <f>S13</f>
        <v>0</v>
      </c>
      <c r="AF10" s="2897">
        <f>IF(Categoría_5="Novel",S13*5,0)</f>
        <v>0</v>
      </c>
      <c r="AG10" s="2897"/>
      <c r="AH10" s="2897"/>
      <c r="AI10" s="2897"/>
      <c r="AJ10" s="2897"/>
      <c r="AK10" s="2897"/>
      <c r="AL10" s="2892"/>
      <c r="AM10" s="2892"/>
      <c r="AN10" s="2892"/>
      <c r="AO10" s="2892"/>
      <c r="AP10" s="2892"/>
      <c r="AQ10" s="1872"/>
      <c r="AR10" s="1872"/>
      <c r="AS10" s="1872"/>
      <c r="AT10" s="1872"/>
      <c r="AU10" s="1872"/>
      <c r="AV10" s="1872"/>
    </row>
    <row r="11" spans="1:48" ht="12" customHeight="1" x14ac:dyDescent="0.2">
      <c r="A11" s="10"/>
      <c r="B11" s="872"/>
      <c r="C11" s="2265"/>
      <c r="D11" s="2266"/>
      <c r="E11" s="2266"/>
      <c r="F11" s="2266"/>
      <c r="G11" s="2266"/>
      <c r="H11" s="2266"/>
      <c r="I11" s="1012"/>
      <c r="J11" s="3969"/>
      <c r="K11" s="3969"/>
      <c r="L11" s="3969"/>
      <c r="M11" s="1219"/>
      <c r="O11" s="3860"/>
      <c r="P11" s="3789"/>
      <c r="Q11" s="3790"/>
      <c r="R11" s="3791"/>
      <c r="S11" s="3797"/>
      <c r="T11" s="3877">
        <f>IF($S$11&gt;0,(100*$S$11),0)</f>
        <v>0</v>
      </c>
      <c r="V11" s="3876" t="str">
        <f>IF(AND(Categoría_3&lt;&gt;"",Categoría_4&lt;&gt;""),Categoría_3&amp;" a "&amp;Categoría_4,"-")</f>
        <v>-</v>
      </c>
      <c r="W11" s="3751"/>
      <c r="X11" s="3751"/>
      <c r="Y11" s="385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70"/>
      <c r="AA11" s="3871"/>
      <c r="AB11" s="1875"/>
      <c r="AC11" s="1500"/>
      <c r="AD11" s="2888"/>
      <c r="AE11" s="2897"/>
      <c r="AF11" s="2905"/>
      <c r="AG11" s="2897"/>
      <c r="AH11" s="2897"/>
      <c r="AI11" s="2897"/>
      <c r="AJ11" s="2897"/>
      <c r="AK11" s="2897"/>
      <c r="AL11" s="2892"/>
      <c r="AM11" s="2892"/>
      <c r="AN11" s="2892"/>
      <c r="AO11" s="2892"/>
      <c r="AP11" s="2892"/>
      <c r="AQ11" s="1872"/>
      <c r="AR11" s="1872"/>
      <c r="AS11" s="1872"/>
      <c r="AT11" s="1872"/>
      <c r="AU11" s="1872"/>
      <c r="AV11" s="1872"/>
    </row>
    <row r="12" spans="1:48" ht="12" customHeight="1" x14ac:dyDescent="0.2">
      <c r="A12" s="10"/>
      <c r="B12" s="872"/>
      <c r="C12" s="2265"/>
      <c r="D12" s="2266"/>
      <c r="E12" s="2266"/>
      <c r="F12" s="2266"/>
      <c r="G12" s="2266"/>
      <c r="H12" s="2266"/>
      <c r="I12" s="2462" t="s">
        <v>1328</v>
      </c>
      <c r="J12" s="2375" t="str">
        <f>Principal!$O$6</f>
        <v>0</v>
      </c>
      <c r="K12" s="1012"/>
      <c r="L12" s="1012"/>
      <c r="M12" s="2268"/>
      <c r="O12" s="3860"/>
      <c r="P12" s="3789"/>
      <c r="Q12" s="3790"/>
      <c r="R12" s="3791"/>
      <c r="S12" s="3797"/>
      <c r="T12" s="3877"/>
      <c r="V12" s="3876"/>
      <c r="W12" s="3751"/>
      <c r="X12" s="3751"/>
      <c r="Y12" s="3852"/>
      <c r="Z12" s="3870"/>
      <c r="AA12" s="3871"/>
      <c r="AB12" s="1875"/>
      <c r="AC12" s="1500"/>
      <c r="AD12" s="2888"/>
      <c r="AE12" s="2897"/>
      <c r="AF12" s="2905"/>
      <c r="AG12" s="2897"/>
      <c r="AH12" s="2897"/>
      <c r="AI12" s="2897"/>
      <c r="AJ12" s="2897"/>
      <c r="AK12" s="2897"/>
      <c r="AL12" s="2892"/>
      <c r="AM12" s="2892"/>
      <c r="AN12" s="2892"/>
      <c r="AO12" s="2892"/>
      <c r="AP12" s="2892"/>
      <c r="AQ12" s="1872"/>
      <c r="AR12" s="1872"/>
      <c r="AS12" s="1872"/>
      <c r="AT12" s="1872"/>
      <c r="AU12" s="1872"/>
      <c r="AV12" s="1872"/>
    </row>
    <row r="13" spans="1:48" ht="12" customHeight="1" x14ac:dyDescent="0.2">
      <c r="A13" s="10"/>
      <c r="B13" s="872"/>
      <c r="C13" s="2269"/>
      <c r="D13" s="748"/>
      <c r="E13" s="748"/>
      <c r="F13" s="748"/>
      <c r="G13" s="748"/>
      <c r="H13" s="748"/>
      <c r="I13" s="1012"/>
      <c r="J13" s="1012"/>
      <c r="K13" s="1012"/>
      <c r="L13" s="1012"/>
      <c r="M13" s="2268"/>
      <c r="O13" s="3860"/>
      <c r="P13" s="3786"/>
      <c r="Q13" s="3787"/>
      <c r="R13" s="3788"/>
      <c r="S13" s="3775"/>
      <c r="T13" s="3782">
        <f>IF($S$13&gt;0,(100*$S$13),0)</f>
        <v>0</v>
      </c>
      <c r="V13" s="3882" t="str">
        <f>IF(AND(Categoría_4&lt;&gt;"",Categoría_5&lt;&gt;""),Categoría_4&amp;" a "&amp;Categoría_5,"-")</f>
        <v>-</v>
      </c>
      <c r="W13" s="3883"/>
      <c r="X13" s="3883"/>
      <c r="Y13" s="385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72"/>
      <c r="AA13" s="3873"/>
      <c r="AB13" s="1878" t="str">
        <f>IF(Principal!AD18=0,"",VLOOKUP(Principal!AD18,Tabla_HabEsenciales,5,FALSE))</f>
        <v/>
      </c>
      <c r="AC13" s="1500"/>
      <c r="AD13" s="2888"/>
      <c r="AE13" s="2897"/>
      <c r="AF13" s="2905"/>
      <c r="AG13" s="2897"/>
      <c r="AH13" s="2897"/>
      <c r="AI13" s="2897"/>
      <c r="AJ13" s="2897"/>
      <c r="AK13" s="2897"/>
      <c r="AL13" s="2892"/>
      <c r="AM13" s="2892"/>
      <c r="AN13" s="2892"/>
      <c r="AO13" s="2892"/>
      <c r="AP13" s="2892"/>
      <c r="AQ13" s="1872"/>
      <c r="AR13" s="1872"/>
      <c r="AS13" s="1872"/>
      <c r="AT13" s="1872"/>
      <c r="AU13" s="1872"/>
      <c r="AV13" s="1872"/>
    </row>
    <row r="14" spans="1:48" ht="12" customHeight="1" thickBot="1" x14ac:dyDescent="0.25">
      <c r="A14" s="10"/>
      <c r="B14" s="872"/>
      <c r="C14" s="3961" t="s">
        <v>1494</v>
      </c>
      <c r="D14" s="3962"/>
      <c r="E14" s="3962"/>
      <c r="F14" s="3962"/>
      <c r="G14" s="3962"/>
      <c r="H14" s="3962"/>
      <c r="I14" s="3962"/>
      <c r="J14" s="3962"/>
      <c r="K14" s="3962"/>
      <c r="L14" s="3962"/>
      <c r="M14" s="3963"/>
      <c r="O14" s="3860"/>
      <c r="P14" s="3792"/>
      <c r="Q14" s="3793"/>
      <c r="R14" s="3794"/>
      <c r="S14" s="3776"/>
      <c r="T14" s="3878"/>
      <c r="V14" s="3890"/>
      <c r="W14" s="3891"/>
      <c r="X14" s="3891"/>
      <c r="Y14" s="3856"/>
      <c r="Z14" s="3874"/>
      <c r="AA14" s="3875"/>
      <c r="AB14" s="1878" t="str">
        <f>IF(Principal!AD19=0,"",VLOOKUP(Principal!AD19,Tabla_HabEsenciales,5,FALSE))</f>
        <v/>
      </c>
      <c r="AC14" s="899"/>
      <c r="AD14" s="2888"/>
      <c r="AE14" s="2897"/>
      <c r="AF14" s="2905"/>
      <c r="AG14" s="2897"/>
      <c r="AH14" s="2897"/>
      <c r="AI14" s="2897"/>
      <c r="AJ14" s="2897"/>
      <c r="AK14" s="2897"/>
      <c r="AL14" s="2892"/>
      <c r="AM14" s="2892"/>
      <c r="AN14" s="2892"/>
      <c r="AO14" s="2892"/>
      <c r="AP14" s="2892"/>
      <c r="AQ14" s="1872"/>
      <c r="AR14" s="1872"/>
      <c r="AS14" s="1872"/>
      <c r="AT14" s="1872"/>
      <c r="AU14" s="1872"/>
      <c r="AV14" s="1872"/>
    </row>
    <row r="15" spans="1:48" ht="12" customHeight="1" thickBot="1" x14ac:dyDescent="0.25">
      <c r="A15" s="10"/>
      <c r="B15" s="872"/>
      <c r="C15" s="3964"/>
      <c r="D15" s="3182"/>
      <c r="E15" s="3182"/>
      <c r="F15" s="3182"/>
      <c r="G15" s="3182"/>
      <c r="H15" s="3182"/>
      <c r="I15" s="3182"/>
      <c r="J15" s="3182"/>
      <c r="K15" s="3182"/>
      <c r="L15" s="3182"/>
      <c r="M15" s="3965"/>
      <c r="O15" s="3860"/>
      <c r="P15" s="3778" t="s">
        <v>1495</v>
      </c>
      <c r="Q15" s="3779"/>
      <c r="R15" s="3854">
        <f>SUM(S5:S14)</f>
        <v>0</v>
      </c>
      <c r="S15" s="3857" t="s">
        <v>1380</v>
      </c>
      <c r="T15" s="3795">
        <f>SUM(T5:T14)</f>
        <v>400</v>
      </c>
      <c r="V15" s="274"/>
      <c r="W15" s="230"/>
      <c r="X15" s="274"/>
      <c r="Y15" s="274"/>
      <c r="Z15" s="230"/>
      <c r="AA15" s="274"/>
      <c r="AB15" s="1878" t="str">
        <f>IF(Principal!AD20=0,"",VLOOKUP(Principal!AD20,Tabla_HabEsenciales,5,FALSE))</f>
        <v/>
      </c>
      <c r="AC15" s="899"/>
      <c r="AD15" s="2888"/>
      <c r="AE15" s="2897"/>
      <c r="AF15" s="2905"/>
      <c r="AG15" s="2897"/>
      <c r="AH15" s="2897"/>
      <c r="AI15" s="2897"/>
      <c r="AJ15" s="2897"/>
      <c r="AK15" s="2897"/>
      <c r="AL15" s="2892"/>
      <c r="AM15" s="2892"/>
      <c r="AN15" s="2892"/>
      <c r="AO15" s="2892"/>
      <c r="AP15" s="2892"/>
      <c r="AQ15" s="1872"/>
      <c r="AR15" s="1872"/>
      <c r="AS15" s="1872"/>
      <c r="AT15" s="1872"/>
      <c r="AU15" s="1872"/>
      <c r="AV15" s="1872"/>
    </row>
    <row r="16" spans="1:48" ht="12" customHeight="1" thickBot="1" x14ac:dyDescent="0.25">
      <c r="A16" s="10"/>
      <c r="B16" s="872"/>
      <c r="C16" s="3966"/>
      <c r="D16" s="3967"/>
      <c r="E16" s="3967"/>
      <c r="F16" s="3967"/>
      <c r="G16" s="3967"/>
      <c r="H16" s="3967"/>
      <c r="I16" s="3967"/>
      <c r="J16" s="3967"/>
      <c r="K16" s="3967"/>
      <c r="L16" s="3967"/>
      <c r="M16" s="3968"/>
      <c r="O16" s="3861"/>
      <c r="P16" s="3780"/>
      <c r="Q16" s="3384"/>
      <c r="R16" s="3855"/>
      <c r="S16" s="3858"/>
      <c r="T16" s="3796"/>
      <c r="V16" s="1231"/>
      <c r="W16" s="3923" t="s">
        <v>8548</v>
      </c>
      <c r="X16" s="3924"/>
      <c r="Y16" s="3924"/>
      <c r="Z16" s="3925"/>
      <c r="AA16" s="1228">
        <f>MAX(Principal!AJ10+Principal!AJ40-Principal!$AB$27,0)</f>
        <v>0</v>
      </c>
      <c r="AB16" s="1878" t="str">
        <f>IF(Principal!AD21=0,"",VLOOKUP(Principal!AD21,Tabla_HabEsenciales,5,FALSE))</f>
        <v/>
      </c>
      <c r="AC16" s="899"/>
      <c r="AD16" s="2888"/>
      <c r="AE16" s="2897"/>
      <c r="AF16" s="2905"/>
      <c r="AG16" s="2897"/>
      <c r="AH16" s="2897"/>
      <c r="AI16" s="2897"/>
      <c r="AJ16" s="2897"/>
      <c r="AK16" s="2897"/>
      <c r="AL16" s="2892"/>
      <c r="AM16" s="2892"/>
      <c r="AN16" s="2892"/>
      <c r="AO16" s="2892"/>
      <c r="AP16" s="2892"/>
      <c r="AQ16" s="1872"/>
      <c r="AR16" s="1872"/>
      <c r="AS16" s="1872"/>
      <c r="AT16" s="1872"/>
      <c r="AU16" s="1872"/>
      <c r="AV16" s="1872"/>
    </row>
    <row r="17" spans="1:48" ht="12" customHeight="1" x14ac:dyDescent="0.2">
      <c r="A17" s="10"/>
      <c r="B17" s="872"/>
      <c r="V17" s="614"/>
      <c r="W17" s="1225" t="s">
        <v>8543</v>
      </c>
      <c r="X17" s="1226" t="s">
        <v>8544</v>
      </c>
      <c r="Y17" s="1226" t="s">
        <v>8545</v>
      </c>
      <c r="Z17" s="1226" t="s">
        <v>8546</v>
      </c>
      <c r="AA17" s="1227" t="s">
        <v>8547</v>
      </c>
      <c r="AB17" s="1878" t="str">
        <f>IF(Principal!AD22=0,"",VLOOKUP(Principal!AD22,Tabla_HabEsenciales,5,FALSE))</f>
        <v/>
      </c>
      <c r="AC17" s="899"/>
      <c r="AD17" s="2888"/>
      <c r="AE17" s="2897"/>
      <c r="AF17" s="2905"/>
      <c r="AG17" s="2897"/>
      <c r="AH17" s="2897"/>
      <c r="AI17" s="2897"/>
      <c r="AJ17" s="2897"/>
      <c r="AK17" s="2897"/>
      <c r="AL17" s="2892"/>
      <c r="AM17" s="2892"/>
      <c r="AN17" s="2892"/>
      <c r="AO17" s="2892"/>
      <c r="AP17" s="2892"/>
      <c r="AQ17" s="1872"/>
      <c r="AR17" s="1872"/>
      <c r="AS17" s="1872"/>
      <c r="AT17" s="1872"/>
      <c r="AU17" s="1872"/>
      <c r="AV17" s="1872"/>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888"/>
      <c r="AE18" s="2888"/>
      <c r="AF18" s="2888"/>
      <c r="AG18" s="2888"/>
      <c r="AH18" s="2888"/>
      <c r="AI18" s="2888"/>
      <c r="AJ18" s="2897"/>
      <c r="AK18" s="2897"/>
      <c r="AL18" s="2892"/>
      <c r="AM18" s="2892"/>
      <c r="AN18" s="2892"/>
      <c r="AO18" s="2892"/>
      <c r="AP18" s="2892"/>
      <c r="AQ18" s="1872"/>
      <c r="AR18" s="1872"/>
      <c r="AS18" s="1872"/>
      <c r="AT18" s="1872"/>
      <c r="AU18" s="1872"/>
      <c r="AV18" s="1872"/>
    </row>
    <row r="19" spans="1:48" ht="12" customHeight="1" x14ac:dyDescent="0.2">
      <c r="A19" s="10"/>
      <c r="B19" s="872"/>
      <c r="L19" s="3686" t="str">
        <f>IF(Categoría_1=0,"",Categoría_1)</f>
        <v/>
      </c>
      <c r="M19" s="3687"/>
      <c r="N19" s="3716" t="str">
        <f>IF(Categoría_2=0,"",Categoría_2)</f>
        <v/>
      </c>
      <c r="O19" s="3687"/>
      <c r="P19" s="3716" t="str">
        <f>IF(Categoría_3=0,"",Categoría_3)</f>
        <v/>
      </c>
      <c r="Q19" s="3687"/>
      <c r="R19" s="3716" t="str">
        <f>IF(Categoría_4=0,"",Categoría_4)</f>
        <v/>
      </c>
      <c r="S19" s="3687"/>
      <c r="T19" s="3716" t="str">
        <f>IF(Categoría_5=0,"",Categoría_5)</f>
        <v/>
      </c>
      <c r="U19" s="3717"/>
      <c r="AB19" s="1875"/>
      <c r="AC19" s="1502"/>
      <c r="AD19" s="2888"/>
      <c r="AE19" s="2897"/>
      <c r="AF19" s="2905"/>
      <c r="AG19" s="2897"/>
      <c r="AH19" s="2897"/>
      <c r="AI19" s="2897"/>
      <c r="AJ19" s="2897"/>
      <c r="AK19" s="2897"/>
      <c r="AL19" s="2892"/>
      <c r="AM19" s="2892"/>
      <c r="AN19" s="2892"/>
      <c r="AO19" s="2892"/>
      <c r="AP19" s="2892"/>
      <c r="AQ19" s="1872"/>
      <c r="AR19" s="1872"/>
      <c r="AS19" s="1872"/>
      <c r="AT19" s="1872"/>
      <c r="AU19" s="1872"/>
      <c r="AV19" s="1872"/>
    </row>
    <row r="20" spans="1:48" ht="12" customHeight="1" thickBot="1" x14ac:dyDescent="0.25">
      <c r="A20" s="10"/>
      <c r="B20" s="872"/>
      <c r="L20" s="3926"/>
      <c r="M20" s="3889"/>
      <c r="N20" s="3888"/>
      <c r="O20" s="3889"/>
      <c r="P20" s="3888"/>
      <c r="Q20" s="3889"/>
      <c r="R20" s="3888"/>
      <c r="S20" s="3889"/>
      <c r="T20" s="3888"/>
      <c r="U20" s="3940"/>
      <c r="AB20" s="1875"/>
      <c r="AC20" s="899"/>
      <c r="AD20" s="2888"/>
      <c r="AE20" s="2897"/>
      <c r="AF20" s="2905"/>
      <c r="AG20" s="2897"/>
      <c r="AH20" s="2897"/>
      <c r="AI20" s="2897"/>
      <c r="AJ20" s="2897"/>
      <c r="AK20" s="2897"/>
      <c r="AL20" s="2892"/>
      <c r="AM20" s="2892"/>
      <c r="AN20" s="2892"/>
      <c r="AO20" s="2892"/>
      <c r="AP20" s="2892"/>
      <c r="AQ20" s="1872"/>
      <c r="AR20" s="1872"/>
      <c r="AS20" s="1872"/>
      <c r="AT20" s="1872"/>
      <c r="AU20" s="1872"/>
      <c r="AV20" s="1872"/>
    </row>
    <row r="21" spans="1:48" ht="12" customHeight="1" thickBot="1" x14ac:dyDescent="0.25">
      <c r="A21" s="10"/>
      <c r="B21" s="872"/>
      <c r="C21" s="3821" t="s">
        <v>1397</v>
      </c>
      <c r="D21" s="558" t="s">
        <v>1402</v>
      </c>
      <c r="E21" s="3970" t="s">
        <v>1378</v>
      </c>
      <c r="F21" s="3971"/>
      <c r="G21" s="3971"/>
      <c r="H21" s="3971"/>
      <c r="I21" s="3971"/>
      <c r="J21" s="3971"/>
      <c r="K21" s="3972"/>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43" t="s">
        <v>1492</v>
      </c>
      <c r="Y21" s="3743"/>
      <c r="Z21" s="559" t="s">
        <v>1421</v>
      </c>
      <c r="AA21" s="561" t="s">
        <v>1352</v>
      </c>
      <c r="AB21" s="1875"/>
      <c r="AC21" s="899"/>
      <c r="AD21" s="2888"/>
      <c r="AE21" s="2888"/>
      <c r="AF21" s="2905"/>
      <c r="AG21" s="2897"/>
      <c r="AH21" s="2897"/>
      <c r="AI21" s="2897"/>
      <c r="AJ21" s="2897"/>
      <c r="AK21" s="2897"/>
      <c r="AL21" s="2892"/>
      <c r="AM21" s="2892"/>
      <c r="AN21" s="2892"/>
      <c r="AO21" s="2892"/>
      <c r="AP21" s="2892"/>
      <c r="AQ21" s="1872"/>
      <c r="AR21" s="1872"/>
      <c r="AS21" s="1872"/>
      <c r="AT21" s="1872"/>
      <c r="AU21" s="1872"/>
      <c r="AV21" s="1872"/>
    </row>
    <row r="22" spans="1:48" ht="12" customHeight="1" x14ac:dyDescent="0.2">
      <c r="A22" s="10"/>
      <c r="B22" s="872"/>
      <c r="C22" s="3660"/>
      <c r="D22" s="3822" t="s">
        <v>1368</v>
      </c>
      <c r="E22" s="3973" t="s">
        <v>1496</v>
      </c>
      <c r="F22" s="3323"/>
      <c r="G22" s="3323"/>
      <c r="H22" s="3323"/>
      <c r="I22" s="3323"/>
      <c r="J22" s="3323"/>
      <c r="K22" s="3974"/>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67">
        <f>MIN(50,HLOOKUP($E22,Bonos_Cat_Base,2,FALSE)+5*Nivel_Total*Tablas!$G$365)</f>
        <v>0</v>
      </c>
      <c r="Y22" s="3167"/>
      <c r="Z22" s="2411"/>
      <c r="AA22" s="566">
        <f>Z22+X22+V22+W22+Mod_ATA+Mod_Fisico</f>
        <v>0</v>
      </c>
      <c r="AB22" s="1875"/>
      <c r="AC22" s="899"/>
      <c r="AD22" s="2888" t="s">
        <v>7406</v>
      </c>
      <c r="AE22" s="2897"/>
      <c r="AF22" s="2905"/>
      <c r="AG22" s="2897"/>
      <c r="AH22" s="2897"/>
      <c r="AI22" s="2897"/>
      <c r="AJ22" s="2897"/>
      <c r="AK22" s="2897"/>
      <c r="AL22" s="2892"/>
      <c r="AM22" s="2892"/>
      <c r="AN22" s="2892"/>
      <c r="AO22" s="2892"/>
      <c r="AP22" s="2892"/>
      <c r="AQ22" s="1872"/>
      <c r="AR22" s="1872"/>
      <c r="AS22" s="1872"/>
      <c r="AT22" s="1872"/>
      <c r="AU22" s="1872"/>
      <c r="AV22" s="1872"/>
    </row>
    <row r="23" spans="1:48" ht="12" customHeight="1" x14ac:dyDescent="0.2">
      <c r="A23" s="10"/>
      <c r="B23" s="872"/>
      <c r="C23" s="3660"/>
      <c r="D23" s="3756"/>
      <c r="E23" s="3737" t="s">
        <v>1497</v>
      </c>
      <c r="F23" s="3738"/>
      <c r="G23" s="3738"/>
      <c r="H23" s="3738"/>
      <c r="I23" s="3738"/>
      <c r="J23" s="3738"/>
      <c r="K23" s="3739"/>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751">
        <f>MIN(50,HLOOKUP($E23,Bonos_Cat_Base,2,FALSE)+5*Nivel_Total*Tablas!$G$366)</f>
        <v>0</v>
      </c>
      <c r="Y23" s="3751"/>
      <c r="Z23" s="2412"/>
      <c r="AA23" s="567">
        <f>W23+X23+V23+Z23+Mod_ATA+Mod_Fisico</f>
        <v>0</v>
      </c>
      <c r="AB23" s="1875"/>
      <c r="AC23" s="899"/>
      <c r="AD23" s="2888">
        <f>MAX(HP_final,HE_final)</f>
        <v>0</v>
      </c>
      <c r="AE23" s="2897"/>
      <c r="AF23" s="2905"/>
      <c r="AG23" s="2897"/>
      <c r="AH23" s="2897"/>
      <c r="AI23" s="2897"/>
      <c r="AJ23" s="2897"/>
      <c r="AK23" s="2897"/>
      <c r="AL23" s="2892"/>
      <c r="AM23" s="2892"/>
      <c r="AN23" s="2892"/>
      <c r="AO23" s="2892"/>
      <c r="AP23" s="2892"/>
      <c r="AQ23" s="1872"/>
      <c r="AR23" s="1872"/>
      <c r="AS23" s="1872"/>
      <c r="AT23" s="1872"/>
      <c r="AU23" s="1872"/>
      <c r="AV23" s="1872"/>
    </row>
    <row r="24" spans="1:48" ht="12" customHeight="1" x14ac:dyDescent="0.2">
      <c r="A24" s="10"/>
      <c r="B24" s="872"/>
      <c r="C24" s="3660"/>
      <c r="D24" s="3756"/>
      <c r="E24" s="3805" t="s">
        <v>1498</v>
      </c>
      <c r="F24" s="3272"/>
      <c r="G24" s="3272"/>
      <c r="H24" s="3272"/>
      <c r="I24" s="3272"/>
      <c r="J24" s="3272"/>
      <c r="K24" s="3806"/>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586">
        <f>MIN(50,HLOOKUP($E24,Bonos_Cat_Base,2,FALSE)+5*Nivel_Total*Tablas!$G$367)</f>
        <v>0</v>
      </c>
      <c r="Y24" s="3586"/>
      <c r="Z24" s="2413"/>
      <c r="AA24" s="568">
        <f>V24+W24+X24+Z24+Mod_ATA+Mod_Fisico</f>
        <v>0</v>
      </c>
      <c r="AB24" s="1875"/>
      <c r="AC24" s="899"/>
      <c r="AD24" s="2888"/>
      <c r="AE24" s="2897"/>
      <c r="AF24" s="2905"/>
      <c r="AG24" s="2897"/>
      <c r="AH24" s="2897"/>
      <c r="AI24" s="2897"/>
      <c r="AJ24" s="2897"/>
      <c r="AK24" s="2897"/>
      <c r="AL24" s="2892"/>
      <c r="AM24" s="2892"/>
      <c r="AN24" s="2892"/>
      <c r="AO24" s="2892"/>
      <c r="AP24" s="2892"/>
      <c r="AQ24" s="1872"/>
      <c r="AR24" s="1872"/>
      <c r="AS24" s="1872"/>
      <c r="AT24" s="1872"/>
      <c r="AU24" s="1872"/>
      <c r="AV24" s="1872"/>
    </row>
    <row r="25" spans="1:48" ht="12" customHeight="1" x14ac:dyDescent="0.2">
      <c r="A25" s="10"/>
      <c r="B25" s="872"/>
      <c r="C25" s="3660"/>
      <c r="D25" s="3756"/>
      <c r="E25" s="3737" t="s">
        <v>1499</v>
      </c>
      <c r="F25" s="3738"/>
      <c r="G25" s="3738"/>
      <c r="H25" s="3738"/>
      <c r="I25" s="3738"/>
      <c r="J25" s="3738"/>
      <c r="K25" s="3739"/>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898">
        <f>HLOOKUP($E25,Bonos_Cat_Base,2,FALSE)</f>
        <v>0</v>
      </c>
      <c r="Y25" s="3898">
        <f>HLOOKUP($E25,Bonos_Cat_Base,2,FALSE)</f>
        <v>0</v>
      </c>
      <c r="Z25" s="2412"/>
      <c r="AA25" s="569">
        <f>V25+W25+X25+Z25</f>
        <v>0</v>
      </c>
      <c r="AB25" s="1875"/>
      <c r="AC25" s="899"/>
      <c r="AD25" s="2888"/>
      <c r="AE25" s="2897"/>
      <c r="AF25" s="2905"/>
      <c r="AG25" s="2897"/>
      <c r="AH25" s="2897"/>
      <c r="AI25" s="2897"/>
      <c r="AJ25" s="2897"/>
      <c r="AK25" s="2897"/>
      <c r="AL25" s="2892"/>
      <c r="AM25" s="2892"/>
      <c r="AN25" s="2892"/>
      <c r="AO25" s="2892"/>
      <c r="AP25" s="2892"/>
      <c r="AQ25" s="1872"/>
      <c r="AR25" s="1872"/>
      <c r="AS25" s="1872"/>
      <c r="AT25" s="1872"/>
      <c r="AU25" s="1872"/>
      <c r="AV25" s="1872"/>
    </row>
    <row r="26" spans="1:48" ht="12" customHeight="1" x14ac:dyDescent="0.2">
      <c r="A26" s="10"/>
      <c r="B26" s="872"/>
      <c r="C26" s="3660"/>
      <c r="D26" s="3823"/>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excesivo",IF(OR(HA_SinArmas_final-Tablas!O917&gt;50+HD_SinArmas_final-Tablas!P917,HD_SinArmas_final-IF(Combate!K21="Par",VLOOKUP(Combate!$C$21,Tabla_ArmaDistinta,2),0)-Tablas!P917&gt;50+HA_SinArmas_final-VLOOKUP(Combate!$C$21,Tabla_ArmaDistinta,2)-Tablas!O917),"Desequilibrio Ataque/Defensa excesivo por bonos de Artes Marciales",""))))</f>
        <v/>
      </c>
      <c r="AA26" s="570" t="str">
        <f>IF((M22+M23+M24+O22+O23+O24+Q22+Q23+Q24+S22+S23+S24+U22+U23+U24)&gt;(($T$5+$T$7+$T$9+$T$11+$T$13)/2),($T$5+$T$7+$T$9+$T$11+$T$13)/2,"")</f>
        <v/>
      </c>
      <c r="AB26" s="1875"/>
      <c r="AC26" s="899"/>
      <c r="AD26" s="2888"/>
      <c r="AE26" s="2897"/>
      <c r="AF26" s="2905"/>
      <c r="AG26" s="2897"/>
      <c r="AH26" s="2897"/>
      <c r="AI26" s="2897"/>
      <c r="AJ26" s="2897"/>
      <c r="AK26" s="2897"/>
      <c r="AL26" s="2892"/>
      <c r="AM26" s="2892"/>
      <c r="AN26" s="2892"/>
      <c r="AO26" s="2892"/>
      <c r="AP26" s="2892"/>
      <c r="AQ26" s="1872"/>
      <c r="AR26" s="1872"/>
      <c r="AS26" s="1872"/>
      <c r="AT26" s="1872"/>
      <c r="AU26" s="1872"/>
      <c r="AV26" s="1872"/>
    </row>
    <row r="27" spans="1:48" ht="12" customHeight="1" x14ac:dyDescent="0.2">
      <c r="A27" s="10"/>
      <c r="B27" s="872"/>
      <c r="C27" s="3660"/>
      <c r="D27" s="3755" t="s">
        <v>1500</v>
      </c>
      <c r="E27" s="3803" t="s">
        <v>1376</v>
      </c>
      <c r="F27" s="3633"/>
      <c r="G27" s="3633"/>
      <c r="H27" s="3633"/>
      <c r="I27" s="3633"/>
      <c r="J27" s="3633"/>
      <c r="K27" s="3804"/>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906" t="s">
        <v>1459</v>
      </c>
      <c r="Y27" s="3906"/>
      <c r="Z27" s="2414"/>
      <c r="AA27" s="571">
        <f t="shared" ref="AA27:AA32" si="6">W27+V27+Z27</f>
        <v>0</v>
      </c>
      <c r="AB27" s="1875"/>
      <c r="AC27" s="899"/>
      <c r="AD27" s="2888"/>
      <c r="AE27" s="2897"/>
      <c r="AF27" s="2905"/>
      <c r="AG27" s="2897"/>
      <c r="AH27" s="2897"/>
      <c r="AI27" s="2897"/>
      <c r="AJ27" s="2897"/>
      <c r="AK27" s="2897"/>
      <c r="AL27" s="2892"/>
      <c r="AM27" s="2892"/>
      <c r="AN27" s="2892"/>
      <c r="AO27" s="2892"/>
      <c r="AP27" s="2892"/>
      <c r="AQ27" s="1872"/>
      <c r="AR27" s="1872"/>
      <c r="AS27" s="1872"/>
      <c r="AT27" s="1872"/>
      <c r="AU27" s="1872"/>
      <c r="AV27" s="1872"/>
    </row>
    <row r="28" spans="1:48" ht="12" customHeight="1" x14ac:dyDescent="0.2">
      <c r="A28" s="10"/>
      <c r="B28" s="872"/>
      <c r="C28" s="3660"/>
      <c r="D28" s="3756"/>
      <c r="E28" s="3737" t="s">
        <v>1501</v>
      </c>
      <c r="F28" s="3738"/>
      <c r="G28" s="3738"/>
      <c r="H28" s="3738"/>
      <c r="I28" s="3738"/>
      <c r="J28" s="3738"/>
      <c r="K28" s="3739"/>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751" t="s">
        <v>1459</v>
      </c>
      <c r="Y28" s="3751"/>
      <c r="Z28" s="2412"/>
      <c r="AA28" s="572">
        <f t="shared" si="6"/>
        <v>0</v>
      </c>
      <c r="AB28" s="1875"/>
      <c r="AC28" s="899"/>
      <c r="AD28" s="2888"/>
      <c r="AE28" s="2897"/>
      <c r="AF28" s="2905"/>
      <c r="AG28" s="2897"/>
      <c r="AH28" s="2897"/>
      <c r="AI28" s="2897"/>
      <c r="AJ28" s="2897"/>
      <c r="AK28" s="2897"/>
      <c r="AL28" s="2892"/>
      <c r="AM28" s="2892"/>
      <c r="AN28" s="2892"/>
      <c r="AO28" s="2892"/>
      <c r="AP28" s="2892"/>
      <c r="AQ28" s="1872"/>
      <c r="AR28" s="1872"/>
      <c r="AS28" s="1872"/>
      <c r="AT28" s="1872"/>
      <c r="AU28" s="1872"/>
      <c r="AV28" s="1872"/>
    </row>
    <row r="29" spans="1:48" ht="12" customHeight="1" x14ac:dyDescent="0.2">
      <c r="A29" s="10"/>
      <c r="B29" s="872"/>
      <c r="C29" s="3660"/>
      <c r="D29" s="3756"/>
      <c r="E29" s="3805" t="s">
        <v>1381</v>
      </c>
      <c r="F29" s="3272"/>
      <c r="G29" s="3272"/>
      <c r="H29" s="3272"/>
      <c r="I29" s="3272"/>
      <c r="J29" s="3272"/>
      <c r="K29" s="3806"/>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586" t="s">
        <v>1459</v>
      </c>
      <c r="Y29" s="3586"/>
      <c r="Z29" s="2413"/>
      <c r="AA29" s="573">
        <f t="shared" si="6"/>
        <v>0</v>
      </c>
      <c r="AB29" s="1875"/>
      <c r="AC29" s="899"/>
      <c r="AD29" s="2888"/>
      <c r="AE29" s="2897"/>
      <c r="AF29" s="2905"/>
      <c r="AG29" s="2897"/>
      <c r="AH29" s="2897"/>
      <c r="AI29" s="2897"/>
      <c r="AJ29" s="2897"/>
      <c r="AK29" s="2897"/>
      <c r="AL29" s="2892"/>
      <c r="AM29" s="2892"/>
      <c r="AN29" s="2892"/>
      <c r="AO29" s="2892"/>
      <c r="AP29" s="2892"/>
      <c r="AQ29" s="1872"/>
      <c r="AR29" s="1872"/>
      <c r="AS29" s="1872"/>
      <c r="AT29" s="1872"/>
      <c r="AU29" s="1872"/>
      <c r="AV29" s="1872"/>
    </row>
    <row r="30" spans="1:48" ht="12" customHeight="1" x14ac:dyDescent="0.2">
      <c r="A30" s="10"/>
      <c r="B30" s="872"/>
      <c r="C30" s="3660"/>
      <c r="D30" s="3756"/>
      <c r="E30" s="3737" t="s">
        <v>1386</v>
      </c>
      <c r="F30" s="3738"/>
      <c r="G30" s="3738"/>
      <c r="H30" s="3738"/>
      <c r="I30" s="3738"/>
      <c r="J30" s="3738"/>
      <c r="K30" s="3739"/>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751" t="s">
        <v>1459</v>
      </c>
      <c r="Y30" s="3751"/>
      <c r="Z30" s="2412"/>
      <c r="AA30" s="572">
        <f t="shared" si="6"/>
        <v>0</v>
      </c>
      <c r="AB30" s="1875"/>
      <c r="AC30" s="899"/>
      <c r="AD30" s="2888"/>
      <c r="AE30" s="2897"/>
      <c r="AF30" s="2905"/>
      <c r="AG30" s="2897"/>
      <c r="AH30" s="2897"/>
      <c r="AI30" s="2897"/>
      <c r="AJ30" s="2897"/>
      <c r="AK30" s="2897"/>
      <c r="AL30" s="2892"/>
      <c r="AM30" s="2892"/>
      <c r="AN30" s="2892"/>
      <c r="AO30" s="2892"/>
      <c r="AP30" s="2892"/>
      <c r="AQ30" s="1872"/>
      <c r="AR30" s="1872"/>
      <c r="AS30" s="1872"/>
      <c r="AT30" s="1872"/>
      <c r="AU30" s="1872"/>
      <c r="AV30" s="1872"/>
    </row>
    <row r="31" spans="1:48" ht="12" customHeight="1" x14ac:dyDescent="0.2">
      <c r="A31" s="10"/>
      <c r="B31" s="872"/>
      <c r="C31" s="3660"/>
      <c r="D31" s="3756"/>
      <c r="E31" s="3805" t="s">
        <v>1394</v>
      </c>
      <c r="F31" s="3272"/>
      <c r="G31" s="3272"/>
      <c r="H31" s="3272"/>
      <c r="I31" s="3272"/>
      <c r="J31" s="3272"/>
      <c r="K31" s="3806"/>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586" t="s">
        <v>1459</v>
      </c>
      <c r="Y31" s="3586"/>
      <c r="Z31" s="2413"/>
      <c r="AA31" s="573">
        <f t="shared" si="6"/>
        <v>0</v>
      </c>
      <c r="AB31" s="1875"/>
      <c r="AC31" s="899"/>
      <c r="AD31" s="2888"/>
      <c r="AE31" s="2897"/>
      <c r="AF31" s="2905"/>
      <c r="AG31" s="2897"/>
      <c r="AH31" s="2897"/>
      <c r="AI31" s="2897"/>
      <c r="AJ31" s="2897"/>
      <c r="AK31" s="2897"/>
      <c r="AL31" s="2892"/>
      <c r="AM31" s="2892"/>
      <c r="AN31" s="2892"/>
      <c r="AO31" s="2892"/>
      <c r="AP31" s="2892"/>
      <c r="AQ31" s="1872"/>
      <c r="AR31" s="1872"/>
      <c r="AS31" s="1872"/>
      <c r="AT31" s="1872"/>
      <c r="AU31" s="1872"/>
      <c r="AV31" s="1872"/>
    </row>
    <row r="32" spans="1:48" ht="12" customHeight="1" x14ac:dyDescent="0.2">
      <c r="A32" s="10"/>
      <c r="B32" s="872"/>
      <c r="C32" s="3660"/>
      <c r="D32" s="3756"/>
      <c r="E32" s="3737" t="s">
        <v>1395</v>
      </c>
      <c r="F32" s="3738"/>
      <c r="G32" s="3738"/>
      <c r="H32" s="3738"/>
      <c r="I32" s="3738"/>
      <c r="J32" s="3738"/>
      <c r="K32" s="3739"/>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898" t="s">
        <v>1459</v>
      </c>
      <c r="Y32" s="3898"/>
      <c r="Z32" s="2415"/>
      <c r="AA32" s="574">
        <f t="shared" si="6"/>
        <v>0</v>
      </c>
      <c r="AB32" s="1875"/>
      <c r="AC32" s="899"/>
      <c r="AD32" s="2888" t="s">
        <v>9811</v>
      </c>
      <c r="AE32" s="2897"/>
      <c r="AF32" s="2905"/>
      <c r="AG32" s="2897"/>
      <c r="AH32" s="2897"/>
      <c r="AI32" s="2897"/>
      <c r="AJ32" s="2897"/>
      <c r="AK32" s="2897"/>
      <c r="AL32" s="2892"/>
      <c r="AM32" s="2892"/>
      <c r="AN32" s="2892"/>
      <c r="AO32" s="2892"/>
      <c r="AP32" s="2892"/>
      <c r="AQ32" s="1872"/>
      <c r="AR32" s="1872"/>
      <c r="AS32" s="1872"/>
      <c r="AT32" s="1872"/>
      <c r="AU32" s="1872"/>
      <c r="AV32" s="1872"/>
    </row>
    <row r="33" spans="1:48" ht="12" customHeight="1" x14ac:dyDescent="0.2">
      <c r="A33" s="10"/>
      <c r="B33" s="872"/>
      <c r="C33" s="3660"/>
      <c r="D33" s="3824" t="s">
        <v>1502</v>
      </c>
      <c r="E33" s="3803" t="s">
        <v>1376</v>
      </c>
      <c r="F33" s="3633"/>
      <c r="G33" s="3633"/>
      <c r="H33" s="3633"/>
      <c r="I33" s="3633"/>
      <c r="J33" s="3633"/>
      <c r="K33" s="3817"/>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899" t="s">
        <v>1459</v>
      </c>
      <c r="Y33" s="3899"/>
      <c r="Z33" s="2416"/>
      <c r="AA33" s="575">
        <f>MAX(0,W33+V33+Z33+IF(Mod_ATA&lt;0,TRUNC(Mod_ATA/20,0),0))</f>
        <v>0</v>
      </c>
      <c r="AB33" s="1875"/>
      <c r="AC33" s="899"/>
      <c r="AD33" s="2888">
        <f>IF(AND(Tablas!$P$259,Personalización!$AB$86=E33),1,0)</f>
        <v>0</v>
      </c>
      <c r="AE33" s="2897"/>
      <c r="AF33" s="2905"/>
      <c r="AG33" s="2897"/>
      <c r="AH33" s="2897"/>
      <c r="AI33" s="2897"/>
      <c r="AJ33" s="2897"/>
      <c r="AK33" s="2897"/>
      <c r="AL33" s="2892"/>
      <c r="AM33" s="2892"/>
      <c r="AN33" s="2892"/>
      <c r="AO33" s="2892"/>
      <c r="AP33" s="2892"/>
      <c r="AQ33" s="1872"/>
      <c r="AR33" s="1872"/>
      <c r="AS33" s="1872"/>
      <c r="AT33" s="1872"/>
      <c r="AU33" s="1872"/>
      <c r="AV33" s="1872"/>
    </row>
    <row r="34" spans="1:48" ht="12" customHeight="1" x14ac:dyDescent="0.2">
      <c r="A34" s="10"/>
      <c r="B34" s="872"/>
      <c r="C34" s="3660"/>
      <c r="D34" s="3756"/>
      <c r="E34" s="3737" t="s">
        <v>1501</v>
      </c>
      <c r="F34" s="3738"/>
      <c r="G34" s="3738"/>
      <c r="H34" s="3738"/>
      <c r="I34" s="3738"/>
      <c r="J34" s="3738"/>
      <c r="K34" s="3807"/>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751" t="s">
        <v>1459</v>
      </c>
      <c r="Y34" s="3751"/>
      <c r="Z34" s="2412"/>
      <c r="AA34" s="572">
        <f t="shared" ref="AA34:AA38" si="12">MAX(0,W34+V34+Z34+IF(Mod_ATA&lt;0,TRUNC(Mod_ATA/20,0),0))</f>
        <v>0</v>
      </c>
      <c r="AB34" s="1875"/>
      <c r="AC34" s="899"/>
      <c r="AD34" s="2888">
        <f>IF(AND(Tablas!$P$259,Personalización!$AB$86=E34),1,0)</f>
        <v>0</v>
      </c>
      <c r="AE34" s="2897"/>
      <c r="AF34" s="2905"/>
      <c r="AG34" s="2897"/>
      <c r="AH34" s="2897"/>
      <c r="AI34" s="2897"/>
      <c r="AJ34" s="2897"/>
      <c r="AK34" s="2897"/>
      <c r="AL34" s="2892"/>
      <c r="AM34" s="2892"/>
      <c r="AN34" s="2892"/>
      <c r="AO34" s="2892"/>
      <c r="AP34" s="2892"/>
      <c r="AQ34" s="1872"/>
      <c r="AR34" s="1872"/>
      <c r="AS34" s="1872"/>
      <c r="AT34" s="1872"/>
      <c r="AU34" s="1872"/>
      <c r="AV34" s="1872"/>
    </row>
    <row r="35" spans="1:48" ht="12" customHeight="1" x14ac:dyDescent="0.2">
      <c r="A35" s="10"/>
      <c r="B35" s="872"/>
      <c r="C35" s="3660"/>
      <c r="D35" s="3756"/>
      <c r="E35" s="3805" t="s">
        <v>1381</v>
      </c>
      <c r="F35" s="3272"/>
      <c r="G35" s="3272"/>
      <c r="H35" s="3272"/>
      <c r="I35" s="3272"/>
      <c r="J35" s="3272"/>
      <c r="K35" s="3808"/>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586" t="s">
        <v>1459</v>
      </c>
      <c r="Y35" s="3586"/>
      <c r="Z35" s="2413"/>
      <c r="AA35" s="573">
        <f t="shared" si="12"/>
        <v>0</v>
      </c>
      <c r="AB35" s="1875"/>
      <c r="AC35" s="899"/>
      <c r="AD35" s="2888">
        <f>IF(AND(Tablas!$P$259,Personalización!$AB$86=E35),1,0)</f>
        <v>0</v>
      </c>
      <c r="AE35" s="2897"/>
      <c r="AF35" s="2905"/>
      <c r="AG35" s="2897"/>
      <c r="AH35" s="2897"/>
      <c r="AI35" s="2897"/>
      <c r="AJ35" s="2897"/>
      <c r="AK35" s="2897"/>
      <c r="AL35" s="2892"/>
      <c r="AM35" s="2892"/>
      <c r="AN35" s="2892"/>
      <c r="AO35" s="2892"/>
      <c r="AP35" s="2892"/>
      <c r="AQ35" s="1872"/>
      <c r="AR35" s="1872"/>
      <c r="AS35" s="1872"/>
      <c r="AT35" s="1872"/>
      <c r="AU35" s="1872"/>
      <c r="AV35" s="1872"/>
    </row>
    <row r="36" spans="1:48" ht="12" customHeight="1" x14ac:dyDescent="0.2">
      <c r="A36" s="10"/>
      <c r="B36" s="872"/>
      <c r="C36" s="3660"/>
      <c r="D36" s="3756"/>
      <c r="E36" s="3737" t="s">
        <v>1386</v>
      </c>
      <c r="F36" s="3738"/>
      <c r="G36" s="3738"/>
      <c r="H36" s="3738"/>
      <c r="I36" s="3738"/>
      <c r="J36" s="3738"/>
      <c r="K36" s="3807"/>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751" t="s">
        <v>1459</v>
      </c>
      <c r="Y36" s="3751"/>
      <c r="Z36" s="2412"/>
      <c r="AA36" s="572">
        <f t="shared" si="12"/>
        <v>0</v>
      </c>
      <c r="AB36" s="1875"/>
      <c r="AC36" s="899"/>
      <c r="AD36" s="2888">
        <f>IF(AND(Tablas!$P$259,Personalización!$AB$86=E36),1,0)</f>
        <v>0</v>
      </c>
      <c r="AE36" s="2897"/>
      <c r="AF36" s="2905"/>
      <c r="AG36" s="2897"/>
      <c r="AH36" s="2897"/>
      <c r="AI36" s="2897"/>
      <c r="AJ36" s="2897"/>
      <c r="AK36" s="2897"/>
      <c r="AL36" s="2892"/>
      <c r="AM36" s="2892"/>
      <c r="AN36" s="2892"/>
      <c r="AO36" s="2892"/>
      <c r="AP36" s="2892"/>
      <c r="AQ36" s="1872"/>
      <c r="AR36" s="1872"/>
      <c r="AS36" s="1872"/>
      <c r="AT36" s="1872"/>
      <c r="AU36" s="1872"/>
      <c r="AV36" s="1872"/>
    </row>
    <row r="37" spans="1:48" ht="12" customHeight="1" x14ac:dyDescent="0.2">
      <c r="A37" s="10"/>
      <c r="B37" s="872"/>
      <c r="C37" s="3660"/>
      <c r="D37" s="3756"/>
      <c r="E37" s="3805" t="s">
        <v>1394</v>
      </c>
      <c r="F37" s="3272"/>
      <c r="G37" s="3272"/>
      <c r="H37" s="3272"/>
      <c r="I37" s="3272"/>
      <c r="J37" s="3272"/>
      <c r="K37" s="3808"/>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586" t="s">
        <v>1459</v>
      </c>
      <c r="Y37" s="3586"/>
      <c r="Z37" s="2413"/>
      <c r="AA37" s="573">
        <f t="shared" si="12"/>
        <v>0</v>
      </c>
      <c r="AB37" s="1875"/>
      <c r="AC37" s="899"/>
      <c r="AD37" s="2888">
        <f>IF(AND(Tablas!$P$259,Personalización!$AB$86=E37),1,0)</f>
        <v>0</v>
      </c>
      <c r="AE37" s="2897"/>
      <c r="AF37" s="2905"/>
      <c r="AG37" s="2897"/>
      <c r="AH37" s="2897"/>
      <c r="AI37" s="2897"/>
      <c r="AJ37" s="2897"/>
      <c r="AK37" s="2897"/>
      <c r="AL37" s="2892"/>
      <c r="AM37" s="2892"/>
      <c r="AN37" s="2892"/>
      <c r="AO37" s="2892"/>
      <c r="AP37" s="2892"/>
      <c r="AQ37" s="1872"/>
      <c r="AR37" s="1872"/>
      <c r="AS37" s="1872"/>
      <c r="AT37" s="1872"/>
      <c r="AU37" s="1872"/>
      <c r="AV37" s="1872"/>
    </row>
    <row r="38" spans="1:48" ht="12" customHeight="1" x14ac:dyDescent="0.2">
      <c r="A38" s="10"/>
      <c r="B38" s="872"/>
      <c r="C38" s="3660"/>
      <c r="D38" s="3825"/>
      <c r="E38" s="3809" t="s">
        <v>1395</v>
      </c>
      <c r="F38" s="3810"/>
      <c r="G38" s="3810"/>
      <c r="H38" s="3810"/>
      <c r="I38" s="3810"/>
      <c r="J38" s="3810"/>
      <c r="K38" s="3811"/>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975" t="s">
        <v>1459</v>
      </c>
      <c r="Y38" s="3975"/>
      <c r="Z38" s="2415"/>
      <c r="AA38" s="574">
        <f t="shared" si="12"/>
        <v>0</v>
      </c>
      <c r="AB38" s="1875"/>
      <c r="AC38" s="899"/>
      <c r="AD38" s="2888">
        <f>IF(AND(Tablas!$P$259,Personalización!$AB$86=E38),1,0)</f>
        <v>0</v>
      </c>
      <c r="AE38" s="2897"/>
      <c r="AF38" s="2905"/>
      <c r="AG38" s="2897"/>
      <c r="AH38" s="2897"/>
      <c r="AI38" s="2897"/>
      <c r="AJ38" s="2897"/>
      <c r="AK38" s="2897"/>
      <c r="AL38" s="2892"/>
      <c r="AM38" s="2892"/>
      <c r="AN38" s="2892"/>
      <c r="AO38" s="2892"/>
      <c r="AP38" s="2892"/>
      <c r="AQ38" s="1872"/>
      <c r="AR38" s="1872"/>
      <c r="AS38" s="1872"/>
      <c r="AT38" s="1872"/>
      <c r="AU38" s="1872"/>
      <c r="AV38" s="1872"/>
    </row>
    <row r="39" spans="1:48" ht="12" customHeight="1" x14ac:dyDescent="0.2">
      <c r="A39" s="10"/>
      <c r="B39" s="872"/>
      <c r="C39" s="3660"/>
      <c r="D39" s="576" t="s">
        <v>1503</v>
      </c>
      <c r="E39" s="3812" t="s">
        <v>1504</v>
      </c>
      <c r="F39" s="3813"/>
      <c r="G39" s="3813"/>
      <c r="H39" s="3813"/>
      <c r="I39" s="3813"/>
      <c r="J39" s="3813"/>
      <c r="K39" s="3814"/>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976">
        <f>HLOOKUP($E39,Bonos_Cat_Base,2,FALSE)</f>
        <v>0</v>
      </c>
      <c r="Y39" s="3976">
        <f>HLOOKUP($E39,Bonos_Cat_Base,2,FALSE)</f>
        <v>0</v>
      </c>
      <c r="Z39" s="2430"/>
      <c r="AA39" s="577">
        <f>Z39+X39+W39+V39</f>
        <v>0</v>
      </c>
      <c r="AB39" s="1875"/>
      <c r="AC39" s="899"/>
      <c r="AD39" s="2888"/>
      <c r="AE39" s="2897"/>
      <c r="AF39" s="2905"/>
      <c r="AG39" s="2897"/>
      <c r="AH39" s="2897"/>
      <c r="AI39" s="2897"/>
      <c r="AJ39" s="2897"/>
      <c r="AK39" s="2897"/>
      <c r="AL39" s="2892"/>
      <c r="AM39" s="2892"/>
      <c r="AN39" s="2892"/>
      <c r="AO39" s="2892"/>
      <c r="AP39" s="2892"/>
      <c r="AQ39" s="1872"/>
      <c r="AR39" s="1872"/>
      <c r="AS39" s="1872"/>
      <c r="AT39" s="1872"/>
      <c r="AU39" s="1872"/>
      <c r="AV39" s="1872"/>
    </row>
    <row r="40" spans="1:48" ht="12" customHeight="1" x14ac:dyDescent="0.2">
      <c r="A40" s="10"/>
      <c r="B40" s="872"/>
      <c r="C40" s="3660"/>
      <c r="D40" s="3755" t="s">
        <v>1505</v>
      </c>
      <c r="E40" s="3815"/>
      <c r="F40" s="3683"/>
      <c r="G40" s="3683"/>
      <c r="H40" s="3683"/>
      <c r="I40" s="3683"/>
      <c r="J40" s="3683"/>
      <c r="K40" s="3684"/>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902" t="str">
        <f t="shared" ref="V40:V45" si="13">IF(E40=0,"",VLOOKUP(E40,Tabla_TablasArmas,3,FALSE))</f>
        <v/>
      </c>
      <c r="W40" s="3903"/>
      <c r="X40" s="3903"/>
      <c r="Y40" s="3907"/>
      <c r="Z40" s="3907"/>
      <c r="AA40" s="3908"/>
      <c r="AB40" s="1875"/>
      <c r="AC40" s="899"/>
      <c r="AD40" s="2888" t="str">
        <f>IF($E40="Tabla de tipología","Lista_Tipologías",IF($E40="Tabla de armas arquetípicas","Lista_ArmasArquetipo",IF($E40="Arma Similar",Tablas!$AG$637,IF($E40="Arma Mixta",Tablas!$AH$637,IF($E40="Arma Distinta / Desarmado",Tablas!$AI$637,"")))))</f>
        <v/>
      </c>
      <c r="AE40" s="2897"/>
      <c r="AF40" s="2897"/>
      <c r="AG40" s="2897"/>
      <c r="AH40" s="2897"/>
      <c r="AI40" s="2897"/>
      <c r="AJ40" s="2897"/>
      <c r="AK40" s="2897"/>
      <c r="AL40" s="2892"/>
      <c r="AM40" s="2892"/>
      <c r="AN40" s="2892"/>
      <c r="AO40" s="2892"/>
      <c r="AP40" s="2892"/>
      <c r="AQ40" s="1872"/>
      <c r="AR40" s="1872"/>
      <c r="AS40" s="1872"/>
      <c r="AT40" s="1872"/>
      <c r="AU40" s="1872"/>
      <c r="AV40" s="1872"/>
    </row>
    <row r="41" spans="1:48" ht="12" customHeight="1" x14ac:dyDescent="0.2">
      <c r="A41" s="10"/>
      <c r="B41" s="872"/>
      <c r="C41" s="3660"/>
      <c r="D41" s="3756"/>
      <c r="E41" s="3816"/>
      <c r="F41" s="3678"/>
      <c r="G41" s="3678"/>
      <c r="H41" s="3678"/>
      <c r="I41" s="3678"/>
      <c r="J41" s="3678"/>
      <c r="K41" s="3679"/>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904" t="str">
        <f t="shared" si="13"/>
        <v/>
      </c>
      <c r="W41" s="3905"/>
      <c r="X41" s="3905"/>
      <c r="Y41" s="3909"/>
      <c r="Z41" s="3909"/>
      <c r="AA41" s="3910"/>
      <c r="AB41" s="1875"/>
      <c r="AC41" s="899"/>
      <c r="AD41" s="2888" t="str">
        <f>IF($E41="Tabla de tipología","Lista_Tipologías",IF($E41="Tabla de armas arquetípicas","Lista_ArmasArquetipo",IF($E41="Arma Similar",Tablas!$AN$637,IF($E41="Arma Mixta",Tablas!$AO$637,IF($E41="Arma Distinta / Desarmado",Tablas!$AP$637,"")))))</f>
        <v/>
      </c>
      <c r="AE41" s="2907"/>
      <c r="AF41" s="2907"/>
      <c r="AG41" s="2897"/>
      <c r="AH41" s="2897"/>
      <c r="AI41" s="2897"/>
      <c r="AJ41" s="2897"/>
      <c r="AK41" s="2897"/>
      <c r="AL41" s="2892"/>
      <c r="AM41" s="2892"/>
      <c r="AN41" s="2892"/>
      <c r="AO41" s="2892"/>
      <c r="AP41" s="2892"/>
      <c r="AQ41" s="1872"/>
      <c r="AR41" s="1872"/>
      <c r="AS41" s="1872"/>
      <c r="AT41" s="1872"/>
      <c r="AU41" s="1872"/>
      <c r="AV41" s="1872"/>
    </row>
    <row r="42" spans="1:48" ht="12" customHeight="1" x14ac:dyDescent="0.2">
      <c r="A42" s="10"/>
      <c r="B42" s="872"/>
      <c r="C42" s="3660"/>
      <c r="D42" s="3756"/>
      <c r="E42" s="3815"/>
      <c r="F42" s="3683"/>
      <c r="G42" s="3683"/>
      <c r="H42" s="3683"/>
      <c r="I42" s="3683"/>
      <c r="J42" s="3683"/>
      <c r="K42" s="3684"/>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902" t="str">
        <f t="shared" si="13"/>
        <v/>
      </c>
      <c r="W42" s="3903"/>
      <c r="X42" s="3903"/>
      <c r="Y42" s="3907"/>
      <c r="Z42" s="3907"/>
      <c r="AA42" s="3908"/>
      <c r="AB42" s="1875"/>
      <c r="AC42" s="899"/>
      <c r="AD42" s="2888" t="str">
        <f>IF($E42="Tabla de tipología","Lista_Tipologías",IF($E42="Tabla de armas arquetípicas","Lista_ArmasArquetipo",IF($E42="Arma Similar",Tablas!$AU$637,IF($E42="Arma Mixta",Tablas!$AV$637,IF($E42="Arma Distinta / Desarmado",Tablas!$AW$637,"")))))</f>
        <v/>
      </c>
      <c r="AE42" s="2897"/>
      <c r="AF42" s="2905"/>
      <c r="AG42" s="2897"/>
      <c r="AH42" s="2897"/>
      <c r="AI42" s="2897"/>
      <c r="AJ42" s="2897"/>
      <c r="AK42" s="2897"/>
      <c r="AL42" s="2892"/>
      <c r="AM42" s="2892"/>
      <c r="AN42" s="2892"/>
      <c r="AO42" s="2892"/>
      <c r="AP42" s="2892"/>
      <c r="AQ42" s="1872"/>
      <c r="AR42" s="1872"/>
      <c r="AS42" s="1872"/>
      <c r="AT42" s="1872"/>
      <c r="AU42" s="1872"/>
      <c r="AV42" s="1872"/>
    </row>
    <row r="43" spans="1:48" ht="12" customHeight="1" x14ac:dyDescent="0.2">
      <c r="A43" s="10"/>
      <c r="B43" s="872"/>
      <c r="C43" s="3660"/>
      <c r="D43" s="3756"/>
      <c r="E43" s="3816"/>
      <c r="F43" s="3678"/>
      <c r="G43" s="3678"/>
      <c r="H43" s="3678"/>
      <c r="I43" s="3678"/>
      <c r="J43" s="3678"/>
      <c r="K43" s="3679"/>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904" t="str">
        <f t="shared" si="13"/>
        <v/>
      </c>
      <c r="W43" s="3905"/>
      <c r="X43" s="3905"/>
      <c r="Y43" s="3909"/>
      <c r="Z43" s="3909"/>
      <c r="AA43" s="3910"/>
      <c r="AB43" s="1875"/>
      <c r="AC43" s="899"/>
      <c r="AD43" s="2888" t="str">
        <f>IF($E43="Tabla de tipología","Lista_Tipologías",IF($E43="Tabla de armas arquetípicas","Lista_ArmasArquetipo",IF($E43="Arma Similar",Tablas!$BB$637,IF($E43="Arma Mixta",Tablas!$BC$637,IF($E43="Arma Distinta / Desarmado",Tablas!$BD$637,"")))))</f>
        <v/>
      </c>
      <c r="AE43" s="2897" t="str">
        <f>INDEX(Tablas!$AG$837:$AG$838,AG56)</f>
        <v>Base</v>
      </c>
      <c r="AF43" s="2905"/>
      <c r="AG43" s="2897"/>
      <c r="AH43" s="2897"/>
      <c r="AI43" s="2897"/>
      <c r="AJ43" s="2897"/>
      <c r="AK43" s="2897"/>
      <c r="AL43" s="2892"/>
      <c r="AM43" s="2892"/>
      <c r="AN43" s="2892"/>
      <c r="AO43" s="2892"/>
      <c r="AP43" s="2892"/>
      <c r="AQ43" s="1872"/>
      <c r="AR43" s="1872"/>
      <c r="AS43" s="1872"/>
      <c r="AT43" s="1872"/>
      <c r="AU43" s="1872"/>
      <c r="AV43" s="1872"/>
    </row>
    <row r="44" spans="1:48" ht="12" customHeight="1" x14ac:dyDescent="0.2">
      <c r="A44" s="10"/>
      <c r="B44" s="872"/>
      <c r="C44" s="3660"/>
      <c r="D44" s="3756"/>
      <c r="E44" s="3815"/>
      <c r="F44" s="3683"/>
      <c r="G44" s="3683"/>
      <c r="H44" s="3683"/>
      <c r="I44" s="3683"/>
      <c r="J44" s="3683"/>
      <c r="K44" s="3684"/>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902" t="str">
        <f t="shared" si="13"/>
        <v/>
      </c>
      <c r="W44" s="3903"/>
      <c r="X44" s="3903"/>
      <c r="Y44" s="3907"/>
      <c r="Z44" s="3907"/>
      <c r="AA44" s="3908"/>
      <c r="AB44" s="1875"/>
      <c r="AC44" s="899"/>
      <c r="AD44" s="2888" t="str">
        <f>IF($E44="Tabla de tipología","Lista_Tipologías",IF($E44="Tabla de armas arquetípicas","Lista_ArmasArquetipo",IF($E44="Arma Similar",Tablas!$BI$637,IF($E44="Arma Mixta",Tablas!$BJ$637,IF($E44="Arma Distinta / Desarmado",Tablas!$BK$637,"")))))</f>
        <v/>
      </c>
      <c r="AE44" s="2897"/>
      <c r="AF44" s="2905"/>
      <c r="AG44" s="2897"/>
      <c r="AH44" s="3840" t="s">
        <v>8743</v>
      </c>
      <c r="AI44" s="3840"/>
      <c r="AJ44" s="3840"/>
      <c r="AK44" s="3840"/>
      <c r="AL44" s="3840"/>
      <c r="AM44" s="3840"/>
      <c r="AN44" s="3840"/>
      <c r="AO44" s="3840"/>
      <c r="AP44" s="3840" t="s">
        <v>8744</v>
      </c>
      <c r="AQ44" s="3840"/>
      <c r="AR44" s="3840"/>
      <c r="AS44" s="3840"/>
      <c r="AT44" s="3840"/>
      <c r="AU44" s="3840"/>
      <c r="AV44" s="3840"/>
    </row>
    <row r="45" spans="1:48" ht="12" customHeight="1" x14ac:dyDescent="0.2">
      <c r="A45" s="10"/>
      <c r="B45" s="872"/>
      <c r="C45" s="3660"/>
      <c r="D45" s="3823"/>
      <c r="E45" s="3816"/>
      <c r="F45" s="3678"/>
      <c r="G45" s="3678"/>
      <c r="H45" s="3678"/>
      <c r="I45" s="3678"/>
      <c r="J45" s="3678"/>
      <c r="K45" s="3679"/>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978" t="str">
        <f t="shared" si="13"/>
        <v/>
      </c>
      <c r="W45" s="3979"/>
      <c r="X45" s="3979"/>
      <c r="Y45" s="3911"/>
      <c r="Z45" s="3911"/>
      <c r="AA45" s="3912"/>
      <c r="AB45" s="1875"/>
      <c r="AC45" s="899"/>
      <c r="AD45" s="2888" t="str">
        <f>IF($E45="Tabla de tipología","Lista_Tipologías",IF($E45="Tabla de armas arquetípicas","Lista_ArmasArquetipo",IF($E45="Arma Similar",Tablas!$BP$637,IF($E45="Arma Mixta",Tablas!$BQ$637,IF($E45="Arma Distinta / Desarmado",Tablas!$BR$637,"")))))</f>
        <v/>
      </c>
      <c r="AE45" s="2897" t="s">
        <v>8742</v>
      </c>
      <c r="AF45" s="2905" t="s">
        <v>8741</v>
      </c>
      <c r="AG45" s="2897" t="s">
        <v>8750</v>
      </c>
      <c r="AH45" s="2892">
        <v>1</v>
      </c>
      <c r="AI45" s="2892">
        <v>2</v>
      </c>
      <c r="AJ45" s="2892">
        <v>3</v>
      </c>
      <c r="AK45" s="2892">
        <v>4</v>
      </c>
      <c r="AL45" s="2892">
        <v>5</v>
      </c>
      <c r="AM45" s="2892">
        <v>6</v>
      </c>
      <c r="AN45" s="2892">
        <v>7</v>
      </c>
      <c r="AO45" s="2892">
        <v>8</v>
      </c>
      <c r="AP45" s="2892">
        <v>1</v>
      </c>
      <c r="AQ45" s="2892">
        <v>2</v>
      </c>
      <c r="AR45" s="2892">
        <v>3</v>
      </c>
      <c r="AS45" s="2892">
        <v>4</v>
      </c>
      <c r="AT45" s="2892">
        <v>5</v>
      </c>
      <c r="AU45" s="2892">
        <v>6</v>
      </c>
      <c r="AV45" s="2892">
        <v>7</v>
      </c>
    </row>
    <row r="46" spans="1:48" ht="12" customHeight="1" x14ac:dyDescent="0.2">
      <c r="A46" s="10"/>
      <c r="B46" s="872"/>
      <c r="C46" s="3660"/>
      <c r="D46" s="3763" t="s">
        <v>1506</v>
      </c>
      <c r="E46" s="3826"/>
      <c r="F46" s="3827"/>
      <c r="G46" s="3827"/>
      <c r="H46" s="3827"/>
      <c r="I46" s="3827"/>
      <c r="J46" s="3827"/>
      <c r="K46" s="3828"/>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900" t="str">
        <f>IF($E46="","",IF(AND(AD46=1,M46/L46+O46/N46+Q46/P46+S46/R46+U46/T46&gt;1),SUBSTITUTE(VLOOKUP($E46,Tabla_Tabla_Estilos,8,FALSE),"XXX",M46/L46+O46/N46+Q46/P46+S46/R46+U46/T46),VLOOKUP($E46,Tabla_Tabla_Estilos,4,FALSE)))</f>
        <v/>
      </c>
      <c r="W46" s="3900"/>
      <c r="X46" s="3900"/>
      <c r="Y46" s="3900"/>
      <c r="Z46" s="3900"/>
      <c r="AA46" s="3901"/>
      <c r="AB46" s="1875"/>
      <c r="AC46" s="899"/>
      <c r="AD46" s="2888" t="e">
        <f>VLOOKUP(E46,Tablas!$R$924:$T$945,3,0)</f>
        <v>#N/A</v>
      </c>
      <c r="AE46" s="2897" t="e">
        <f>IF(AD46=1,ADDRESS(ROW($AH46),COLUMN($AH46))&amp;":"&amp;ADDRESS(ROW($AO46),COLUMN($AO46)),ADDRESS(ROW($AH46),COLUMN($AH46)))</f>
        <v>#N/A</v>
      </c>
      <c r="AF46" s="2905" t="e">
        <f>IF(AD46=1,ADDRESS(ROW($AP46),COLUMN($AP46))&amp;":"&amp;ADDRESS(ROW($AV46),COLUMN($AV46)),ADDRESS(ROW($AP46),COLUMN($AP46)))</f>
        <v>#N/A</v>
      </c>
      <c r="AG46" s="2897" t="e">
        <f>IF(AD46=1,NOT(OR(AND(INT(M46/L46)=M46/L46,M46&gt;0),AND(INT(O46/N46)=O46/N46,O46&gt;0),AND(INT(Q46/P46)=Q46/P46,Q46&gt;0),AND(INT(S46/R46)=S46/R46,S46&gt;0),AND(INT(U46/T46)=U46/T46,U46&gt;0))),NOT(OR(M46=L46,O46=N46,Q46=P46,S46=R46,U46=T46)))</f>
        <v>#N/A</v>
      </c>
      <c r="AH46" s="2905" t="e">
        <f>VLOOKUP($E46,Tablas!$R$924:$T$945,2,0)*AH$45/2</f>
        <v>#N/A</v>
      </c>
      <c r="AI46" s="2905" t="e">
        <f>VLOOKUP($E46,Tablas!$R$924:$T$945,2,0)*AI$45/2</f>
        <v>#N/A</v>
      </c>
      <c r="AJ46" s="2905" t="e">
        <f>VLOOKUP($E46,Tablas!$R$924:$T$945,2,0)*AJ$45/2</f>
        <v>#N/A</v>
      </c>
      <c r="AK46" s="2905" t="e">
        <f>VLOOKUP($E46,Tablas!$R$924:$T$945,2,0)*AK$45/2</f>
        <v>#N/A</v>
      </c>
      <c r="AL46" s="2905" t="e">
        <f>VLOOKUP($E46,Tablas!$R$924:$T$945,2,0)*AL$45/2</f>
        <v>#N/A</v>
      </c>
      <c r="AM46" s="2905" t="e">
        <f>VLOOKUP($E46,Tablas!$R$924:$T$945,2,0)*AM$45/2</f>
        <v>#N/A</v>
      </c>
      <c r="AN46" s="2905" t="e">
        <f>VLOOKUP($E46,Tablas!$R$924:$T$945,2,0)*AN$45/2</f>
        <v>#N/A</v>
      </c>
      <c r="AO46" s="2905" t="e">
        <f>VLOOKUP($E46,Tablas!$R$924:$T$945,2,0)*AO$45/2</f>
        <v>#N/A</v>
      </c>
      <c r="AP46" s="2905" t="e">
        <f>VLOOKUP($E46,Tablas!$R$924:$T$945,2,0)*AP$45</f>
        <v>#N/A</v>
      </c>
      <c r="AQ46" s="2905" t="e">
        <f>VLOOKUP($E46,Tablas!$R$924:$T$945,2,0)*AQ$45</f>
        <v>#N/A</v>
      </c>
      <c r="AR46" s="2905" t="e">
        <f>VLOOKUP($E46,Tablas!$R$924:$T$945,2,0)*AR$45</f>
        <v>#N/A</v>
      </c>
      <c r="AS46" s="2905" t="e">
        <f>VLOOKUP($E46,Tablas!$R$924:$T$945,2,0)*AS$45</f>
        <v>#N/A</v>
      </c>
      <c r="AT46" s="2905" t="e">
        <f>VLOOKUP($E46,Tablas!$R$924:$T$945,2,0)*AT$45</f>
        <v>#N/A</v>
      </c>
      <c r="AU46" s="2905" t="e">
        <f>VLOOKUP($E46,Tablas!$R$924:$T$945,2,0)*AU$45</f>
        <v>#N/A</v>
      </c>
      <c r="AV46" s="2905" t="e">
        <f>VLOOKUP($E46,Tablas!$R$924:$T$945,2,0)*AV$45</f>
        <v>#N/A</v>
      </c>
    </row>
    <row r="47" spans="1:48" ht="12" customHeight="1" x14ac:dyDescent="0.2">
      <c r="A47" s="10"/>
      <c r="B47" s="872"/>
      <c r="C47" s="3660"/>
      <c r="D47" s="3764"/>
      <c r="E47" s="3799"/>
      <c r="F47" s="3800"/>
      <c r="G47" s="3800"/>
      <c r="H47" s="3800"/>
      <c r="I47" s="3800"/>
      <c r="J47" s="3800"/>
      <c r="K47" s="3801"/>
      <c r="L47" s="2136" t="str">
        <f t="shared" si="14"/>
        <v/>
      </c>
      <c r="M47" s="1581"/>
      <c r="N47" s="2136" t="str">
        <f t="shared" si="15"/>
        <v/>
      </c>
      <c r="O47" s="1581"/>
      <c r="P47" s="2136" t="str">
        <f t="shared" si="16"/>
        <v/>
      </c>
      <c r="Q47" s="1581"/>
      <c r="R47" s="2136" t="str">
        <f t="shared" si="17"/>
        <v/>
      </c>
      <c r="S47" s="1581"/>
      <c r="T47" s="2136" t="str">
        <f t="shared" si="18"/>
        <v/>
      </c>
      <c r="U47" s="1581"/>
      <c r="V47" s="3941" t="str">
        <f t="shared" ref="V47:V55" si="19">IF($E47="","",IF(AND(AD47=1,M47/L47+O47/N47+Q47/P47+S47/R47+U47/T47&gt;1),SUBSTITUTE(VLOOKUP($E47,Tabla_Tabla_Estilos,8,FALSE),"XXX",M47/L47+O47/N47+Q47/P47+S47/R47+U47/T47),VLOOKUP($E47,Tabla_Tabla_Estilos,4,FALSE)))</f>
        <v/>
      </c>
      <c r="W47" s="3942"/>
      <c r="X47" s="3942"/>
      <c r="Y47" s="3942"/>
      <c r="Z47" s="3942"/>
      <c r="AA47" s="3943"/>
      <c r="AB47" s="1875"/>
      <c r="AC47" s="899"/>
      <c r="AD47" s="2888" t="e">
        <f>VLOOKUP(E47,Tablas!$R$924:$T$945,3,0)</f>
        <v>#N/A</v>
      </c>
      <c r="AE47" s="2897" t="e">
        <f t="shared" ref="AE47:AE55" si="20">IF(AD47=1,ADDRESS(ROW($AH47),COLUMN($AH47))&amp;":"&amp;ADDRESS(ROW($AO47),COLUMN($AO47)),ADDRESS(ROW($AH47),COLUMN($AH47)))</f>
        <v>#N/A</v>
      </c>
      <c r="AF47" s="2905" t="e">
        <f t="shared" ref="AF47:AF55" si="21">IF(AD47=1,ADDRESS(ROW($AP47),COLUMN($AP47))&amp;":"&amp;ADDRESS(ROW($AV47),COLUMN($AV47)),ADDRESS(ROW($AP47),COLUMN($AP47)))</f>
        <v>#N/A</v>
      </c>
      <c r="AG47" s="2897" t="e">
        <f t="shared" ref="AG47:AG55" si="22">IF(AD47=1,NOT(OR(AND(INT(M47/L47)=M47/L47,M47&gt;0),AND(INT(O47/N47)=O47/N47,O47&gt;0),AND(INT(Q47/P47)=Q47/P47,Q47&gt;0),AND(INT(S47/R47)=S47/R47,S47&gt;0),AND(INT(U47/T47)=U47/T47,U47&gt;0))),NOT(OR(M47=L47,O47=N47,Q47=P47,S47=R47,U47=T47)))</f>
        <v>#N/A</v>
      </c>
      <c r="AH47" s="2905" t="e">
        <f>VLOOKUP($E47,Tablas!$R$924:$T$945,2,0)*AH$45/2</f>
        <v>#N/A</v>
      </c>
      <c r="AI47" s="2905" t="e">
        <f>VLOOKUP($E47,Tablas!$R$924:$T$945,2,0)*AI$45/2</f>
        <v>#N/A</v>
      </c>
      <c r="AJ47" s="2905" t="e">
        <f>VLOOKUP($E47,Tablas!$R$924:$T$945,2,0)*AJ$45/2</f>
        <v>#N/A</v>
      </c>
      <c r="AK47" s="2905" t="e">
        <f>VLOOKUP($E47,Tablas!$R$924:$T$945,2,0)*AK$45/2</f>
        <v>#N/A</v>
      </c>
      <c r="AL47" s="2905" t="e">
        <f>VLOOKUP($E47,Tablas!$R$924:$T$945,2,0)*AL$45/2</f>
        <v>#N/A</v>
      </c>
      <c r="AM47" s="2905" t="e">
        <f>VLOOKUP($E47,Tablas!$R$924:$T$945,2,0)*AM$45/2</f>
        <v>#N/A</v>
      </c>
      <c r="AN47" s="2905" t="e">
        <f>VLOOKUP($E47,Tablas!$R$924:$T$945,2,0)*AN$45/2</f>
        <v>#N/A</v>
      </c>
      <c r="AO47" s="2905" t="e">
        <f>VLOOKUP($E47,Tablas!$R$924:$T$945,2,0)*AO$45/2</f>
        <v>#N/A</v>
      </c>
      <c r="AP47" s="2905" t="e">
        <f>VLOOKUP($E47,Tablas!$R$924:$T$945,2,0)*AP$45</f>
        <v>#N/A</v>
      </c>
      <c r="AQ47" s="2905" t="e">
        <f>VLOOKUP($E47,Tablas!$R$924:$T$945,2,0)*AQ$45</f>
        <v>#N/A</v>
      </c>
      <c r="AR47" s="2905" t="e">
        <f>VLOOKUP($E47,Tablas!$R$924:$T$945,2,0)*AR$45</f>
        <v>#N/A</v>
      </c>
      <c r="AS47" s="2905" t="e">
        <f>VLOOKUP($E47,Tablas!$R$924:$T$945,2,0)*AS$45</f>
        <v>#N/A</v>
      </c>
      <c r="AT47" s="2905" t="e">
        <f>VLOOKUP($E47,Tablas!$R$924:$T$945,2,0)*AT$45</f>
        <v>#N/A</v>
      </c>
      <c r="AU47" s="2905" t="e">
        <f>VLOOKUP($E47,Tablas!$R$924:$T$945,2,0)*AU$45</f>
        <v>#N/A</v>
      </c>
      <c r="AV47" s="2905" t="e">
        <f>VLOOKUP($E47,Tablas!$R$924:$T$945,2,0)*AV$45</f>
        <v>#N/A</v>
      </c>
    </row>
    <row r="48" spans="1:48" ht="12" customHeight="1" x14ac:dyDescent="0.2">
      <c r="A48" s="10"/>
      <c r="B48" s="872"/>
      <c r="C48" s="3660"/>
      <c r="D48" s="3764"/>
      <c r="E48" s="3682"/>
      <c r="F48" s="3683"/>
      <c r="G48" s="3683"/>
      <c r="H48" s="3683"/>
      <c r="I48" s="3683"/>
      <c r="J48" s="3683"/>
      <c r="K48" s="3802"/>
      <c r="L48" s="2141" t="str">
        <f t="shared" si="14"/>
        <v/>
      </c>
      <c r="M48" s="1599"/>
      <c r="N48" s="2141" t="str">
        <f t="shared" si="15"/>
        <v/>
      </c>
      <c r="O48" s="1599"/>
      <c r="P48" s="2141" t="str">
        <f t="shared" si="16"/>
        <v/>
      </c>
      <c r="Q48" s="1599"/>
      <c r="R48" s="2141" t="str">
        <f t="shared" si="17"/>
        <v/>
      </c>
      <c r="S48" s="1599"/>
      <c r="T48" s="2141" t="str">
        <f t="shared" si="18"/>
        <v/>
      </c>
      <c r="U48" s="1599"/>
      <c r="V48" s="3944" t="str">
        <f t="shared" si="19"/>
        <v/>
      </c>
      <c r="W48" s="3945"/>
      <c r="X48" s="3945"/>
      <c r="Y48" s="3945"/>
      <c r="Z48" s="3945"/>
      <c r="AA48" s="3946"/>
      <c r="AB48" s="1875"/>
      <c r="AC48" s="899"/>
      <c r="AD48" s="2888" t="e">
        <f>VLOOKUP(E48,Tablas!$R$924:$T$945,3,0)</f>
        <v>#N/A</v>
      </c>
      <c r="AE48" s="2897" t="e">
        <f t="shared" si="20"/>
        <v>#N/A</v>
      </c>
      <c r="AF48" s="2905" t="e">
        <f t="shared" si="21"/>
        <v>#N/A</v>
      </c>
      <c r="AG48" s="2897" t="e">
        <f t="shared" si="22"/>
        <v>#N/A</v>
      </c>
      <c r="AH48" s="2905" t="e">
        <f>VLOOKUP($E48,Tablas!$R$924:$T$945,2,0)*AH$45/2</f>
        <v>#N/A</v>
      </c>
      <c r="AI48" s="2905" t="e">
        <f>VLOOKUP($E48,Tablas!$R$924:$T$945,2,0)*AI$45/2</f>
        <v>#N/A</v>
      </c>
      <c r="AJ48" s="2905" t="e">
        <f>VLOOKUP($E48,Tablas!$R$924:$T$945,2,0)*AJ$45/2</f>
        <v>#N/A</v>
      </c>
      <c r="AK48" s="2905" t="e">
        <f>VLOOKUP($E48,Tablas!$R$924:$T$945,2,0)*AK$45/2</f>
        <v>#N/A</v>
      </c>
      <c r="AL48" s="2905" t="e">
        <f>VLOOKUP($E48,Tablas!$R$924:$T$945,2,0)*AL$45/2</f>
        <v>#N/A</v>
      </c>
      <c r="AM48" s="2905" t="e">
        <f>VLOOKUP($E48,Tablas!$R$924:$T$945,2,0)*AM$45/2</f>
        <v>#N/A</v>
      </c>
      <c r="AN48" s="2905" t="e">
        <f>VLOOKUP($E48,Tablas!$R$924:$T$945,2,0)*AN$45/2</f>
        <v>#N/A</v>
      </c>
      <c r="AO48" s="2905" t="e">
        <f>VLOOKUP($E48,Tablas!$R$924:$T$945,2,0)*AO$45/2</f>
        <v>#N/A</v>
      </c>
      <c r="AP48" s="2905" t="e">
        <f>VLOOKUP($E48,Tablas!$R$924:$T$945,2,0)*AP$45</f>
        <v>#N/A</v>
      </c>
      <c r="AQ48" s="2905" t="e">
        <f>VLOOKUP($E48,Tablas!$R$924:$T$945,2,0)*AQ$45</f>
        <v>#N/A</v>
      </c>
      <c r="AR48" s="2905" t="e">
        <f>VLOOKUP($E48,Tablas!$R$924:$T$945,2,0)*AR$45</f>
        <v>#N/A</v>
      </c>
      <c r="AS48" s="2905" t="e">
        <f>VLOOKUP($E48,Tablas!$R$924:$T$945,2,0)*AS$45</f>
        <v>#N/A</v>
      </c>
      <c r="AT48" s="2905" t="e">
        <f>VLOOKUP($E48,Tablas!$R$924:$T$945,2,0)*AT$45</f>
        <v>#N/A</v>
      </c>
      <c r="AU48" s="2905" t="e">
        <f>VLOOKUP($E48,Tablas!$R$924:$T$945,2,0)*AU$45</f>
        <v>#N/A</v>
      </c>
      <c r="AV48" s="2905" t="e">
        <f>VLOOKUP($E48,Tablas!$R$924:$T$945,2,0)*AV$45</f>
        <v>#N/A</v>
      </c>
    </row>
    <row r="49" spans="1:48" ht="12" customHeight="1" x14ac:dyDescent="0.2">
      <c r="A49" s="10"/>
      <c r="B49" s="872"/>
      <c r="C49" s="3660"/>
      <c r="D49" s="3764"/>
      <c r="E49" s="3799"/>
      <c r="F49" s="3800"/>
      <c r="G49" s="3800"/>
      <c r="H49" s="3800"/>
      <c r="I49" s="3800"/>
      <c r="J49" s="3800"/>
      <c r="K49" s="3801"/>
      <c r="L49" s="2136" t="str">
        <f t="shared" si="14"/>
        <v/>
      </c>
      <c r="M49" s="1581"/>
      <c r="N49" s="2136" t="str">
        <f t="shared" si="15"/>
        <v/>
      </c>
      <c r="O49" s="1581"/>
      <c r="P49" s="2136" t="str">
        <f t="shared" si="16"/>
        <v/>
      </c>
      <c r="Q49" s="1581"/>
      <c r="R49" s="2136" t="str">
        <f t="shared" si="17"/>
        <v/>
      </c>
      <c r="S49" s="1581"/>
      <c r="T49" s="2136" t="str">
        <f t="shared" si="18"/>
        <v/>
      </c>
      <c r="U49" s="1581"/>
      <c r="V49" s="3941" t="str">
        <f t="shared" si="19"/>
        <v/>
      </c>
      <c r="W49" s="3942"/>
      <c r="X49" s="3942"/>
      <c r="Y49" s="3942"/>
      <c r="Z49" s="3942"/>
      <c r="AA49" s="3943"/>
      <c r="AB49" s="1875"/>
      <c r="AC49" s="899"/>
      <c r="AD49" s="2888" t="e">
        <f>VLOOKUP(E49,Tablas!$R$924:$T$945,3,0)</f>
        <v>#N/A</v>
      </c>
      <c r="AE49" s="2897" t="e">
        <f t="shared" si="20"/>
        <v>#N/A</v>
      </c>
      <c r="AF49" s="2905" t="e">
        <f t="shared" si="21"/>
        <v>#N/A</v>
      </c>
      <c r="AG49" s="2897" t="e">
        <f t="shared" si="22"/>
        <v>#N/A</v>
      </c>
      <c r="AH49" s="2905" t="e">
        <f>VLOOKUP($E49,Tablas!$R$924:$T$945,2,0)*AH$45/2</f>
        <v>#N/A</v>
      </c>
      <c r="AI49" s="2905" t="e">
        <f>VLOOKUP($E49,Tablas!$R$924:$T$945,2,0)*AI$45/2</f>
        <v>#N/A</v>
      </c>
      <c r="AJ49" s="2905" t="e">
        <f>VLOOKUP($E49,Tablas!$R$924:$T$945,2,0)*AJ$45/2</f>
        <v>#N/A</v>
      </c>
      <c r="AK49" s="2905" t="e">
        <f>VLOOKUP($E49,Tablas!$R$924:$T$945,2,0)*AK$45/2</f>
        <v>#N/A</v>
      </c>
      <c r="AL49" s="2905" t="e">
        <f>VLOOKUP($E49,Tablas!$R$924:$T$945,2,0)*AL$45/2</f>
        <v>#N/A</v>
      </c>
      <c r="AM49" s="2905" t="e">
        <f>VLOOKUP($E49,Tablas!$R$924:$T$945,2,0)*AM$45/2</f>
        <v>#N/A</v>
      </c>
      <c r="AN49" s="2905" t="e">
        <f>VLOOKUP($E49,Tablas!$R$924:$T$945,2,0)*AN$45/2</f>
        <v>#N/A</v>
      </c>
      <c r="AO49" s="2905" t="e">
        <f>VLOOKUP($E49,Tablas!$R$924:$T$945,2,0)*AO$45/2</f>
        <v>#N/A</v>
      </c>
      <c r="AP49" s="2905" t="e">
        <f>VLOOKUP($E49,Tablas!$R$924:$T$945,2,0)*AP$45</f>
        <v>#N/A</v>
      </c>
      <c r="AQ49" s="2905" t="e">
        <f>VLOOKUP($E49,Tablas!$R$924:$T$945,2,0)*AQ$45</f>
        <v>#N/A</v>
      </c>
      <c r="AR49" s="2905" t="e">
        <f>VLOOKUP($E49,Tablas!$R$924:$T$945,2,0)*AR$45</f>
        <v>#N/A</v>
      </c>
      <c r="AS49" s="2905" t="e">
        <f>VLOOKUP($E49,Tablas!$R$924:$T$945,2,0)*AS$45</f>
        <v>#N/A</v>
      </c>
      <c r="AT49" s="2905" t="e">
        <f>VLOOKUP($E49,Tablas!$R$924:$T$945,2,0)*AT$45</f>
        <v>#N/A</v>
      </c>
      <c r="AU49" s="2905" t="e">
        <f>VLOOKUP($E49,Tablas!$R$924:$T$945,2,0)*AU$45</f>
        <v>#N/A</v>
      </c>
      <c r="AV49" s="2905" t="e">
        <f>VLOOKUP($E49,Tablas!$R$924:$T$945,2,0)*AV$45</f>
        <v>#N/A</v>
      </c>
    </row>
    <row r="50" spans="1:48" ht="12" customHeight="1" x14ac:dyDescent="0.2">
      <c r="A50" s="10"/>
      <c r="B50" s="872"/>
      <c r="C50" s="3660"/>
      <c r="D50" s="3764"/>
      <c r="E50" s="3682"/>
      <c r="F50" s="3683"/>
      <c r="G50" s="3683"/>
      <c r="H50" s="3683"/>
      <c r="I50" s="3683"/>
      <c r="J50" s="3683"/>
      <c r="K50" s="3802"/>
      <c r="L50" s="2141" t="str">
        <f t="shared" si="14"/>
        <v/>
      </c>
      <c r="M50" s="1599"/>
      <c r="N50" s="2141" t="str">
        <f t="shared" si="15"/>
        <v/>
      </c>
      <c r="O50" s="1599"/>
      <c r="P50" s="2141" t="str">
        <f t="shared" si="16"/>
        <v/>
      </c>
      <c r="Q50" s="1599"/>
      <c r="R50" s="2141" t="str">
        <f t="shared" si="17"/>
        <v/>
      </c>
      <c r="S50" s="1599"/>
      <c r="T50" s="2141" t="str">
        <f t="shared" si="18"/>
        <v/>
      </c>
      <c r="U50" s="1599"/>
      <c r="V50" s="3944" t="str">
        <f t="shared" si="19"/>
        <v/>
      </c>
      <c r="W50" s="3945"/>
      <c r="X50" s="3945"/>
      <c r="Y50" s="3945"/>
      <c r="Z50" s="3945"/>
      <c r="AA50" s="3946"/>
      <c r="AB50" s="1875"/>
      <c r="AC50" s="899"/>
      <c r="AD50" s="2888" t="e">
        <f>VLOOKUP(E50,Tablas!$R$924:$T$945,3,0)</f>
        <v>#N/A</v>
      </c>
      <c r="AE50" s="2897" t="e">
        <f t="shared" si="20"/>
        <v>#N/A</v>
      </c>
      <c r="AF50" s="2905" t="e">
        <f t="shared" si="21"/>
        <v>#N/A</v>
      </c>
      <c r="AG50" s="2897" t="e">
        <f t="shared" si="22"/>
        <v>#N/A</v>
      </c>
      <c r="AH50" s="2905" t="e">
        <f>VLOOKUP($E50,Tablas!$R$924:$T$945,2,0)*AH$45/2</f>
        <v>#N/A</v>
      </c>
      <c r="AI50" s="2905" t="e">
        <f>VLOOKUP($E50,Tablas!$R$924:$T$945,2,0)*AI$45/2</f>
        <v>#N/A</v>
      </c>
      <c r="AJ50" s="2905" t="e">
        <f>VLOOKUP($E50,Tablas!$R$924:$T$945,2,0)*AJ$45/2</f>
        <v>#N/A</v>
      </c>
      <c r="AK50" s="2905" t="e">
        <f>VLOOKUP($E50,Tablas!$R$924:$T$945,2,0)*AK$45/2</f>
        <v>#N/A</v>
      </c>
      <c r="AL50" s="2905" t="e">
        <f>VLOOKUP($E50,Tablas!$R$924:$T$945,2,0)*AL$45/2</f>
        <v>#N/A</v>
      </c>
      <c r="AM50" s="2905" t="e">
        <f>VLOOKUP($E50,Tablas!$R$924:$T$945,2,0)*AM$45/2</f>
        <v>#N/A</v>
      </c>
      <c r="AN50" s="2905" t="e">
        <f>VLOOKUP($E50,Tablas!$R$924:$T$945,2,0)*AN$45/2</f>
        <v>#N/A</v>
      </c>
      <c r="AO50" s="2905" t="e">
        <f>VLOOKUP($E50,Tablas!$R$924:$T$945,2,0)*AO$45/2</f>
        <v>#N/A</v>
      </c>
      <c r="AP50" s="2905" t="e">
        <f>VLOOKUP($E50,Tablas!$R$924:$T$945,2,0)*AP$45</f>
        <v>#N/A</v>
      </c>
      <c r="AQ50" s="2905" t="e">
        <f>VLOOKUP($E50,Tablas!$R$924:$T$945,2,0)*AQ$45</f>
        <v>#N/A</v>
      </c>
      <c r="AR50" s="2905" t="e">
        <f>VLOOKUP($E50,Tablas!$R$924:$T$945,2,0)*AR$45</f>
        <v>#N/A</v>
      </c>
      <c r="AS50" s="2905" t="e">
        <f>VLOOKUP($E50,Tablas!$R$924:$T$945,2,0)*AS$45</f>
        <v>#N/A</v>
      </c>
      <c r="AT50" s="2905" t="e">
        <f>VLOOKUP($E50,Tablas!$R$924:$T$945,2,0)*AT$45</f>
        <v>#N/A</v>
      </c>
      <c r="AU50" s="2905" t="e">
        <f>VLOOKUP($E50,Tablas!$R$924:$T$945,2,0)*AU$45</f>
        <v>#N/A</v>
      </c>
      <c r="AV50" s="2905" t="e">
        <f>VLOOKUP($E50,Tablas!$R$924:$T$945,2,0)*AV$45</f>
        <v>#N/A</v>
      </c>
    </row>
    <row r="51" spans="1:48" ht="12" customHeight="1" x14ac:dyDescent="0.2">
      <c r="A51" s="10"/>
      <c r="B51" s="872"/>
      <c r="C51" s="3660"/>
      <c r="D51" s="3764"/>
      <c r="E51" s="3799"/>
      <c r="F51" s="3800"/>
      <c r="G51" s="3800"/>
      <c r="H51" s="3800"/>
      <c r="I51" s="3800"/>
      <c r="J51" s="3800"/>
      <c r="K51" s="3801"/>
      <c r="L51" s="2136" t="str">
        <f t="shared" si="14"/>
        <v/>
      </c>
      <c r="M51" s="1581"/>
      <c r="N51" s="2136" t="str">
        <f t="shared" si="15"/>
        <v/>
      </c>
      <c r="O51" s="1581"/>
      <c r="P51" s="2136" t="str">
        <f t="shared" si="16"/>
        <v/>
      </c>
      <c r="Q51" s="1581"/>
      <c r="R51" s="2136" t="str">
        <f t="shared" si="17"/>
        <v/>
      </c>
      <c r="S51" s="1581"/>
      <c r="T51" s="2136" t="str">
        <f t="shared" si="18"/>
        <v/>
      </c>
      <c r="U51" s="1581"/>
      <c r="V51" s="3941" t="str">
        <f t="shared" si="19"/>
        <v/>
      </c>
      <c r="W51" s="3942"/>
      <c r="X51" s="3942"/>
      <c r="Y51" s="3942"/>
      <c r="Z51" s="3942"/>
      <c r="AA51" s="3943"/>
      <c r="AB51" s="1875"/>
      <c r="AC51" s="899"/>
      <c r="AD51" s="2888" t="e">
        <f>VLOOKUP(E51,Tablas!$R$924:$T$945,3,0)</f>
        <v>#N/A</v>
      </c>
      <c r="AE51" s="2897" t="e">
        <f t="shared" si="20"/>
        <v>#N/A</v>
      </c>
      <c r="AF51" s="2905" t="e">
        <f t="shared" si="21"/>
        <v>#N/A</v>
      </c>
      <c r="AG51" s="2897" t="e">
        <f t="shared" si="22"/>
        <v>#N/A</v>
      </c>
      <c r="AH51" s="2905" t="e">
        <f>VLOOKUP($E51,Tablas!$R$924:$T$945,2,0)*AH$45/2</f>
        <v>#N/A</v>
      </c>
      <c r="AI51" s="2905" t="e">
        <f>VLOOKUP($E51,Tablas!$R$924:$T$945,2,0)*AI$45/2</f>
        <v>#N/A</v>
      </c>
      <c r="AJ51" s="2905" t="e">
        <f>VLOOKUP($E51,Tablas!$R$924:$T$945,2,0)*AJ$45/2</f>
        <v>#N/A</v>
      </c>
      <c r="AK51" s="2905" t="e">
        <f>VLOOKUP($E51,Tablas!$R$924:$T$945,2,0)*AK$45/2</f>
        <v>#N/A</v>
      </c>
      <c r="AL51" s="2905" t="e">
        <f>VLOOKUP($E51,Tablas!$R$924:$T$945,2,0)*AL$45/2</f>
        <v>#N/A</v>
      </c>
      <c r="AM51" s="2905" t="e">
        <f>VLOOKUP($E51,Tablas!$R$924:$T$945,2,0)*AM$45/2</f>
        <v>#N/A</v>
      </c>
      <c r="AN51" s="2905" t="e">
        <f>VLOOKUP($E51,Tablas!$R$924:$T$945,2,0)*AN$45/2</f>
        <v>#N/A</v>
      </c>
      <c r="AO51" s="2905" t="e">
        <f>VLOOKUP($E51,Tablas!$R$924:$T$945,2,0)*AO$45/2</f>
        <v>#N/A</v>
      </c>
      <c r="AP51" s="2905" t="e">
        <f>VLOOKUP($E51,Tablas!$R$924:$T$945,2,0)*AP$45</f>
        <v>#N/A</v>
      </c>
      <c r="AQ51" s="2905" t="e">
        <f>VLOOKUP($E51,Tablas!$R$924:$T$945,2,0)*AQ$45</f>
        <v>#N/A</v>
      </c>
      <c r="AR51" s="2905" t="e">
        <f>VLOOKUP($E51,Tablas!$R$924:$T$945,2,0)*AR$45</f>
        <v>#N/A</v>
      </c>
      <c r="AS51" s="2905" t="e">
        <f>VLOOKUP($E51,Tablas!$R$924:$T$945,2,0)*AS$45</f>
        <v>#N/A</v>
      </c>
      <c r="AT51" s="2905" t="e">
        <f>VLOOKUP($E51,Tablas!$R$924:$T$945,2,0)*AT$45</f>
        <v>#N/A</v>
      </c>
      <c r="AU51" s="2905" t="e">
        <f>VLOOKUP($E51,Tablas!$R$924:$T$945,2,0)*AU$45</f>
        <v>#N/A</v>
      </c>
      <c r="AV51" s="2905" t="e">
        <f>VLOOKUP($E51,Tablas!$R$924:$T$945,2,0)*AV$45</f>
        <v>#N/A</v>
      </c>
    </row>
    <row r="52" spans="1:48" ht="12" customHeight="1" x14ac:dyDescent="0.2">
      <c r="A52" s="10"/>
      <c r="B52" s="872"/>
      <c r="C52" s="3660"/>
      <c r="D52" s="3764"/>
      <c r="E52" s="3682"/>
      <c r="F52" s="3683"/>
      <c r="G52" s="3683"/>
      <c r="H52" s="3683"/>
      <c r="I52" s="3683"/>
      <c r="J52" s="3683"/>
      <c r="K52" s="3802"/>
      <c r="L52" s="2141" t="str">
        <f t="shared" si="14"/>
        <v/>
      </c>
      <c r="M52" s="1603"/>
      <c r="N52" s="2141" t="str">
        <f t="shared" si="15"/>
        <v/>
      </c>
      <c r="O52" s="1603"/>
      <c r="P52" s="2141" t="str">
        <f t="shared" si="16"/>
        <v/>
      </c>
      <c r="Q52" s="1603"/>
      <c r="R52" s="2141" t="str">
        <f t="shared" si="17"/>
        <v/>
      </c>
      <c r="S52" s="1603"/>
      <c r="T52" s="2141" t="str">
        <f t="shared" si="18"/>
        <v/>
      </c>
      <c r="U52" s="1603"/>
      <c r="V52" s="3944" t="str">
        <f t="shared" si="19"/>
        <v/>
      </c>
      <c r="W52" s="3945"/>
      <c r="X52" s="3945"/>
      <c r="Y52" s="3945"/>
      <c r="Z52" s="3945"/>
      <c r="AA52" s="3946"/>
      <c r="AB52" s="1875"/>
      <c r="AC52" s="899"/>
      <c r="AD52" s="2888" t="e">
        <f>VLOOKUP(E52,Tablas!$R$924:$T$945,3,0)</f>
        <v>#N/A</v>
      </c>
      <c r="AE52" s="2897" t="e">
        <f t="shared" si="20"/>
        <v>#N/A</v>
      </c>
      <c r="AF52" s="2905" t="e">
        <f t="shared" si="21"/>
        <v>#N/A</v>
      </c>
      <c r="AG52" s="2897" t="e">
        <f t="shared" si="22"/>
        <v>#N/A</v>
      </c>
      <c r="AH52" s="2905" t="e">
        <f>VLOOKUP($E52,Tablas!$R$924:$T$945,2,0)*AH$45/2</f>
        <v>#N/A</v>
      </c>
      <c r="AI52" s="2905" t="e">
        <f>VLOOKUP($E52,Tablas!$R$924:$T$945,2,0)*AI$45/2</f>
        <v>#N/A</v>
      </c>
      <c r="AJ52" s="2905" t="e">
        <f>VLOOKUP($E52,Tablas!$R$924:$T$945,2,0)*AJ$45/2</f>
        <v>#N/A</v>
      </c>
      <c r="AK52" s="2905" t="e">
        <f>VLOOKUP($E52,Tablas!$R$924:$T$945,2,0)*AK$45/2</f>
        <v>#N/A</v>
      </c>
      <c r="AL52" s="2905" t="e">
        <f>VLOOKUP($E52,Tablas!$R$924:$T$945,2,0)*AL$45/2</f>
        <v>#N/A</v>
      </c>
      <c r="AM52" s="2905" t="e">
        <f>VLOOKUP($E52,Tablas!$R$924:$T$945,2,0)*AM$45/2</f>
        <v>#N/A</v>
      </c>
      <c r="AN52" s="2905" t="e">
        <f>VLOOKUP($E52,Tablas!$R$924:$T$945,2,0)*AN$45/2</f>
        <v>#N/A</v>
      </c>
      <c r="AO52" s="2905" t="e">
        <f>VLOOKUP($E52,Tablas!$R$924:$T$945,2,0)*AO$45/2</f>
        <v>#N/A</v>
      </c>
      <c r="AP52" s="2905" t="e">
        <f>VLOOKUP($E52,Tablas!$R$924:$T$945,2,0)*AP$45</f>
        <v>#N/A</v>
      </c>
      <c r="AQ52" s="2905" t="e">
        <f>VLOOKUP($E52,Tablas!$R$924:$T$945,2,0)*AQ$45</f>
        <v>#N/A</v>
      </c>
      <c r="AR52" s="2905" t="e">
        <f>VLOOKUP($E52,Tablas!$R$924:$T$945,2,0)*AR$45</f>
        <v>#N/A</v>
      </c>
      <c r="AS52" s="2905" t="e">
        <f>VLOOKUP($E52,Tablas!$R$924:$T$945,2,0)*AS$45</f>
        <v>#N/A</v>
      </c>
      <c r="AT52" s="2905" t="e">
        <f>VLOOKUP($E52,Tablas!$R$924:$T$945,2,0)*AT$45</f>
        <v>#N/A</v>
      </c>
      <c r="AU52" s="2905" t="e">
        <f>VLOOKUP($E52,Tablas!$R$924:$T$945,2,0)*AU$45</f>
        <v>#N/A</v>
      </c>
      <c r="AV52" s="2905" t="e">
        <f>VLOOKUP($E52,Tablas!$R$924:$T$945,2,0)*AV$45</f>
        <v>#N/A</v>
      </c>
    </row>
    <row r="53" spans="1:48" ht="12" customHeight="1" x14ac:dyDescent="0.2">
      <c r="A53" s="10"/>
      <c r="B53" s="872"/>
      <c r="C53" s="3660"/>
      <c r="D53" s="3764"/>
      <c r="E53" s="3799"/>
      <c r="F53" s="3800"/>
      <c r="G53" s="3800"/>
      <c r="H53" s="3800"/>
      <c r="I53" s="3800"/>
      <c r="J53" s="3800"/>
      <c r="K53" s="3801"/>
      <c r="L53" s="2136" t="str">
        <f t="shared" si="14"/>
        <v/>
      </c>
      <c r="M53" s="1585"/>
      <c r="N53" s="2136" t="str">
        <f t="shared" si="15"/>
        <v/>
      </c>
      <c r="O53" s="1585"/>
      <c r="P53" s="2136" t="str">
        <f t="shared" si="16"/>
        <v/>
      </c>
      <c r="Q53" s="1585"/>
      <c r="R53" s="2136" t="str">
        <f t="shared" si="17"/>
        <v/>
      </c>
      <c r="S53" s="1585"/>
      <c r="T53" s="2136" t="str">
        <f t="shared" si="18"/>
        <v/>
      </c>
      <c r="U53" s="1585"/>
      <c r="V53" s="3941" t="str">
        <f t="shared" si="19"/>
        <v/>
      </c>
      <c r="W53" s="3942"/>
      <c r="X53" s="3942"/>
      <c r="Y53" s="3942"/>
      <c r="Z53" s="3942"/>
      <c r="AA53" s="3943"/>
      <c r="AB53" s="1875"/>
      <c r="AC53" s="899"/>
      <c r="AD53" s="2888" t="e">
        <f>VLOOKUP(E53,Tablas!$R$924:$T$945,3,0)</f>
        <v>#N/A</v>
      </c>
      <c r="AE53" s="2897" t="e">
        <f t="shared" si="20"/>
        <v>#N/A</v>
      </c>
      <c r="AF53" s="2905" t="e">
        <f t="shared" si="21"/>
        <v>#N/A</v>
      </c>
      <c r="AG53" s="2897" t="e">
        <f t="shared" si="22"/>
        <v>#N/A</v>
      </c>
      <c r="AH53" s="2905" t="e">
        <f>VLOOKUP($E53,Tablas!$R$924:$T$945,2,0)*AH$45/2</f>
        <v>#N/A</v>
      </c>
      <c r="AI53" s="2905" t="e">
        <f>VLOOKUP($E53,Tablas!$R$924:$T$945,2,0)*AI$45/2</f>
        <v>#N/A</v>
      </c>
      <c r="AJ53" s="2905" t="e">
        <f>VLOOKUP($E53,Tablas!$R$924:$T$945,2,0)*AJ$45/2</f>
        <v>#N/A</v>
      </c>
      <c r="AK53" s="2905" t="e">
        <f>VLOOKUP($E53,Tablas!$R$924:$T$945,2,0)*AK$45/2</f>
        <v>#N/A</v>
      </c>
      <c r="AL53" s="2905" t="e">
        <f>VLOOKUP($E53,Tablas!$R$924:$T$945,2,0)*AL$45/2</f>
        <v>#N/A</v>
      </c>
      <c r="AM53" s="2905" t="e">
        <f>VLOOKUP($E53,Tablas!$R$924:$T$945,2,0)*AM$45/2</f>
        <v>#N/A</v>
      </c>
      <c r="AN53" s="2905" t="e">
        <f>VLOOKUP($E53,Tablas!$R$924:$T$945,2,0)*AN$45/2</f>
        <v>#N/A</v>
      </c>
      <c r="AO53" s="2905" t="e">
        <f>VLOOKUP($E53,Tablas!$R$924:$T$945,2,0)*AO$45/2</f>
        <v>#N/A</v>
      </c>
      <c r="AP53" s="2905" t="e">
        <f>VLOOKUP($E53,Tablas!$R$924:$T$945,2,0)*AP$45</f>
        <v>#N/A</v>
      </c>
      <c r="AQ53" s="2905" t="e">
        <f>VLOOKUP($E53,Tablas!$R$924:$T$945,2,0)*AQ$45</f>
        <v>#N/A</v>
      </c>
      <c r="AR53" s="2905" t="e">
        <f>VLOOKUP($E53,Tablas!$R$924:$T$945,2,0)*AR$45</f>
        <v>#N/A</v>
      </c>
      <c r="AS53" s="2905" t="e">
        <f>VLOOKUP($E53,Tablas!$R$924:$T$945,2,0)*AS$45</f>
        <v>#N/A</v>
      </c>
      <c r="AT53" s="2905" t="e">
        <f>VLOOKUP($E53,Tablas!$R$924:$T$945,2,0)*AT$45</f>
        <v>#N/A</v>
      </c>
      <c r="AU53" s="2905" t="e">
        <f>VLOOKUP($E53,Tablas!$R$924:$T$945,2,0)*AU$45</f>
        <v>#N/A</v>
      </c>
      <c r="AV53" s="2905" t="e">
        <f>VLOOKUP($E53,Tablas!$R$924:$T$945,2,0)*AV$45</f>
        <v>#N/A</v>
      </c>
    </row>
    <row r="54" spans="1:48" ht="12" customHeight="1" x14ac:dyDescent="0.2">
      <c r="A54" s="10"/>
      <c r="B54" s="872"/>
      <c r="C54" s="3660"/>
      <c r="D54" s="3764"/>
      <c r="E54" s="3682"/>
      <c r="F54" s="3683"/>
      <c r="G54" s="3683"/>
      <c r="H54" s="3683"/>
      <c r="I54" s="3683"/>
      <c r="J54" s="3683"/>
      <c r="K54" s="3802"/>
      <c r="L54" s="2141" t="str">
        <f t="shared" si="14"/>
        <v/>
      </c>
      <c r="M54" s="1603"/>
      <c r="N54" s="2141" t="str">
        <f t="shared" si="15"/>
        <v/>
      </c>
      <c r="O54" s="1603"/>
      <c r="P54" s="2141" t="str">
        <f t="shared" si="16"/>
        <v/>
      </c>
      <c r="Q54" s="1603"/>
      <c r="R54" s="2141" t="str">
        <f t="shared" si="17"/>
        <v/>
      </c>
      <c r="S54" s="1603"/>
      <c r="T54" s="2141" t="str">
        <f t="shared" si="18"/>
        <v/>
      </c>
      <c r="U54" s="1603"/>
      <c r="V54" s="3944" t="str">
        <f t="shared" si="19"/>
        <v/>
      </c>
      <c r="W54" s="3945"/>
      <c r="X54" s="3945"/>
      <c r="Y54" s="3945"/>
      <c r="Z54" s="3945"/>
      <c r="AA54" s="3946"/>
      <c r="AB54" s="1875"/>
      <c r="AC54" s="899"/>
      <c r="AD54" s="2888" t="e">
        <f>VLOOKUP(E54,Tablas!$R$924:$T$945,3,0)</f>
        <v>#N/A</v>
      </c>
      <c r="AE54" s="2897" t="e">
        <f t="shared" si="20"/>
        <v>#N/A</v>
      </c>
      <c r="AF54" s="2905" t="e">
        <f t="shared" si="21"/>
        <v>#N/A</v>
      </c>
      <c r="AG54" s="2897" t="e">
        <f t="shared" si="22"/>
        <v>#N/A</v>
      </c>
      <c r="AH54" s="2905" t="e">
        <f>VLOOKUP($E54,Tablas!$R$924:$T$945,2,0)*AH$45/2</f>
        <v>#N/A</v>
      </c>
      <c r="AI54" s="2905" t="e">
        <f>VLOOKUP($E54,Tablas!$R$924:$T$945,2,0)*AI$45/2</f>
        <v>#N/A</v>
      </c>
      <c r="AJ54" s="2905" t="e">
        <f>VLOOKUP($E54,Tablas!$R$924:$T$945,2,0)*AJ$45/2</f>
        <v>#N/A</v>
      </c>
      <c r="AK54" s="2905" t="e">
        <f>VLOOKUP($E54,Tablas!$R$924:$T$945,2,0)*AK$45/2</f>
        <v>#N/A</v>
      </c>
      <c r="AL54" s="2905" t="e">
        <f>VLOOKUP($E54,Tablas!$R$924:$T$945,2,0)*AL$45/2</f>
        <v>#N/A</v>
      </c>
      <c r="AM54" s="2905" t="e">
        <f>VLOOKUP($E54,Tablas!$R$924:$T$945,2,0)*AM$45/2</f>
        <v>#N/A</v>
      </c>
      <c r="AN54" s="2905" t="e">
        <f>VLOOKUP($E54,Tablas!$R$924:$T$945,2,0)*AN$45/2</f>
        <v>#N/A</v>
      </c>
      <c r="AO54" s="2905" t="e">
        <f>VLOOKUP($E54,Tablas!$R$924:$T$945,2,0)*AO$45/2</f>
        <v>#N/A</v>
      </c>
      <c r="AP54" s="2905" t="e">
        <f>VLOOKUP($E54,Tablas!$R$924:$T$945,2,0)*AP$45</f>
        <v>#N/A</v>
      </c>
      <c r="AQ54" s="2905" t="e">
        <f>VLOOKUP($E54,Tablas!$R$924:$T$945,2,0)*AQ$45</f>
        <v>#N/A</v>
      </c>
      <c r="AR54" s="2905" t="e">
        <f>VLOOKUP($E54,Tablas!$R$924:$T$945,2,0)*AR$45</f>
        <v>#N/A</v>
      </c>
      <c r="AS54" s="2905" t="e">
        <f>VLOOKUP($E54,Tablas!$R$924:$T$945,2,0)*AS$45</f>
        <v>#N/A</v>
      </c>
      <c r="AT54" s="2905" t="e">
        <f>VLOOKUP($E54,Tablas!$R$924:$T$945,2,0)*AT$45</f>
        <v>#N/A</v>
      </c>
      <c r="AU54" s="2905" t="e">
        <f>VLOOKUP($E54,Tablas!$R$924:$T$945,2,0)*AU$45</f>
        <v>#N/A</v>
      </c>
      <c r="AV54" s="2905" t="e">
        <f>VLOOKUP($E54,Tablas!$R$924:$T$945,2,0)*AV$45</f>
        <v>#N/A</v>
      </c>
    </row>
    <row r="55" spans="1:48" ht="12" customHeight="1" x14ac:dyDescent="0.2">
      <c r="A55" s="10"/>
      <c r="B55" s="872"/>
      <c r="C55" s="3660"/>
      <c r="D55" s="3765"/>
      <c r="E55" s="3818"/>
      <c r="F55" s="3819"/>
      <c r="G55" s="3819"/>
      <c r="H55" s="3819"/>
      <c r="I55" s="3819"/>
      <c r="J55" s="3819"/>
      <c r="K55" s="3820"/>
      <c r="L55" s="2139" t="str">
        <f t="shared" si="14"/>
        <v/>
      </c>
      <c r="M55" s="1586"/>
      <c r="N55" s="2139" t="str">
        <f t="shared" si="15"/>
        <v/>
      </c>
      <c r="O55" s="1586"/>
      <c r="P55" s="2139" t="str">
        <f t="shared" si="16"/>
        <v/>
      </c>
      <c r="Q55" s="1586"/>
      <c r="R55" s="2139" t="str">
        <f t="shared" si="17"/>
        <v/>
      </c>
      <c r="S55" s="1586"/>
      <c r="T55" s="2139" t="str">
        <f t="shared" si="18"/>
        <v/>
      </c>
      <c r="U55" s="1586"/>
      <c r="V55" s="3947" t="str">
        <f t="shared" si="19"/>
        <v/>
      </c>
      <c r="W55" s="3948"/>
      <c r="X55" s="3948"/>
      <c r="Y55" s="3948"/>
      <c r="Z55" s="3948"/>
      <c r="AA55" s="3949"/>
      <c r="AB55" s="1875"/>
      <c r="AC55" s="899"/>
      <c r="AD55" s="2888" t="e">
        <f>VLOOKUP(E55,Tablas!$R$924:$T$945,3,0)</f>
        <v>#N/A</v>
      </c>
      <c r="AE55" s="2897" t="e">
        <f t="shared" si="20"/>
        <v>#N/A</v>
      </c>
      <c r="AF55" s="2905" t="e">
        <f t="shared" si="21"/>
        <v>#N/A</v>
      </c>
      <c r="AG55" s="2897" t="e">
        <f t="shared" si="22"/>
        <v>#N/A</v>
      </c>
      <c r="AH55" s="2905" t="e">
        <f>VLOOKUP($E55,Tablas!$R$924:$T$945,2,0)*AH$45/2</f>
        <v>#N/A</v>
      </c>
      <c r="AI55" s="2905" t="e">
        <f>VLOOKUP($E55,Tablas!$R$924:$T$945,2,0)*AI$45/2</f>
        <v>#N/A</v>
      </c>
      <c r="AJ55" s="2905" t="e">
        <f>VLOOKUP($E55,Tablas!$R$924:$T$945,2,0)*AJ$45/2</f>
        <v>#N/A</v>
      </c>
      <c r="AK55" s="2905" t="e">
        <f>VLOOKUP($E55,Tablas!$R$924:$T$945,2,0)*AK$45/2</f>
        <v>#N/A</v>
      </c>
      <c r="AL55" s="2905" t="e">
        <f>VLOOKUP($E55,Tablas!$R$924:$T$945,2,0)*AL$45/2</f>
        <v>#N/A</v>
      </c>
      <c r="AM55" s="2905" t="e">
        <f>VLOOKUP($E55,Tablas!$R$924:$T$945,2,0)*AM$45/2</f>
        <v>#N/A</v>
      </c>
      <c r="AN55" s="2905" t="e">
        <f>VLOOKUP($E55,Tablas!$R$924:$T$945,2,0)*AN$45/2</f>
        <v>#N/A</v>
      </c>
      <c r="AO55" s="2905" t="e">
        <f>VLOOKUP($E55,Tablas!$R$924:$T$945,2,0)*AO$45/2</f>
        <v>#N/A</v>
      </c>
      <c r="AP55" s="2905" t="e">
        <f>VLOOKUP($E55,Tablas!$R$924:$T$945,2,0)*AP$45</f>
        <v>#N/A</v>
      </c>
      <c r="AQ55" s="2905" t="e">
        <f>VLOOKUP($E55,Tablas!$R$924:$T$945,2,0)*AQ$45</f>
        <v>#N/A</v>
      </c>
      <c r="AR55" s="2905" t="e">
        <f>VLOOKUP($E55,Tablas!$R$924:$T$945,2,0)*AR$45</f>
        <v>#N/A</v>
      </c>
      <c r="AS55" s="2905" t="e">
        <f>VLOOKUP($E55,Tablas!$R$924:$T$945,2,0)*AS$45</f>
        <v>#N/A</v>
      </c>
      <c r="AT55" s="2905" t="e">
        <f>VLOOKUP($E55,Tablas!$R$924:$T$945,2,0)*AT$45</f>
        <v>#N/A</v>
      </c>
      <c r="AU55" s="2905" t="e">
        <f>VLOOKUP($E55,Tablas!$R$924:$T$945,2,0)*AU$45</f>
        <v>#N/A</v>
      </c>
      <c r="AV55" s="2905" t="e">
        <f>VLOOKUP($E55,Tablas!$R$924:$T$945,2,0)*AV$45</f>
        <v>#N/A</v>
      </c>
    </row>
    <row r="56" spans="1:48" ht="12" customHeight="1" x14ac:dyDescent="0.2">
      <c r="A56" s="10"/>
      <c r="B56" s="872"/>
      <c r="C56" s="3660"/>
      <c r="D56" s="3763" t="s">
        <v>1507</v>
      </c>
      <c r="E56" s="3766"/>
      <c r="F56" s="3767"/>
      <c r="G56" s="3767"/>
      <c r="H56" s="3767"/>
      <c r="I56" s="3768"/>
      <c r="J56" s="3744"/>
      <c r="K56" s="3745"/>
      <c r="L56" s="533" t="str">
        <f>IFERROR(IF(NOT(Tablas!$AK$825),INDEX(Tablas!$AN827:$AP827,1,Tablas!$AL827),IF(M56&lt;&gt;"",IF(Tablas!$AK827="Básica",INDEX(Tablas!$AF$837:$AF$839,AG56),IF(Tablas!$AK827="Avanzada",INDEX(Tablas!$AG$837:$AG$838,AG56),"")),"")),"")</f>
        <v/>
      </c>
      <c r="M56" s="1599"/>
      <c r="N56" s="2141" t="str">
        <f>IFERROR(IF(NOT(Tablas!$AK$825),INDEX(Tablas!AP827:AR827,1,Tablas!AN827),IF(O56&lt;&gt;"",IF(Tablas!$AK827="Básica",INDEX(Tablas!$AF$837:$AF$839,AH56),IF(Tablas!$AK827="Avanzada",INDEX(Tablas!$AG$837:$AG$838,AH56),"")),"")),"")</f>
        <v/>
      </c>
      <c r="O56" s="1599"/>
      <c r="P56" s="62" t="str">
        <f>IFERROR(IF(NOT(Tablas!$AK$825),INDEX(Tablas!AR827:AT827,1,Tablas!AP827),IF(Q56&lt;&gt;"",IF(Tablas!$AK827="Básica",INDEX(Tablas!$AF$837:$AF$839,AI56),IF(Tablas!$AK827="Avanzada",INDEX(Tablas!$AG$837:$AG$838,AI56),"")),"")),"")</f>
        <v/>
      </c>
      <c r="Q56" s="1599"/>
      <c r="R56" s="62" t="str">
        <f>IFERROR(IF(NOT(Tablas!$AK$825),INDEX(Tablas!AT827:AV827,1,Tablas!AR827),IF(S56&lt;&gt;"",IF(Tablas!$AK827="Básica",INDEX(Tablas!$AF$837:$AF$839,AJ56),IF(Tablas!$AK827="Avanzada",INDEX(Tablas!$AG$837:$AG$838,AJ56),"")),"")),"")</f>
        <v/>
      </c>
      <c r="S56" s="1599"/>
      <c r="T56" s="62" t="str">
        <f>IFERROR(IF(NOT(Tablas!$AK$825),INDEX(Tablas!AV827:AX827,1,Tablas!AT827),IF(U56&lt;&gt;"",IF(Tablas!$AK827="Básica",INDEX(Tablas!$AF$837:$AF$839,AK56),IF(Tablas!$AK827="Avanzada",INDEX(Tablas!$AG$837:$AG$838,AK56),"")),"")),"")</f>
        <v/>
      </c>
      <c r="U56" s="1599"/>
      <c r="V56" s="3931" t="str">
        <f t="shared" ref="V56:V72" si="23">IF($AD56=0,"",IF(AF56&gt;1,"ARTE MARCIAL REPETIDA",IF(NOT(AL56),"ARTE MARCIAL SIN PAGAR",IF(VLOOKUP($AD56,Tabla_ArtesMarciales,23,FALSE)&lt;&gt;"-","FALTAN REQUISITOS",IF(VLOOKUP($AD56,Tabla_ArtesMarciales,16,FALSE)&gt;55,"Ver",VLOOKUP($AD56,Tabla_ArtesMarciales,11,FALSE))))))</f>
        <v/>
      </c>
      <c r="W56" s="3932"/>
      <c r="X56" s="3932"/>
      <c r="Y56" s="3932"/>
      <c r="Z56" s="3932"/>
      <c r="AA56" s="3933"/>
      <c r="AB56" s="1875"/>
      <c r="AC56" s="899"/>
      <c r="AD56" s="2888">
        <f>IF(OR(E56="",J56=""),,E56&amp;" ("&amp;J56&amp;")")</f>
        <v>0</v>
      </c>
      <c r="AE56" s="2897" t="str">
        <f>Tablas!$AK827</f>
        <v/>
      </c>
      <c r="AF56" s="2888">
        <f>COUNTIF($E$56:$E56,E56)</f>
        <v>0</v>
      </c>
      <c r="AG56" s="2905">
        <f>Tablas!$AQ827</f>
        <v>1</v>
      </c>
      <c r="AH56" s="2905">
        <f>Tablas!$AV827</f>
        <v>1</v>
      </c>
      <c r="AI56" s="2905">
        <f>Tablas!$BA827</f>
        <v>1</v>
      </c>
      <c r="AJ56" s="2905">
        <f>Tablas!$BF827</f>
        <v>1</v>
      </c>
      <c r="AK56" s="2905">
        <f>Tablas!$BK827</f>
        <v>1</v>
      </c>
      <c r="AL56" s="1872" t="b">
        <f>Tablas!BL827=1</f>
        <v>0</v>
      </c>
      <c r="AM56" s="2892"/>
      <c r="AN56" s="2892"/>
      <c r="AO56" s="2892"/>
      <c r="AP56" s="2892"/>
      <c r="AQ56" s="1872"/>
      <c r="AR56" s="1872"/>
      <c r="AS56" s="1872"/>
      <c r="AT56" s="1872"/>
      <c r="AU56" s="1872"/>
      <c r="AV56" s="1872"/>
    </row>
    <row r="57" spans="1:48" ht="12" customHeight="1" x14ac:dyDescent="0.2">
      <c r="A57" s="10"/>
      <c r="B57" s="872"/>
      <c r="C57" s="3660"/>
      <c r="D57" s="3764"/>
      <c r="E57" s="3746"/>
      <c r="F57" s="3747"/>
      <c r="G57" s="3747"/>
      <c r="H57" s="3747"/>
      <c r="I57" s="3748"/>
      <c r="J57" s="3749"/>
      <c r="K57" s="3750"/>
      <c r="L57" s="1962" t="str">
        <f>IFERROR(IF(NOT(Tablas!$AK$825),INDEX(Tablas!$AN828:$AP828,1,Tablas!AL828),IF(M57&lt;&gt;"",IF(Tablas!$AK828="Básica",INDEX(Tablas!$AF$837:$AF$839,AG57),IF(Tablas!$AK828="Avanzada",INDEX(Tablas!$AG$837:$AG$838,AG57),"")),"")),"")</f>
        <v/>
      </c>
      <c r="M57" s="1581"/>
      <c r="N57" s="2136" t="str">
        <f>IFERROR(IF(NOT(Tablas!$AK$825),INDEX(Tablas!AP828:AR828,1,Tablas!AN828),IF(O57&lt;&gt;"",IF(Tablas!$AK828="Básica",INDEX(Tablas!$AF$837:$AF$839,AH57),IF(Tablas!$AK828="Avanzada",INDEX(Tablas!$AG$837:$AG$838,AH57),"")),"")),"")</f>
        <v/>
      </c>
      <c r="O57" s="1581"/>
      <c r="P57" s="1978" t="str">
        <f>IFERROR(IF(NOT(Tablas!$AK$825),INDEX(Tablas!AR828:AT828,1,Tablas!AP828),IF(Q57&lt;&gt;"",IF(Tablas!$AK828="Básica",INDEX(Tablas!$AF$837:$AF$839,AI57),IF(Tablas!$AK828="Avanzada",INDEX(Tablas!$AG$837:$AG$838,AI57),"")),"")),"")</f>
        <v/>
      </c>
      <c r="Q57" s="1581"/>
      <c r="R57" s="1978" t="str">
        <f>IFERROR(IF(NOT(Tablas!$AK$825),INDEX(Tablas!AT828:AV828,1,Tablas!AR828),IF(S57&lt;&gt;"",IF(Tablas!$AK828="Básica",INDEX(Tablas!$AF$837:$AF$839,AJ57),IF(Tablas!$AK828="Avanzada",INDEX(Tablas!$AG$837:$AG$838,AJ57),"")),"")),"")</f>
        <v/>
      </c>
      <c r="S57" s="1581"/>
      <c r="T57" s="1978" t="str">
        <f>IFERROR(IF(NOT(Tablas!$AK$825),INDEX(Tablas!AV828:AX828,1,Tablas!AT828),IF(U57&lt;&gt;"",IF(Tablas!$AK828="Básica",INDEX(Tablas!$AF$837:$AF$839,AK57),IF(Tablas!$AK828="Avanzada",INDEX(Tablas!$AG$837:$AG$838,AK57),"")),"")),"")</f>
        <v/>
      </c>
      <c r="U57" s="1581"/>
      <c r="V57" s="3772" t="str">
        <f t="shared" si="23"/>
        <v/>
      </c>
      <c r="W57" s="3773"/>
      <c r="X57" s="3773"/>
      <c r="Y57" s="3773"/>
      <c r="Z57" s="3773"/>
      <c r="AA57" s="3774"/>
      <c r="AB57" s="1875"/>
      <c r="AC57" s="899"/>
      <c r="AD57" s="2888">
        <f t="shared" ref="AD57:AD74" si="24">IF(OR(E57="",J57=""),,E57&amp;" ("&amp;J57&amp;")")</f>
        <v>0</v>
      </c>
      <c r="AE57" s="2897" t="str">
        <f>Tablas!$AK828</f>
        <v/>
      </c>
      <c r="AF57" s="2888">
        <f>COUNTIF($E$56:$E57,E57)</f>
        <v>0</v>
      </c>
      <c r="AG57" s="2905">
        <f>Tablas!$AQ828</f>
        <v>1</v>
      </c>
      <c r="AH57" s="2905">
        <f>Tablas!$AV828</f>
        <v>1</v>
      </c>
      <c r="AI57" s="2905">
        <f>Tablas!$BA828</f>
        <v>1</v>
      </c>
      <c r="AJ57" s="2905">
        <f>Tablas!$BF828</f>
        <v>1</v>
      </c>
      <c r="AK57" s="2905">
        <f>Tablas!$BK828</f>
        <v>1</v>
      </c>
      <c r="AL57" s="1872" t="b">
        <f>Tablas!BL828=1</f>
        <v>0</v>
      </c>
      <c r="AM57" s="2892"/>
      <c r="AN57" s="2892"/>
      <c r="AO57" s="2892"/>
      <c r="AP57" s="2892"/>
      <c r="AQ57" s="1872"/>
      <c r="AR57" s="1872"/>
      <c r="AS57" s="1872"/>
      <c r="AT57" s="1872"/>
      <c r="AU57" s="1872"/>
      <c r="AV57" s="1872"/>
    </row>
    <row r="58" spans="1:48" ht="12" customHeight="1" x14ac:dyDescent="0.2">
      <c r="A58" s="10"/>
      <c r="B58" s="872"/>
      <c r="C58" s="3660"/>
      <c r="D58" s="3764"/>
      <c r="E58" s="3766"/>
      <c r="F58" s="3767"/>
      <c r="G58" s="3767"/>
      <c r="H58" s="3767"/>
      <c r="I58" s="3768"/>
      <c r="J58" s="3744"/>
      <c r="K58" s="3745"/>
      <c r="L58" s="533" t="str">
        <f>IFERROR(IF(NOT(Tablas!$AK$825),INDEX(Tablas!$AN829:$AP829,1,Tablas!AL829),IF(M58&lt;&gt;"",IF(Tablas!$AK829="Básica",INDEX(Tablas!$AF$837:$AF$839,AG58),IF(Tablas!$AK829="Avanzada",INDEX(Tablas!$AG$837:$AG$838,AG58),"")),"")),"")</f>
        <v/>
      </c>
      <c r="M58" s="1599"/>
      <c r="N58" s="2141" t="str">
        <f>IFERROR(IF(NOT(Tablas!$AK$825),INDEX(Tablas!AP829:AR829,1,Tablas!AN829),IF(O58&lt;&gt;"",IF(Tablas!$AK829="Básica",INDEX(Tablas!$AF$837:$AF$839,AH58),IF(Tablas!$AK829="Avanzada",INDEX(Tablas!$AG$837:$AG$838,AH58),"")),"")),"")</f>
        <v/>
      </c>
      <c r="O58" s="1599"/>
      <c r="P58" s="62" t="str">
        <f>IFERROR(IF(NOT(Tablas!$AK$825),INDEX(Tablas!AR829:AT829,1,Tablas!AP829),IF(Q58&lt;&gt;"",IF(Tablas!$AK829="Básica",INDEX(Tablas!$AF$837:$AF$839,AI58),IF(Tablas!$AK829="Avanzada",INDEX(Tablas!$AG$837:$AG$838,AI58),"")),"")),"")</f>
        <v/>
      </c>
      <c r="Q58" s="1599"/>
      <c r="R58" s="62" t="str">
        <f>IFERROR(IF(NOT(Tablas!$AK$825),INDEX(Tablas!AT829:AV829,1,Tablas!AR829),IF(S58&lt;&gt;"",IF(Tablas!$AK829="Básica",INDEX(Tablas!$AF$837:$AF$839,AJ58),IF(Tablas!$AK829="Avanzada",INDEX(Tablas!$AG$837:$AG$838,AJ58),"")),"")),"")</f>
        <v/>
      </c>
      <c r="S58" s="1599"/>
      <c r="T58" s="62" t="str">
        <f>IFERROR(IF(NOT(Tablas!$AK$825),INDEX(Tablas!AV829:AX829,1,Tablas!AT829),IF(U58&lt;&gt;"",IF(Tablas!$AK829="Básica",INDEX(Tablas!$AF$837:$AF$839,AK58),IF(Tablas!$AK829="Avanzada",INDEX(Tablas!$AG$837:$AG$838,AK58),"")),"")),"")</f>
        <v/>
      </c>
      <c r="U58" s="1599"/>
      <c r="V58" s="3769" t="str">
        <f t="shared" si="23"/>
        <v/>
      </c>
      <c r="W58" s="3770"/>
      <c r="X58" s="3770"/>
      <c r="Y58" s="3770"/>
      <c r="Z58" s="3770"/>
      <c r="AA58" s="3771"/>
      <c r="AB58" s="1875"/>
      <c r="AC58" s="899"/>
      <c r="AD58" s="2888">
        <f t="shared" si="24"/>
        <v>0</v>
      </c>
      <c r="AE58" s="2897" t="str">
        <f>Tablas!$AK829</f>
        <v/>
      </c>
      <c r="AF58" s="2888">
        <f>COUNTIF($E$56:$E58,E58)</f>
        <v>0</v>
      </c>
      <c r="AG58" s="2905">
        <f>Tablas!$AQ829</f>
        <v>1</v>
      </c>
      <c r="AH58" s="2905">
        <f>Tablas!$AV829</f>
        <v>1</v>
      </c>
      <c r="AI58" s="2905">
        <f>Tablas!$BA829</f>
        <v>1</v>
      </c>
      <c r="AJ58" s="2905">
        <f>Tablas!$BF829</f>
        <v>1</v>
      </c>
      <c r="AK58" s="2905">
        <f>Tablas!$BK829</f>
        <v>1</v>
      </c>
      <c r="AL58" s="1872" t="b">
        <f>Tablas!BL829=1</f>
        <v>0</v>
      </c>
      <c r="AM58" s="2892"/>
      <c r="AN58" s="2892"/>
      <c r="AO58" s="2892"/>
      <c r="AP58" s="2892"/>
      <c r="AQ58" s="1872"/>
      <c r="AR58" s="1872"/>
      <c r="AS58" s="1872"/>
      <c r="AT58" s="1872"/>
      <c r="AU58" s="1872"/>
      <c r="AV58" s="1872"/>
    </row>
    <row r="59" spans="1:48" ht="12" customHeight="1" x14ac:dyDescent="0.2">
      <c r="A59" s="10"/>
      <c r="B59" s="872"/>
      <c r="C59" s="3660"/>
      <c r="D59" s="3764"/>
      <c r="E59" s="3746"/>
      <c r="F59" s="3747"/>
      <c r="G59" s="3747"/>
      <c r="H59" s="3747"/>
      <c r="I59" s="3748"/>
      <c r="J59" s="3749"/>
      <c r="K59" s="3750"/>
      <c r="L59" s="1962" t="str">
        <f>IFERROR(IF(NOT(Tablas!$AK$825),INDEX(Tablas!$AN830:$AP830,1,Tablas!AL830),IF(M59&lt;&gt;"",IF(Tablas!$AK830="Básica",INDEX(Tablas!$AF$837:$AF$839,AG59),IF(Tablas!$AK830="Avanzada",INDEX(Tablas!$AG$837:$AG$838,AG59),"")),"")),"")</f>
        <v/>
      </c>
      <c r="M59" s="1581"/>
      <c r="N59" s="2136" t="str">
        <f>IFERROR(IF(NOT(Tablas!$AK$825),INDEX(Tablas!AP830:AR830,1,Tablas!AN830),IF(O59&lt;&gt;"",IF(Tablas!$AK830="Básica",INDEX(Tablas!$AF$837:$AF$839,AH59),IF(Tablas!$AK830="Avanzada",INDEX(Tablas!$AG$837:$AG$838,AH59),"")),"")),"")</f>
        <v/>
      </c>
      <c r="O59" s="1581"/>
      <c r="P59" s="1978" t="str">
        <f>IFERROR(IF(NOT(Tablas!$AK$825),INDEX(Tablas!AR830:AT830,1,Tablas!AP830),IF(Q59&lt;&gt;"",IF(Tablas!$AK830="Básica",INDEX(Tablas!$AF$837:$AF$839,AI59),IF(Tablas!$AK830="Avanzada",INDEX(Tablas!$AG$837:$AG$838,AI59),"")),"")),"")</f>
        <v/>
      </c>
      <c r="Q59" s="1581"/>
      <c r="R59" s="1978" t="str">
        <f>IFERROR(IF(NOT(Tablas!$AK$825),INDEX(Tablas!AT830:AV830,1,Tablas!AR830),IF(S59&lt;&gt;"",IF(Tablas!$AK830="Básica",INDEX(Tablas!$AF$837:$AF$839,AJ59),IF(Tablas!$AK830="Avanzada",INDEX(Tablas!$AG$837:$AG$838,AJ59),"")),"")),"")</f>
        <v/>
      </c>
      <c r="S59" s="1581"/>
      <c r="T59" s="1978" t="str">
        <f>IFERROR(IF(NOT(Tablas!$AK$825),INDEX(Tablas!AV830:AX830,1,Tablas!AT830),IF(U59&lt;&gt;"",IF(Tablas!$AK830="Básica",INDEX(Tablas!$AF$837:$AF$839,AK59),IF(Tablas!$AK830="Avanzada",INDEX(Tablas!$AG$837:$AG$838,AK59),"")),"")),"")</f>
        <v/>
      </c>
      <c r="U59" s="1581"/>
      <c r="V59" s="3772" t="str">
        <f t="shared" si="23"/>
        <v/>
      </c>
      <c r="W59" s="3773"/>
      <c r="X59" s="3773"/>
      <c r="Y59" s="3773"/>
      <c r="Z59" s="3773"/>
      <c r="AA59" s="3774"/>
      <c r="AB59" s="1875"/>
      <c r="AC59" s="899"/>
      <c r="AD59" s="2888">
        <f t="shared" si="24"/>
        <v>0</v>
      </c>
      <c r="AE59" s="2897" t="str">
        <f>Tablas!$AK830</f>
        <v/>
      </c>
      <c r="AF59" s="2888">
        <f>COUNTIF($E$56:$E59,E59)</f>
        <v>0</v>
      </c>
      <c r="AG59" s="2905">
        <f>Tablas!$AQ830</f>
        <v>1</v>
      </c>
      <c r="AH59" s="2905">
        <f>Tablas!$AV830</f>
        <v>1</v>
      </c>
      <c r="AI59" s="2905">
        <f>Tablas!$BA830</f>
        <v>1</v>
      </c>
      <c r="AJ59" s="2905">
        <f>Tablas!$BF830</f>
        <v>1</v>
      </c>
      <c r="AK59" s="2905">
        <f>Tablas!$BK830</f>
        <v>1</v>
      </c>
      <c r="AL59" s="1872" t="b">
        <f>Tablas!BL830=1</f>
        <v>0</v>
      </c>
      <c r="AM59" s="2892"/>
      <c r="AN59" s="2892"/>
      <c r="AO59" s="2892"/>
      <c r="AP59" s="2892"/>
      <c r="AQ59" s="1872"/>
      <c r="AR59" s="1872"/>
      <c r="AS59" s="1872"/>
      <c r="AT59" s="1872"/>
      <c r="AU59" s="1872"/>
      <c r="AV59" s="1872"/>
    </row>
    <row r="60" spans="1:48" ht="12" customHeight="1" x14ac:dyDescent="0.2">
      <c r="A60" s="10"/>
      <c r="B60" s="872"/>
      <c r="C60" s="3660"/>
      <c r="D60" s="3764"/>
      <c r="E60" s="3766"/>
      <c r="F60" s="3767"/>
      <c r="G60" s="3767"/>
      <c r="H60" s="3767"/>
      <c r="I60" s="3768"/>
      <c r="J60" s="3744"/>
      <c r="K60" s="3745"/>
      <c r="L60" s="533" t="str">
        <f>IFERROR(IF(NOT(Tablas!$AK$825),INDEX(Tablas!$AN831:$AP831,1,Tablas!AL831),IF(M60&lt;&gt;"",IF(Tablas!$AK831="Básica",INDEX(Tablas!$AF$837:$AF$839,AG60),IF(Tablas!$AK831="Avanzada",INDEX(Tablas!$AG$837:$AG$838,AG60),"")),"")),"")</f>
        <v/>
      </c>
      <c r="M60" s="1599"/>
      <c r="N60" s="2141" t="str">
        <f>IFERROR(IF(NOT(Tablas!$AK$825),INDEX(Tablas!AP831:AR831,1,Tablas!AN831),IF(O60&lt;&gt;"",IF(Tablas!$AK831="Básica",INDEX(Tablas!$AF$837:$AF$839,AH60),IF(Tablas!$AK831="Avanzada",INDEX(Tablas!$AG$837:$AG$838,AH60),"")),"")),"")</f>
        <v/>
      </c>
      <c r="O60" s="1599"/>
      <c r="P60" s="62" t="str">
        <f>IFERROR(IF(NOT(Tablas!$AK$825),INDEX(Tablas!AR831:AT831,1,Tablas!AP831),IF(Q60&lt;&gt;"",IF(Tablas!$AK831="Básica",INDEX(Tablas!$AF$837:$AF$839,AI60),IF(Tablas!$AK831="Avanzada",INDEX(Tablas!$AG$837:$AG$838,AI60),"")),"")),"")</f>
        <v/>
      </c>
      <c r="Q60" s="1599"/>
      <c r="R60" s="62" t="str">
        <f>IFERROR(IF(NOT(Tablas!$AK$825),INDEX(Tablas!AT831:AV831,1,Tablas!AR831),IF(S60&lt;&gt;"",IF(Tablas!$AK831="Básica",INDEX(Tablas!$AF$837:$AF$839,AJ60),IF(Tablas!$AK831="Avanzada",INDEX(Tablas!$AG$837:$AG$838,AJ60),"")),"")),"")</f>
        <v/>
      </c>
      <c r="S60" s="1599"/>
      <c r="T60" s="62" t="str">
        <f>IFERROR(IF(NOT(Tablas!$AK$825),INDEX(Tablas!AV831:AX831,1,Tablas!AT831),IF(U60&lt;&gt;"",IF(Tablas!$AK831="Básica",INDEX(Tablas!$AF$837:$AF$839,AK60),IF(Tablas!$AK831="Avanzada",INDEX(Tablas!$AG$837:$AG$838,AK60),"")),"")),"")</f>
        <v/>
      </c>
      <c r="U60" s="1599"/>
      <c r="V60" s="3769" t="str">
        <f t="shared" si="23"/>
        <v/>
      </c>
      <c r="W60" s="3770"/>
      <c r="X60" s="3770"/>
      <c r="Y60" s="3770"/>
      <c r="Z60" s="3770"/>
      <c r="AA60" s="3771"/>
      <c r="AB60" s="1875"/>
      <c r="AC60" s="899"/>
      <c r="AD60" s="2888">
        <f t="shared" si="24"/>
        <v>0</v>
      </c>
      <c r="AE60" s="2897" t="str">
        <f>Tablas!$AK831</f>
        <v/>
      </c>
      <c r="AF60" s="2888">
        <f>COUNTIF($E$56:$E60,E60)</f>
        <v>0</v>
      </c>
      <c r="AG60" s="2905">
        <f>Tablas!$AQ831</f>
        <v>1</v>
      </c>
      <c r="AH60" s="2905">
        <f>Tablas!$AV831</f>
        <v>1</v>
      </c>
      <c r="AI60" s="2905">
        <f>Tablas!$BA831</f>
        <v>1</v>
      </c>
      <c r="AJ60" s="2905">
        <f>Tablas!$BF831</f>
        <v>1</v>
      </c>
      <c r="AK60" s="2905">
        <f>Tablas!$BK831</f>
        <v>1</v>
      </c>
      <c r="AL60" s="1872" t="b">
        <f>Tablas!BL831=1</f>
        <v>0</v>
      </c>
      <c r="AM60" s="2892"/>
      <c r="AN60" s="2892"/>
      <c r="AO60" s="2892"/>
      <c r="AP60" s="2892"/>
      <c r="AQ60" s="1872"/>
      <c r="AR60" s="1872"/>
      <c r="AS60" s="1872"/>
      <c r="AT60" s="1872"/>
      <c r="AU60" s="1872"/>
      <c r="AV60" s="1872"/>
    </row>
    <row r="61" spans="1:48" ht="12" customHeight="1" x14ac:dyDescent="0.2">
      <c r="A61" s="10"/>
      <c r="B61" s="872"/>
      <c r="C61" s="3660"/>
      <c r="D61" s="3764"/>
      <c r="E61" s="3746"/>
      <c r="F61" s="3747"/>
      <c r="G61" s="3747"/>
      <c r="H61" s="3747"/>
      <c r="I61" s="3748"/>
      <c r="J61" s="3749"/>
      <c r="K61" s="3750"/>
      <c r="L61" s="1962" t="str">
        <f>IFERROR(IF(NOT(Tablas!$AK$825),INDEX(Tablas!$AN832:$AP832,1,Tablas!AL832),IF(M61&lt;&gt;"",IF(Tablas!$AK832="Básica",INDEX(Tablas!$AF$837:$AF$839,AG61),IF(Tablas!$AK832="Avanzada",INDEX(Tablas!$AG$837:$AG$838,AG61),"")),"")),"")</f>
        <v/>
      </c>
      <c r="M61" s="1581"/>
      <c r="N61" s="2136" t="str">
        <f>IFERROR(IF(NOT(Tablas!$AK$825),INDEX(Tablas!AP832:AR832,1,Tablas!AN832),IF(O61&lt;&gt;"",IF(Tablas!$AK832="Básica",INDEX(Tablas!$AF$837:$AF$839,AH61),IF(Tablas!$AK832="Avanzada",INDEX(Tablas!$AG$837:$AG$838,AH61),"")),"")),"")</f>
        <v/>
      </c>
      <c r="O61" s="1581"/>
      <c r="P61" s="1978" t="str">
        <f>IFERROR(IF(NOT(Tablas!$AK$825),INDEX(Tablas!AR832:AT832,1,Tablas!AP832),IF(Q61&lt;&gt;"",IF(Tablas!$AK832="Básica",INDEX(Tablas!$AF$837:$AF$839,AI61),IF(Tablas!$AK832="Avanzada",INDEX(Tablas!$AG$837:$AG$838,AI61),"")),"")),"")</f>
        <v/>
      </c>
      <c r="Q61" s="1581"/>
      <c r="R61" s="1978" t="str">
        <f>IFERROR(IF(NOT(Tablas!$AK$825),INDEX(Tablas!AT832:AV832,1,Tablas!AR832),IF(S61&lt;&gt;"",IF(Tablas!$AK832="Básica",INDEX(Tablas!$AF$837:$AF$839,AJ61),IF(Tablas!$AK832="Avanzada",INDEX(Tablas!$AG$837:$AG$838,AJ61),"")),"")),"")</f>
        <v/>
      </c>
      <c r="S61" s="1581"/>
      <c r="T61" s="1978" t="str">
        <f>IFERROR(IF(NOT(Tablas!$AK$825),INDEX(Tablas!AV832:AX832,1,Tablas!AT832),IF(U61&lt;&gt;"",IF(Tablas!$AK832="Básica",INDEX(Tablas!$AF$837:$AF$839,AK61),IF(Tablas!$AK832="Avanzada",INDEX(Tablas!$AG$837:$AG$838,AK61),"")),"")),"")</f>
        <v/>
      </c>
      <c r="U61" s="1581"/>
      <c r="V61" s="3772" t="str">
        <f t="shared" si="23"/>
        <v/>
      </c>
      <c r="W61" s="3773"/>
      <c r="X61" s="3773"/>
      <c r="Y61" s="3773"/>
      <c r="Z61" s="3773"/>
      <c r="AA61" s="3774"/>
      <c r="AB61" s="1878"/>
      <c r="AC61" s="899"/>
      <c r="AD61" s="2888">
        <f t="shared" si="24"/>
        <v>0</v>
      </c>
      <c r="AE61" s="2897" t="str">
        <f>Tablas!$AK832</f>
        <v/>
      </c>
      <c r="AF61" s="2888">
        <f>COUNTIF($E$56:$E61,E61)</f>
        <v>0</v>
      </c>
      <c r="AG61" s="2905">
        <f>Tablas!$AQ832</f>
        <v>1</v>
      </c>
      <c r="AH61" s="2905">
        <f>Tablas!$AV832</f>
        <v>1</v>
      </c>
      <c r="AI61" s="2905">
        <f>Tablas!$BA832</f>
        <v>1</v>
      </c>
      <c r="AJ61" s="2905">
        <f>Tablas!$BF832</f>
        <v>1</v>
      </c>
      <c r="AK61" s="2905">
        <f>Tablas!$BK832</f>
        <v>1</v>
      </c>
      <c r="AL61" s="1872" t="b">
        <f>Tablas!BL832=1</f>
        <v>0</v>
      </c>
      <c r="AM61" s="2892"/>
      <c r="AN61" s="2892"/>
      <c r="AO61" s="2892"/>
      <c r="AP61" s="2892"/>
      <c r="AQ61" s="1872"/>
      <c r="AR61" s="1872"/>
      <c r="AS61" s="1872"/>
      <c r="AT61" s="1872"/>
      <c r="AU61" s="1872"/>
      <c r="AV61" s="1872"/>
    </row>
    <row r="62" spans="1:48" ht="12" customHeight="1" x14ac:dyDescent="0.2">
      <c r="A62" s="10"/>
      <c r="B62" s="872"/>
      <c r="C62" s="3660"/>
      <c r="D62" s="3764"/>
      <c r="E62" s="3766"/>
      <c r="F62" s="3767"/>
      <c r="G62" s="3767"/>
      <c r="H62" s="3767"/>
      <c r="I62" s="3768"/>
      <c r="J62" s="3744"/>
      <c r="K62" s="3745"/>
      <c r="L62" s="533" t="str">
        <f>IFERROR(IF(NOT(Tablas!$AK$825),INDEX(Tablas!$AN833:$AP833,1,Tablas!AL833),IF(M62&lt;&gt;"",IF(Tablas!$AK833="Básica",INDEX(Tablas!$AF$837:$AF$839,AG62),IF(Tablas!$AK833="Avanzada",INDEX(Tablas!$AG$837:$AG$838,AG62),"")),"")),"")</f>
        <v/>
      </c>
      <c r="M62" s="1599"/>
      <c r="N62" s="2141" t="str">
        <f>IFERROR(IF(NOT(Tablas!$AK$825),INDEX(Tablas!AP833:AR833,1,Tablas!AN833),IF(O62&lt;&gt;"",IF(Tablas!$AK833="Básica",INDEX(Tablas!$AF$837:$AF$839,AH62),IF(Tablas!$AK833="Avanzada",INDEX(Tablas!$AG$837:$AG$838,AH62),"")),"")),"")</f>
        <v/>
      </c>
      <c r="O62" s="1599"/>
      <c r="P62" s="62" t="str">
        <f>IFERROR(IF(NOT(Tablas!$AK$825),INDEX(Tablas!AR833:AT833,1,Tablas!AP833),IF(Q62&lt;&gt;"",IF(Tablas!$AK833="Básica",INDEX(Tablas!$AF$837:$AF$839,AI62),IF(Tablas!$AK833="Avanzada",INDEX(Tablas!$AG$837:$AG$838,AI62),"")),"")),"")</f>
        <v/>
      </c>
      <c r="Q62" s="1599"/>
      <c r="R62" s="62" t="str">
        <f>IFERROR(IF(NOT(Tablas!$AK$825),INDEX(Tablas!AT833:AV833,1,Tablas!AR833),IF(S62&lt;&gt;"",IF(Tablas!$AK833="Básica",INDEX(Tablas!$AF$837:$AF$839,AJ62),IF(Tablas!$AK833="Avanzada",INDEX(Tablas!$AG$837:$AG$838,AJ62),"")),"")),"")</f>
        <v/>
      </c>
      <c r="S62" s="1599"/>
      <c r="T62" s="62" t="str">
        <f>IFERROR(IF(NOT(Tablas!$AK$825),INDEX(Tablas!AV833:AX833,1,Tablas!AT833),IF(U62&lt;&gt;"",IF(Tablas!$AK833="Básica",INDEX(Tablas!$AF$837:$AF$839,AK62),IF(Tablas!$AK833="Avanzada",INDEX(Tablas!$AG$837:$AG$838,AK62),"")),"")),"")</f>
        <v/>
      </c>
      <c r="U62" s="1599"/>
      <c r="V62" s="3769" t="str">
        <f t="shared" si="23"/>
        <v/>
      </c>
      <c r="W62" s="3770"/>
      <c r="X62" s="3770"/>
      <c r="Y62" s="3770"/>
      <c r="Z62" s="3770"/>
      <c r="AA62" s="3771"/>
      <c r="AB62" s="1875"/>
      <c r="AC62" s="899"/>
      <c r="AD62" s="2888">
        <f t="shared" si="24"/>
        <v>0</v>
      </c>
      <c r="AE62" s="2897" t="str">
        <f>Tablas!$AK833</f>
        <v/>
      </c>
      <c r="AF62" s="2888">
        <f>COUNTIF($E$56:$E62,E62)</f>
        <v>0</v>
      </c>
      <c r="AG62" s="2905">
        <f>Tablas!$AQ833</f>
        <v>1</v>
      </c>
      <c r="AH62" s="2905">
        <f>Tablas!$AV833</f>
        <v>1</v>
      </c>
      <c r="AI62" s="2905">
        <f>Tablas!$BA833</f>
        <v>1</v>
      </c>
      <c r="AJ62" s="2905">
        <f>Tablas!$BF833</f>
        <v>1</v>
      </c>
      <c r="AK62" s="2905">
        <f>Tablas!$BK833</f>
        <v>1</v>
      </c>
      <c r="AL62" s="1872" t="b">
        <f>Tablas!BL833=1</f>
        <v>0</v>
      </c>
      <c r="AM62" s="2892"/>
      <c r="AN62" s="2892"/>
      <c r="AO62" s="2892"/>
      <c r="AP62" s="2892"/>
      <c r="AQ62" s="1872"/>
      <c r="AR62" s="1872"/>
      <c r="AS62" s="1872"/>
      <c r="AT62" s="1872"/>
      <c r="AU62" s="1872"/>
      <c r="AV62" s="1872"/>
    </row>
    <row r="63" spans="1:48" ht="12" customHeight="1" x14ac:dyDescent="0.2">
      <c r="A63" s="10"/>
      <c r="B63" s="872"/>
      <c r="C63" s="3660"/>
      <c r="D63" s="3764"/>
      <c r="E63" s="3746"/>
      <c r="F63" s="3747"/>
      <c r="G63" s="3747"/>
      <c r="H63" s="3747"/>
      <c r="I63" s="3748"/>
      <c r="J63" s="3749"/>
      <c r="K63" s="3750"/>
      <c r="L63" s="1962" t="str">
        <f>IFERROR(IF(NOT(Tablas!$AK$825),INDEX(Tablas!$AN834:$AP834,1,Tablas!AL834),IF(M63&lt;&gt;"",IF(Tablas!$AK834="Básica",INDEX(Tablas!$AF$837:$AF$839,AG63),IF(Tablas!$AK834="Avanzada",INDEX(Tablas!$AG$837:$AG$838,AG63),"")),"")),"")</f>
        <v/>
      </c>
      <c r="M63" s="1581"/>
      <c r="N63" s="2136" t="str">
        <f>IFERROR(IF(NOT(Tablas!$AK$825),INDEX(Tablas!AP834:AR834,1,Tablas!AN834),IF(O63&lt;&gt;"",IF(Tablas!$AK834="Básica",INDEX(Tablas!$AF$837:$AF$839,AH63),IF(Tablas!$AK834="Avanzada",INDEX(Tablas!$AG$837:$AG$838,AH63),"")),"")),"")</f>
        <v/>
      </c>
      <c r="O63" s="1581"/>
      <c r="P63" s="1978" t="str">
        <f>IFERROR(IF(NOT(Tablas!$AK$825),INDEX(Tablas!AR834:AT834,1,Tablas!AP834),IF(Q63&lt;&gt;"",IF(Tablas!$AK834="Básica",INDEX(Tablas!$AF$837:$AF$839,AI63),IF(Tablas!$AK834="Avanzada",INDEX(Tablas!$AG$837:$AG$838,AI63),"")),"")),"")</f>
        <v/>
      </c>
      <c r="Q63" s="1581"/>
      <c r="R63" s="1978" t="str">
        <f>IFERROR(IF(NOT(Tablas!$AK$825),INDEX(Tablas!AT834:AV834,1,Tablas!AR834),IF(S63&lt;&gt;"",IF(Tablas!$AK834="Básica",INDEX(Tablas!$AF$837:$AF$839,AJ63),IF(Tablas!$AK834="Avanzada",INDEX(Tablas!$AG$837:$AG$838,AJ63),"")),"")),"")</f>
        <v/>
      </c>
      <c r="S63" s="1581"/>
      <c r="T63" s="1978" t="str">
        <f>IFERROR(IF(NOT(Tablas!$AK$825),INDEX(Tablas!AV834:AX834,1,Tablas!AT834),IF(U63&lt;&gt;"",IF(Tablas!$AK834="Básica",INDEX(Tablas!$AF$837:$AF$839,AK63),IF(Tablas!$AK834="Avanzada",INDEX(Tablas!$AG$837:$AG$838,AK63),"")),"")),"")</f>
        <v/>
      </c>
      <c r="U63" s="1581"/>
      <c r="V63" s="3772" t="str">
        <f t="shared" si="23"/>
        <v/>
      </c>
      <c r="W63" s="3773"/>
      <c r="X63" s="3773"/>
      <c r="Y63" s="3773"/>
      <c r="Z63" s="3773"/>
      <c r="AA63" s="3774"/>
      <c r="AB63" s="1879"/>
      <c r="AC63" s="899"/>
      <c r="AD63" s="2888">
        <f t="shared" si="24"/>
        <v>0</v>
      </c>
      <c r="AE63" s="2897" t="str">
        <f>Tablas!$AK834</f>
        <v/>
      </c>
      <c r="AF63" s="2888">
        <f>COUNTIF($E$56:$E63,E63)</f>
        <v>0</v>
      </c>
      <c r="AG63" s="2905">
        <f>Tablas!$AQ834</f>
        <v>1</v>
      </c>
      <c r="AH63" s="2905">
        <f>Tablas!$AV834</f>
        <v>1</v>
      </c>
      <c r="AI63" s="2905">
        <f>Tablas!$BA834</f>
        <v>1</v>
      </c>
      <c r="AJ63" s="2905">
        <f>Tablas!$BF834</f>
        <v>1</v>
      </c>
      <c r="AK63" s="2905">
        <f>Tablas!$BK834</f>
        <v>1</v>
      </c>
      <c r="AL63" s="1872" t="b">
        <f>Tablas!BL834=1</f>
        <v>0</v>
      </c>
      <c r="AM63" s="2892"/>
      <c r="AN63" s="2892"/>
      <c r="AO63" s="2892"/>
      <c r="AP63" s="2892"/>
      <c r="AQ63" s="1872"/>
      <c r="AR63" s="1872"/>
      <c r="AS63" s="1872"/>
      <c r="AT63" s="1872"/>
      <c r="AU63" s="1872"/>
      <c r="AV63" s="1872"/>
    </row>
    <row r="64" spans="1:48" ht="12" customHeight="1" x14ac:dyDescent="0.2">
      <c r="A64" s="10"/>
      <c r="B64" s="872"/>
      <c r="C64" s="3660"/>
      <c r="D64" s="3764"/>
      <c r="E64" s="3766"/>
      <c r="F64" s="3767"/>
      <c r="G64" s="3767"/>
      <c r="H64" s="3767"/>
      <c r="I64" s="3768"/>
      <c r="J64" s="3744"/>
      <c r="K64" s="3745"/>
      <c r="L64" s="533" t="str">
        <f>IFERROR(IF(NOT(Tablas!$AK$825),INDEX(Tablas!$AN835:$AP835,1,Tablas!AL835),IF(M64&lt;&gt;"",IF(Tablas!$AK835="Básica",INDEX(Tablas!$AF$837:$AF$839,AG64),IF(Tablas!$AK835="Avanzada",INDEX(Tablas!$AG$837:$AG$838,AG64),"")),"")),"")</f>
        <v/>
      </c>
      <c r="M64" s="1599"/>
      <c r="N64" s="2141" t="str">
        <f>IFERROR(IF(NOT(Tablas!$AK$825),INDEX(Tablas!AP835:AR835,1,Tablas!AN835),IF(O64&lt;&gt;"",IF(Tablas!$AK835="Básica",INDEX(Tablas!$AF$837:$AF$839,AH64),IF(Tablas!$AK835="Avanzada",INDEX(Tablas!$AG$837:$AG$838,AH64),"")),"")),"")</f>
        <v/>
      </c>
      <c r="O64" s="1599"/>
      <c r="P64" s="62" t="str">
        <f>IFERROR(IF(NOT(Tablas!$AK$825),INDEX(Tablas!AR835:AT835,1,Tablas!AP835),IF(Q64&lt;&gt;"",IF(Tablas!$AK835="Básica",INDEX(Tablas!$AF$837:$AF$839,AI64),IF(Tablas!$AK835="Avanzada",INDEX(Tablas!$AG$837:$AG$838,AI64),"")),"")),"")</f>
        <v/>
      </c>
      <c r="Q64" s="1599"/>
      <c r="R64" s="62" t="str">
        <f>IFERROR(IF(NOT(Tablas!$AK$825),INDEX(Tablas!AT835:AV835,1,Tablas!AR835),IF(S64&lt;&gt;"",IF(Tablas!$AK835="Básica",INDEX(Tablas!$AF$837:$AF$839,AJ64),IF(Tablas!$AK835="Avanzada",INDEX(Tablas!$AG$837:$AG$838,AJ64),"")),"")),"")</f>
        <v/>
      </c>
      <c r="S64" s="1599"/>
      <c r="T64" s="62" t="str">
        <f>IFERROR(IF(NOT(Tablas!$AK$825),INDEX(Tablas!AV835:AX835,1,Tablas!AT835),IF(U64&lt;&gt;"",IF(Tablas!$AK835="Básica",INDEX(Tablas!$AF$837:$AF$839,AK64),IF(Tablas!$AK835="Avanzada",INDEX(Tablas!$AG$837:$AG$838,AK64),"")),"")),"")</f>
        <v/>
      </c>
      <c r="U64" s="1599"/>
      <c r="V64" s="3769" t="str">
        <f t="shared" si="23"/>
        <v/>
      </c>
      <c r="W64" s="3770"/>
      <c r="X64" s="3770"/>
      <c r="Y64" s="3770"/>
      <c r="Z64" s="3770"/>
      <c r="AA64" s="3771"/>
      <c r="AB64" s="1879"/>
      <c r="AC64" s="899"/>
      <c r="AD64" s="2888">
        <f t="shared" si="24"/>
        <v>0</v>
      </c>
      <c r="AE64" s="2897" t="str">
        <f>Tablas!$AK835</f>
        <v/>
      </c>
      <c r="AF64" s="2888">
        <f>COUNTIF($E$56:$E64,E64)</f>
        <v>0</v>
      </c>
      <c r="AG64" s="2905">
        <f>Tablas!$AQ835</f>
        <v>1</v>
      </c>
      <c r="AH64" s="2905">
        <f>Tablas!$AV835</f>
        <v>1</v>
      </c>
      <c r="AI64" s="2905">
        <f>Tablas!$BA835</f>
        <v>1</v>
      </c>
      <c r="AJ64" s="2905">
        <f>Tablas!$BF835</f>
        <v>1</v>
      </c>
      <c r="AK64" s="2905">
        <f>Tablas!$BK835</f>
        <v>1</v>
      </c>
      <c r="AL64" s="1872" t="b">
        <f>Tablas!BL835=1</f>
        <v>0</v>
      </c>
      <c r="AM64" s="2892"/>
      <c r="AN64" s="2892"/>
      <c r="AO64" s="2892"/>
      <c r="AP64" s="2892"/>
      <c r="AQ64" s="1872"/>
      <c r="AR64" s="1872"/>
      <c r="AS64" s="1872"/>
      <c r="AT64" s="1872"/>
      <c r="AU64" s="1872"/>
      <c r="AV64" s="1872"/>
    </row>
    <row r="65" spans="1:48" ht="12" customHeight="1" x14ac:dyDescent="0.2">
      <c r="A65" s="10"/>
      <c r="B65" s="872"/>
      <c r="C65" s="3660"/>
      <c r="D65" s="3764"/>
      <c r="E65" s="3746"/>
      <c r="F65" s="3747"/>
      <c r="G65" s="3747"/>
      <c r="H65" s="3747"/>
      <c r="I65" s="3748"/>
      <c r="J65" s="3749"/>
      <c r="K65" s="3750"/>
      <c r="L65" s="1962" t="str">
        <f>IFERROR(IF(NOT(Tablas!$AK$825),INDEX(Tablas!$AN836:$AP836,1,Tablas!AL836),IF(M65&lt;&gt;"",IF(Tablas!$AK836="Básica",INDEX(Tablas!$AF$837:$AF$839,AG65),IF(Tablas!$AK836="Avanzada",INDEX(Tablas!$AG$837:$AG$838,AG65),"")),"")),"")</f>
        <v/>
      </c>
      <c r="M65" s="1581"/>
      <c r="N65" s="2136" t="str">
        <f>IFERROR(IF(NOT(Tablas!$AK$825),INDEX(Tablas!AP836:AR836,1,Tablas!AN836),IF(O65&lt;&gt;"",IF(Tablas!$AK836="Básica",INDEX(Tablas!$AF$837:$AF$839,AH65),IF(Tablas!$AK836="Avanzada",INDEX(Tablas!$AG$837:$AG$838,AH65),"")),"")),"")</f>
        <v/>
      </c>
      <c r="O65" s="1581"/>
      <c r="P65" s="1978" t="str">
        <f>IFERROR(IF(NOT(Tablas!$AK$825),INDEX(Tablas!AR836:AT836,1,Tablas!AP836),IF(Q65&lt;&gt;"",IF(Tablas!$AK836="Básica",INDEX(Tablas!$AF$837:$AF$839,AI65),IF(Tablas!$AK836="Avanzada",INDEX(Tablas!$AG$837:$AG$838,AI65),"")),"")),"")</f>
        <v/>
      </c>
      <c r="Q65" s="1581"/>
      <c r="R65" s="1978" t="str">
        <f>IFERROR(IF(NOT(Tablas!$AK$825),INDEX(Tablas!AT836:AV836,1,Tablas!AR836),IF(S65&lt;&gt;"",IF(Tablas!$AK836="Básica",INDEX(Tablas!$AF$837:$AF$839,AJ65),IF(Tablas!$AK836="Avanzada",INDEX(Tablas!$AG$837:$AG$838,AJ65),"")),"")),"")</f>
        <v/>
      </c>
      <c r="S65" s="1581"/>
      <c r="T65" s="1978" t="str">
        <f>IFERROR(IF(NOT(Tablas!$AK$825),INDEX(Tablas!AV836:AX836,1,Tablas!AT836),IF(U65&lt;&gt;"",IF(Tablas!$AK836="Básica",INDEX(Tablas!$AF$837:$AF$839,AK65),IF(Tablas!$AK836="Avanzada",INDEX(Tablas!$AG$837:$AG$838,AK65),"")),"")),"")</f>
        <v/>
      </c>
      <c r="U65" s="1581"/>
      <c r="V65" s="3772" t="str">
        <f t="shared" si="23"/>
        <v/>
      </c>
      <c r="W65" s="3773"/>
      <c r="X65" s="3773"/>
      <c r="Y65" s="3773"/>
      <c r="Z65" s="3773"/>
      <c r="AA65" s="3774"/>
      <c r="AB65" s="1879"/>
      <c r="AC65" s="899"/>
      <c r="AD65" s="2888">
        <f t="shared" si="24"/>
        <v>0</v>
      </c>
      <c r="AE65" s="2897" t="str">
        <f>Tablas!$AK836</f>
        <v/>
      </c>
      <c r="AF65" s="2888">
        <f>COUNTIF($E$56:$E65,E65)</f>
        <v>0</v>
      </c>
      <c r="AG65" s="2905">
        <f>Tablas!$AQ836</f>
        <v>1</v>
      </c>
      <c r="AH65" s="2905">
        <f>Tablas!$AV836</f>
        <v>1</v>
      </c>
      <c r="AI65" s="2905">
        <f>Tablas!$BA836</f>
        <v>1</v>
      </c>
      <c r="AJ65" s="2905">
        <f>Tablas!$BF836</f>
        <v>1</v>
      </c>
      <c r="AK65" s="2905">
        <f>Tablas!$BK836</f>
        <v>1</v>
      </c>
      <c r="AL65" s="1872" t="b">
        <f>Tablas!BL836=1</f>
        <v>0</v>
      </c>
      <c r="AM65" s="2892"/>
      <c r="AN65" s="2892"/>
      <c r="AO65" s="2892"/>
      <c r="AP65" s="2892"/>
      <c r="AQ65" s="1872"/>
      <c r="AR65" s="1872"/>
      <c r="AS65" s="1872"/>
      <c r="AT65" s="1872"/>
      <c r="AU65" s="1872"/>
      <c r="AV65" s="1872"/>
    </row>
    <row r="66" spans="1:48" ht="12" customHeight="1" x14ac:dyDescent="0.2">
      <c r="A66" s="10"/>
      <c r="B66" s="872"/>
      <c r="C66" s="3660"/>
      <c r="D66" s="3764"/>
      <c r="E66" s="3766"/>
      <c r="F66" s="3767"/>
      <c r="G66" s="3767"/>
      <c r="H66" s="3767"/>
      <c r="I66" s="3768"/>
      <c r="J66" s="3744"/>
      <c r="K66" s="3745"/>
      <c r="L66" s="533" t="str">
        <f>IFERROR(IF(NOT(Tablas!$AK$825),INDEX(Tablas!$AN837:$AP837,1,Tablas!AL837),IF(M66&lt;&gt;"",IF(Tablas!$AK837="Básica",INDEX(Tablas!$AF$837:$AF$839,AG66),IF(Tablas!$AK837="Avanzada",INDEX(Tablas!$AG$837:$AG$838,AG66),"")),"")),"")</f>
        <v/>
      </c>
      <c r="M66" s="1599"/>
      <c r="N66" s="2141" t="str">
        <f>IFERROR(IF(NOT(Tablas!$AK$825),INDEX(Tablas!AP837:AR837,1,Tablas!AN837),IF(O66&lt;&gt;"",IF(Tablas!$AK837="Básica",INDEX(Tablas!$AF$837:$AF$839,AH66),IF(Tablas!$AK837="Avanzada",INDEX(Tablas!$AG$837:$AG$838,AH66),"")),"")),"")</f>
        <v/>
      </c>
      <c r="O66" s="1599"/>
      <c r="P66" s="62" t="str">
        <f>IFERROR(IF(NOT(Tablas!$AK$825),INDEX(Tablas!AR837:AT837,1,Tablas!AP837),IF(Q66&lt;&gt;"",IF(Tablas!$AK837="Básica",INDEX(Tablas!$AF$837:$AF$839,AI66),IF(Tablas!$AK837="Avanzada",INDEX(Tablas!$AG$837:$AG$838,AI66),"")),"")),"")</f>
        <v/>
      </c>
      <c r="Q66" s="1599"/>
      <c r="R66" s="62" t="str">
        <f>IFERROR(IF(NOT(Tablas!$AK$825),INDEX(Tablas!AT837:AV837,1,Tablas!AR837),IF(S66&lt;&gt;"",IF(Tablas!$AK837="Básica",INDEX(Tablas!$AF$837:$AF$839,AJ66),IF(Tablas!$AK837="Avanzada",INDEX(Tablas!$AG$837:$AG$838,AJ66),"")),"")),"")</f>
        <v/>
      </c>
      <c r="S66" s="1599"/>
      <c r="T66" s="62" t="str">
        <f>IFERROR(IF(NOT(Tablas!$AK$825),INDEX(Tablas!AV837:AX837,1,Tablas!AT837),IF(U66&lt;&gt;"",IF(Tablas!$AK837="Básica",INDEX(Tablas!$AF$837:$AF$839,AK66),IF(Tablas!$AK837="Avanzada",INDEX(Tablas!$AG$837:$AG$838,AK66),"")),"")),"")</f>
        <v/>
      </c>
      <c r="U66" s="1599"/>
      <c r="V66" s="3769" t="str">
        <f t="shared" si="23"/>
        <v/>
      </c>
      <c r="W66" s="3770"/>
      <c r="X66" s="3770"/>
      <c r="Y66" s="3770"/>
      <c r="Z66" s="3770"/>
      <c r="AA66" s="3771"/>
      <c r="AB66" s="1879"/>
      <c r="AC66" s="899"/>
      <c r="AD66" s="2888">
        <f t="shared" si="24"/>
        <v>0</v>
      </c>
      <c r="AE66" s="2897" t="str">
        <f>Tablas!$AK837</f>
        <v/>
      </c>
      <c r="AF66" s="2888">
        <f>COUNTIF($E$56:$E66,E66)</f>
        <v>0</v>
      </c>
      <c r="AG66" s="2905">
        <f>Tablas!$AQ837</f>
        <v>1</v>
      </c>
      <c r="AH66" s="2905">
        <f>Tablas!$AV837</f>
        <v>1</v>
      </c>
      <c r="AI66" s="2905">
        <f>Tablas!$BA837</f>
        <v>1</v>
      </c>
      <c r="AJ66" s="2905">
        <f>Tablas!$BF837</f>
        <v>1</v>
      </c>
      <c r="AK66" s="2905">
        <f>Tablas!$BK837</f>
        <v>1</v>
      </c>
      <c r="AL66" s="1872" t="b">
        <f>Tablas!BL837=1</f>
        <v>0</v>
      </c>
      <c r="AM66" s="2892"/>
      <c r="AN66" s="2892"/>
      <c r="AO66" s="2892"/>
      <c r="AP66" s="2892"/>
      <c r="AQ66" s="1872"/>
      <c r="AR66" s="1872"/>
      <c r="AS66" s="1872"/>
      <c r="AT66" s="1872"/>
      <c r="AU66" s="1872"/>
      <c r="AV66" s="1872"/>
    </row>
    <row r="67" spans="1:48" ht="12" customHeight="1" x14ac:dyDescent="0.2">
      <c r="A67" s="10"/>
      <c r="B67" s="872"/>
      <c r="C67" s="3660"/>
      <c r="D67" s="3764"/>
      <c r="E67" s="3746"/>
      <c r="F67" s="3747"/>
      <c r="G67" s="3747"/>
      <c r="H67" s="3747"/>
      <c r="I67" s="3748"/>
      <c r="J67" s="3749"/>
      <c r="K67" s="3750"/>
      <c r="L67" s="1962" t="str">
        <f>IFERROR(IF(NOT(Tablas!$AK$825),INDEX(Tablas!$AN838:$AP838,1,Tablas!AL838),IF(M67&lt;&gt;"",IF(Tablas!$AK838="Básica",INDEX(Tablas!$AF$837:$AF$839,AG67),IF(Tablas!$AK838="Avanzada",INDEX(Tablas!$AG$837:$AG$838,AG67),"")),"")),"")</f>
        <v/>
      </c>
      <c r="M67" s="1581"/>
      <c r="N67" s="2136" t="str">
        <f>IFERROR(IF(NOT(Tablas!$AK$825),INDEX(Tablas!AP838:AR838,1,Tablas!AN838),IF(O67&lt;&gt;"",IF(Tablas!$AK838="Básica",INDEX(Tablas!$AF$837:$AF$839,AH67),IF(Tablas!$AK838="Avanzada",INDEX(Tablas!$AG$837:$AG$838,AH67),"")),"")),"")</f>
        <v/>
      </c>
      <c r="O67" s="1581"/>
      <c r="P67" s="1978" t="str">
        <f>IFERROR(IF(NOT(Tablas!$AK$825),INDEX(Tablas!AR838:AT838,1,Tablas!AP838),IF(Q67&lt;&gt;"",IF(Tablas!$AK838="Básica",INDEX(Tablas!$AF$837:$AF$839,AI67),IF(Tablas!$AK838="Avanzada",INDEX(Tablas!$AG$837:$AG$838,AI67),"")),"")),"")</f>
        <v/>
      </c>
      <c r="Q67" s="1581"/>
      <c r="R67" s="1978" t="str">
        <f>IFERROR(IF(NOT(Tablas!$AK$825),INDEX(Tablas!AT838:AV838,1,Tablas!AR838),IF(S67&lt;&gt;"",IF(Tablas!$AK838="Básica",INDEX(Tablas!$AF$837:$AF$839,AJ67),IF(Tablas!$AK838="Avanzada",INDEX(Tablas!$AG$837:$AG$838,AJ67),"")),"")),"")</f>
        <v/>
      </c>
      <c r="S67" s="1581"/>
      <c r="T67" s="1978" t="str">
        <f>IFERROR(IF(NOT(Tablas!$AK$825),INDEX(Tablas!AV838:AX838,1,Tablas!AT838),IF(U67&lt;&gt;"",IF(Tablas!$AK838="Básica",INDEX(Tablas!$AF$837:$AF$839,AK67),IF(Tablas!$AK838="Avanzada",INDEX(Tablas!$AG$837:$AG$838,AK67),"")),"")),"")</f>
        <v/>
      </c>
      <c r="U67" s="1581"/>
      <c r="V67" s="3772" t="str">
        <f t="shared" si="23"/>
        <v/>
      </c>
      <c r="W67" s="3773"/>
      <c r="X67" s="3773"/>
      <c r="Y67" s="3773"/>
      <c r="Z67" s="3773"/>
      <c r="AA67" s="3774"/>
      <c r="AB67" s="1879"/>
      <c r="AC67" s="899"/>
      <c r="AD67" s="2888">
        <f t="shared" si="24"/>
        <v>0</v>
      </c>
      <c r="AE67" s="2897" t="str">
        <f>Tablas!$AK838</f>
        <v/>
      </c>
      <c r="AF67" s="2888">
        <f>COUNTIF($E$56:$E67,E67)</f>
        <v>0</v>
      </c>
      <c r="AG67" s="2905">
        <f>Tablas!$AQ838</f>
        <v>1</v>
      </c>
      <c r="AH67" s="2905">
        <f>Tablas!$AV838</f>
        <v>1</v>
      </c>
      <c r="AI67" s="2905">
        <f>Tablas!$BA838</f>
        <v>1</v>
      </c>
      <c r="AJ67" s="2905">
        <f>Tablas!$BF838</f>
        <v>1</v>
      </c>
      <c r="AK67" s="2905">
        <f>Tablas!$BK838</f>
        <v>1</v>
      </c>
      <c r="AL67" s="1872" t="b">
        <f>Tablas!BL838=1</f>
        <v>0</v>
      </c>
      <c r="AM67" s="2892"/>
      <c r="AN67" s="2892"/>
      <c r="AO67" s="2892"/>
      <c r="AP67" s="2892"/>
      <c r="AQ67" s="1872"/>
      <c r="AR67" s="1872"/>
      <c r="AS67" s="1872"/>
      <c r="AT67" s="1872"/>
      <c r="AU67" s="1872"/>
      <c r="AV67" s="1872"/>
    </row>
    <row r="68" spans="1:48" ht="12" customHeight="1" x14ac:dyDescent="0.2">
      <c r="A68" s="10"/>
      <c r="B68" s="872"/>
      <c r="C68" s="3660"/>
      <c r="D68" s="3764"/>
      <c r="E68" s="3766"/>
      <c r="F68" s="3767"/>
      <c r="G68" s="3767"/>
      <c r="H68" s="3767"/>
      <c r="I68" s="3768"/>
      <c r="J68" s="3744"/>
      <c r="K68" s="3745"/>
      <c r="L68" s="533" t="str">
        <f>IFERROR(IF(NOT(Tablas!$AK$825),INDEX(Tablas!$AN839:$AP839,1,Tablas!AL839),IF(M68&lt;&gt;"",IF(Tablas!$AK839="Básica",INDEX(Tablas!$AF$837:$AF$839,AG68),IF(Tablas!$AK839="Avanzada",INDEX(Tablas!$AG$837:$AG$838,AG68),"")),"")),"")</f>
        <v/>
      </c>
      <c r="M68" s="1599"/>
      <c r="N68" s="2141" t="str">
        <f>IFERROR(IF(NOT(Tablas!$AK$825),INDEX(Tablas!AP839:AR839,1,Tablas!AN839),IF(O68&lt;&gt;"",IF(Tablas!$AK839="Básica",INDEX(Tablas!$AF$837:$AF$839,AH68),IF(Tablas!$AK839="Avanzada",INDEX(Tablas!$AG$837:$AG$838,AH68),"")),"")),"")</f>
        <v/>
      </c>
      <c r="O68" s="1599"/>
      <c r="P68" s="62" t="str">
        <f>IFERROR(IF(NOT(Tablas!$AK$825),INDEX(Tablas!AR839:AT839,1,Tablas!AP839),IF(Q68&lt;&gt;"",IF(Tablas!$AK839="Básica",INDEX(Tablas!$AF$837:$AF$839,AI68),IF(Tablas!$AK839="Avanzada",INDEX(Tablas!$AG$837:$AG$838,AI68),"")),"")),"")</f>
        <v/>
      </c>
      <c r="Q68" s="1599"/>
      <c r="R68" s="62" t="str">
        <f>IFERROR(IF(NOT(Tablas!$AK$825),INDEX(Tablas!AT839:AV839,1,Tablas!AR839),IF(S68&lt;&gt;"",IF(Tablas!$AK839="Básica",INDEX(Tablas!$AF$837:$AF$839,AJ68),IF(Tablas!$AK839="Avanzada",INDEX(Tablas!$AG$837:$AG$838,AJ68),"")),"")),"")</f>
        <v/>
      </c>
      <c r="S68" s="1599"/>
      <c r="T68" s="62" t="str">
        <f>IFERROR(IF(NOT(Tablas!$AK$825),INDEX(Tablas!AV839:AX839,1,Tablas!AT839),IF(U68&lt;&gt;"",IF(Tablas!$AK839="Básica",INDEX(Tablas!$AF$837:$AF$839,AK68),IF(Tablas!$AK839="Avanzada",INDEX(Tablas!$AG$837:$AG$838,AK68),"")),"")),"")</f>
        <v/>
      </c>
      <c r="U68" s="1599"/>
      <c r="V68" s="3769" t="str">
        <f t="shared" si="23"/>
        <v/>
      </c>
      <c r="W68" s="3770"/>
      <c r="X68" s="3770"/>
      <c r="Y68" s="3770"/>
      <c r="Z68" s="3770"/>
      <c r="AA68" s="3771"/>
      <c r="AB68" s="1879"/>
      <c r="AC68" s="899"/>
      <c r="AD68" s="2888">
        <f t="shared" si="24"/>
        <v>0</v>
      </c>
      <c r="AE68" s="2897" t="str">
        <f>Tablas!$AK839</f>
        <v/>
      </c>
      <c r="AF68" s="2888">
        <f>COUNTIF($E$56:$E68,E68)</f>
        <v>0</v>
      </c>
      <c r="AG68" s="2905">
        <f>Tablas!$AQ839</f>
        <v>1</v>
      </c>
      <c r="AH68" s="2905">
        <f>Tablas!$AV839</f>
        <v>1</v>
      </c>
      <c r="AI68" s="2905">
        <f>Tablas!$BA839</f>
        <v>1</v>
      </c>
      <c r="AJ68" s="2905">
        <f>Tablas!$BF839</f>
        <v>1</v>
      </c>
      <c r="AK68" s="2905">
        <f>Tablas!$BK839</f>
        <v>1</v>
      </c>
      <c r="AL68" s="1872" t="b">
        <f>Tablas!BL839=1</f>
        <v>0</v>
      </c>
      <c r="AM68" s="2892"/>
      <c r="AN68" s="2892"/>
      <c r="AO68" s="2892"/>
      <c r="AP68" s="2892"/>
      <c r="AQ68" s="1872"/>
      <c r="AR68" s="1872"/>
      <c r="AS68" s="1872"/>
      <c r="AT68" s="1872"/>
      <c r="AU68" s="1872"/>
      <c r="AV68" s="1872"/>
    </row>
    <row r="69" spans="1:48" s="15" customFormat="1" ht="12" customHeight="1" x14ac:dyDescent="0.2">
      <c r="A69" s="10"/>
      <c r="B69" s="872"/>
      <c r="C69" s="3660"/>
      <c r="D69" s="3764"/>
      <c r="E69" s="3746"/>
      <c r="F69" s="3747"/>
      <c r="G69" s="3747"/>
      <c r="H69" s="3747"/>
      <c r="I69" s="3748"/>
      <c r="J69" s="3749"/>
      <c r="K69" s="3750"/>
      <c r="L69" s="1962" t="str">
        <f>IFERROR(IF(NOT(Tablas!$AK$825),INDEX(Tablas!$AN840:$AP840,1,Tablas!AL840),IF(M69&lt;&gt;"",IF(Tablas!$AK840="Básica",INDEX(Tablas!$AF$837:$AF$839,AG69),IF(Tablas!$AK840="Avanzada",INDEX(Tablas!$AG$837:$AG$838,AG69),"")),"")),"")</f>
        <v/>
      </c>
      <c r="M69" s="1581"/>
      <c r="N69" s="2136" t="str">
        <f>IFERROR(IF(NOT(Tablas!$AK$825),INDEX(Tablas!AP840:AR840,1,Tablas!AN840),IF(O69&lt;&gt;"",IF(Tablas!$AK840="Básica",INDEX(Tablas!$AF$837:$AF$839,AH69),IF(Tablas!$AK840="Avanzada",INDEX(Tablas!$AG$837:$AG$838,AH69),"")),"")),"")</f>
        <v/>
      </c>
      <c r="O69" s="1581"/>
      <c r="P69" s="1978" t="str">
        <f>IFERROR(IF(NOT(Tablas!$AK$825),INDEX(Tablas!AR840:AT840,1,Tablas!AP840),IF(Q69&lt;&gt;"",IF(Tablas!$AK840="Básica",INDEX(Tablas!$AF$837:$AF$839,AI69),IF(Tablas!$AK840="Avanzada",INDEX(Tablas!$AG$837:$AG$838,AI69),"")),"")),"")</f>
        <v/>
      </c>
      <c r="Q69" s="1581"/>
      <c r="R69" s="1978" t="str">
        <f>IFERROR(IF(NOT(Tablas!$AK$825),INDEX(Tablas!AT840:AV840,1,Tablas!AR840),IF(S69&lt;&gt;"",IF(Tablas!$AK840="Básica",INDEX(Tablas!$AF$837:$AF$839,AJ69),IF(Tablas!$AK840="Avanzada",INDEX(Tablas!$AG$837:$AG$838,AJ69),"")),"")),"")</f>
        <v/>
      </c>
      <c r="S69" s="1581"/>
      <c r="T69" s="1978" t="str">
        <f>IFERROR(IF(NOT(Tablas!$AK$825),INDEX(Tablas!AV840:AX840,1,Tablas!AT840),IF(U69&lt;&gt;"",IF(Tablas!$AK840="Básica",INDEX(Tablas!$AF$837:$AF$839,AK69),IF(Tablas!$AK840="Avanzada",INDEX(Tablas!$AG$837:$AG$838,AK69),"")),"")),"")</f>
        <v/>
      </c>
      <c r="U69" s="1581"/>
      <c r="V69" s="3772" t="str">
        <f t="shared" si="23"/>
        <v/>
      </c>
      <c r="W69" s="3773"/>
      <c r="X69" s="3773"/>
      <c r="Y69" s="3773"/>
      <c r="Z69" s="3773"/>
      <c r="AA69" s="3774"/>
      <c r="AB69" s="1879"/>
      <c r="AC69" s="899"/>
      <c r="AD69" s="2888">
        <f t="shared" si="24"/>
        <v>0</v>
      </c>
      <c r="AE69" s="2897" t="str">
        <f>Tablas!$AK840</f>
        <v/>
      </c>
      <c r="AF69" s="2888">
        <f>COUNTIF($E$56:$E69,E69)</f>
        <v>0</v>
      </c>
      <c r="AG69" s="2905">
        <f>Tablas!$AQ840</f>
        <v>1</v>
      </c>
      <c r="AH69" s="2905">
        <f>Tablas!$AV840</f>
        <v>1</v>
      </c>
      <c r="AI69" s="2905">
        <f>Tablas!$BA840</f>
        <v>1</v>
      </c>
      <c r="AJ69" s="2905">
        <f>Tablas!$BF840</f>
        <v>1</v>
      </c>
      <c r="AK69" s="2905">
        <f>Tablas!$BK840</f>
        <v>1</v>
      </c>
      <c r="AL69" s="1872" t="b">
        <f>Tablas!BL840=1</f>
        <v>0</v>
      </c>
      <c r="AM69" s="2892"/>
      <c r="AN69" s="2892"/>
      <c r="AO69" s="2892"/>
      <c r="AP69" s="2892"/>
      <c r="AQ69" s="1872"/>
      <c r="AR69" s="2892"/>
      <c r="AS69" s="1872"/>
      <c r="AT69" s="1872"/>
      <c r="AU69" s="1872"/>
      <c r="AV69" s="1872"/>
    </row>
    <row r="70" spans="1:48" s="15" customFormat="1" ht="12" customHeight="1" x14ac:dyDescent="0.2">
      <c r="A70" s="4"/>
      <c r="B70" s="981"/>
      <c r="C70" s="3660"/>
      <c r="D70" s="3764"/>
      <c r="E70" s="3766"/>
      <c r="F70" s="3767"/>
      <c r="G70" s="3767"/>
      <c r="H70" s="3767"/>
      <c r="I70" s="3768"/>
      <c r="J70" s="3744"/>
      <c r="K70" s="3745"/>
      <c r="L70" s="533" t="str">
        <f>IFERROR(IF(NOT(Tablas!$AK$825),INDEX(Tablas!$AN841:$AP841,1,Tablas!AL841),IF(M70&lt;&gt;"",IF(Tablas!$AK841="Básica",INDEX(Tablas!$AF$837:$AF$839,AG70),IF(Tablas!$AK841="Avanzada",INDEX(Tablas!$AG$837:$AG$838,AG70),"")),"")),"")</f>
        <v/>
      </c>
      <c r="M70" s="1599"/>
      <c r="N70" s="2141" t="str">
        <f>IFERROR(IF(NOT(Tablas!$AK$825),INDEX(Tablas!AP841:AR841,1,Tablas!AN841),IF(O70&lt;&gt;"",IF(Tablas!$AK841="Básica",INDEX(Tablas!$AF$837:$AF$839,AH70),IF(Tablas!$AK841="Avanzada",INDEX(Tablas!$AG$837:$AG$838,AH70),"")),"")),"")</f>
        <v/>
      </c>
      <c r="O70" s="1599"/>
      <c r="P70" s="62" t="str">
        <f>IFERROR(IF(NOT(Tablas!$AK$825),INDEX(Tablas!AR841:AT841,1,Tablas!AP841),IF(Q70&lt;&gt;"",IF(Tablas!$AK841="Básica",INDEX(Tablas!$AF$837:$AF$839,AI70),IF(Tablas!$AK841="Avanzada",INDEX(Tablas!$AG$837:$AG$838,AI70),"")),"")),"")</f>
        <v/>
      </c>
      <c r="Q70" s="1599"/>
      <c r="R70" s="62" t="str">
        <f>IFERROR(IF(NOT(Tablas!$AK$825),INDEX(Tablas!AT841:AV841,1,Tablas!AR841),IF(S70&lt;&gt;"",IF(Tablas!$AK841="Básica",INDEX(Tablas!$AF$837:$AF$839,AJ70),IF(Tablas!$AK841="Avanzada",INDEX(Tablas!$AG$837:$AG$838,AJ70),"")),"")),"")</f>
        <v/>
      </c>
      <c r="S70" s="1599"/>
      <c r="T70" s="62" t="str">
        <f>IFERROR(IF(NOT(Tablas!$AK$825),INDEX(Tablas!AV841:AX841,1,Tablas!AT841),IF(U70&lt;&gt;"",IF(Tablas!$AK841="Básica",INDEX(Tablas!$AF$837:$AF$839,AK70),IF(Tablas!$AK841="Avanzada",INDEX(Tablas!$AG$837:$AG$838,AK70),"")),"")),"")</f>
        <v/>
      </c>
      <c r="U70" s="1599"/>
      <c r="V70" s="3769" t="str">
        <f t="shared" si="23"/>
        <v/>
      </c>
      <c r="W70" s="3770"/>
      <c r="X70" s="3770"/>
      <c r="Y70" s="3770"/>
      <c r="Z70" s="3770"/>
      <c r="AA70" s="3771"/>
      <c r="AB70" s="1879"/>
      <c r="AC70" s="899"/>
      <c r="AD70" s="2888">
        <f t="shared" si="24"/>
        <v>0</v>
      </c>
      <c r="AE70" s="2897" t="str">
        <f>Tablas!$AK841</f>
        <v/>
      </c>
      <c r="AF70" s="2888">
        <f>COUNTIF($E$56:$E70,E70)</f>
        <v>0</v>
      </c>
      <c r="AG70" s="2905">
        <f>Tablas!$AQ841</f>
        <v>1</v>
      </c>
      <c r="AH70" s="2905">
        <f>Tablas!$AV841</f>
        <v>1</v>
      </c>
      <c r="AI70" s="2905">
        <f>Tablas!$BA841</f>
        <v>1</v>
      </c>
      <c r="AJ70" s="2905">
        <f>Tablas!$BF841</f>
        <v>1</v>
      </c>
      <c r="AK70" s="2905">
        <f>Tablas!$BK841</f>
        <v>1</v>
      </c>
      <c r="AL70" s="1872" t="b">
        <f>Tablas!BL841=1</f>
        <v>0</v>
      </c>
      <c r="AM70" s="2892"/>
      <c r="AN70" s="2892"/>
      <c r="AO70" s="2892"/>
      <c r="AP70" s="2892"/>
      <c r="AQ70" s="2892"/>
      <c r="AR70" s="2892"/>
      <c r="AS70" s="2892"/>
      <c r="AT70" s="2892"/>
      <c r="AU70" s="2892"/>
      <c r="AV70" s="2892"/>
    </row>
    <row r="71" spans="1:48" s="15" customFormat="1" ht="12" customHeight="1" x14ac:dyDescent="0.2">
      <c r="A71" s="4"/>
      <c r="B71" s="981"/>
      <c r="C71" s="3660"/>
      <c r="D71" s="3764"/>
      <c r="E71" s="3746"/>
      <c r="F71" s="3747"/>
      <c r="G71" s="3747"/>
      <c r="H71" s="3747"/>
      <c r="I71" s="3748"/>
      <c r="J71" s="3749"/>
      <c r="K71" s="3750"/>
      <c r="L71" s="1962" t="str">
        <f>IFERROR(IF(NOT(Tablas!$AK$825),INDEX(Tablas!$AN842:$AP842,1,Tablas!AL842),IF(M71&lt;&gt;"",IF(Tablas!$AK842="Básica",INDEX(Tablas!$AF$837:$AF$839,AG71),IF(Tablas!$AK842="Avanzada",INDEX(Tablas!$AG$837:$AG$838,AG71),"")),"")),"")</f>
        <v/>
      </c>
      <c r="M71" s="1581"/>
      <c r="N71" s="2136" t="str">
        <f>IFERROR(IF(NOT(Tablas!$AK$825),INDEX(Tablas!AP842:AR842,1,Tablas!AN842),IF(O71&lt;&gt;"",IF(Tablas!$AK842="Básica",INDEX(Tablas!$AF$837:$AF$839,AH71),IF(Tablas!$AK842="Avanzada",INDEX(Tablas!$AG$837:$AG$838,AH71),"")),"")),"")</f>
        <v/>
      </c>
      <c r="O71" s="1581"/>
      <c r="P71" s="1978" t="str">
        <f>IFERROR(IF(NOT(Tablas!$AK$825),INDEX(Tablas!AR842:AT842,1,Tablas!AP842),IF(Q71&lt;&gt;"",IF(Tablas!$AK842="Básica",INDEX(Tablas!$AF$837:$AF$839,AI71),IF(Tablas!$AK842="Avanzada",INDEX(Tablas!$AG$837:$AG$838,AI71),"")),"")),"")</f>
        <v/>
      </c>
      <c r="Q71" s="1581"/>
      <c r="R71" s="1978" t="str">
        <f>IFERROR(IF(NOT(Tablas!$AK$825),INDEX(Tablas!AT842:AV842,1,Tablas!AR842),IF(S71&lt;&gt;"",IF(Tablas!$AK842="Básica",INDEX(Tablas!$AF$837:$AF$839,AJ71),IF(Tablas!$AK842="Avanzada",INDEX(Tablas!$AG$837:$AG$838,AJ71),"")),"")),"")</f>
        <v/>
      </c>
      <c r="S71" s="1581"/>
      <c r="T71" s="1978" t="str">
        <f>IFERROR(IF(NOT(Tablas!$AK$825),INDEX(Tablas!AV842:AX842,1,Tablas!AT842),IF(U71&lt;&gt;"",IF(Tablas!$AK842="Básica",INDEX(Tablas!$AF$837:$AF$839,AK71),IF(Tablas!$AK842="Avanzada",INDEX(Tablas!$AG$837:$AG$838,AK71),"")),"")),"")</f>
        <v/>
      </c>
      <c r="U71" s="1581"/>
      <c r="V71" s="3772" t="str">
        <f t="shared" si="23"/>
        <v/>
      </c>
      <c r="W71" s="3773"/>
      <c r="X71" s="3773"/>
      <c r="Y71" s="3773"/>
      <c r="Z71" s="3773"/>
      <c r="AA71" s="3774"/>
      <c r="AB71" s="1879"/>
      <c r="AC71" s="899"/>
      <c r="AD71" s="2888">
        <f t="shared" si="24"/>
        <v>0</v>
      </c>
      <c r="AE71" s="2897" t="str">
        <f>Tablas!$AK842</f>
        <v/>
      </c>
      <c r="AF71" s="2888">
        <f>COUNTIF($E$56:$E71,E71)</f>
        <v>0</v>
      </c>
      <c r="AG71" s="2905">
        <f>Tablas!$AQ842</f>
        <v>1</v>
      </c>
      <c r="AH71" s="2905">
        <f>Tablas!$AV842</f>
        <v>1</v>
      </c>
      <c r="AI71" s="2905">
        <f>Tablas!$BA842</f>
        <v>1</v>
      </c>
      <c r="AJ71" s="2905">
        <f>Tablas!$BF842</f>
        <v>1</v>
      </c>
      <c r="AK71" s="2905">
        <f>Tablas!$BK842</f>
        <v>1</v>
      </c>
      <c r="AL71" s="1872" t="b">
        <f>Tablas!BL842=1</f>
        <v>0</v>
      </c>
      <c r="AM71" s="2892"/>
      <c r="AN71" s="2892"/>
      <c r="AO71" s="2892"/>
      <c r="AP71" s="2892"/>
      <c r="AQ71" s="2892"/>
      <c r="AR71" s="2892"/>
      <c r="AS71" s="2892"/>
      <c r="AT71" s="2892"/>
      <c r="AU71" s="2892"/>
      <c r="AV71" s="2892"/>
    </row>
    <row r="72" spans="1:48" s="15" customFormat="1" ht="12" customHeight="1" x14ac:dyDescent="0.2">
      <c r="A72" s="4"/>
      <c r="B72" s="981"/>
      <c r="C72" s="3660"/>
      <c r="D72" s="3764"/>
      <c r="E72" s="3766"/>
      <c r="F72" s="3767"/>
      <c r="G72" s="3767"/>
      <c r="H72" s="3767"/>
      <c r="I72" s="3768"/>
      <c r="J72" s="3744"/>
      <c r="K72" s="3745"/>
      <c r="L72" s="533" t="str">
        <f>IFERROR(IF(NOT(Tablas!$AK$825),INDEX(Tablas!$AN843:$AP843,1,Tablas!AL843),IF(M72&lt;&gt;"",IF(Tablas!$AK843="Básica",INDEX(Tablas!$AF$837:$AF$839,AG72),IF(Tablas!$AK843="Avanzada",INDEX(Tablas!$AG$837:$AG$838,AG72),"")),"")),"")</f>
        <v/>
      </c>
      <c r="M72" s="1599"/>
      <c r="N72" s="2141" t="str">
        <f>IFERROR(IF(NOT(Tablas!$AK$825),INDEX(Tablas!AP843:AR843,1,Tablas!AN843),IF(O72&lt;&gt;"",IF(Tablas!$AK843="Básica",INDEX(Tablas!$AF$837:$AF$839,AH72),IF(Tablas!$AK843="Avanzada",INDEX(Tablas!$AG$837:$AG$838,AH72),"")),"")),"")</f>
        <v/>
      </c>
      <c r="O72" s="1599"/>
      <c r="P72" s="62" t="str">
        <f>IFERROR(IF(NOT(Tablas!$AK$825),INDEX(Tablas!AR843:AT843,1,Tablas!AP843),IF(Q72&lt;&gt;"",IF(Tablas!$AK843="Básica",INDEX(Tablas!$AF$837:$AF$839,AI72),IF(Tablas!$AK843="Avanzada",INDEX(Tablas!$AG$837:$AG$838,AI72),"")),"")),"")</f>
        <v/>
      </c>
      <c r="Q72" s="1599"/>
      <c r="R72" s="62" t="str">
        <f>IFERROR(IF(NOT(Tablas!$AK$825),INDEX(Tablas!AT843:AV843,1,Tablas!AR843),IF(S72&lt;&gt;"",IF(Tablas!$AK843="Básica",INDEX(Tablas!$AF$837:$AF$839,AJ72),IF(Tablas!$AK843="Avanzada",INDEX(Tablas!$AG$837:$AG$838,AJ72),"")),"")),"")</f>
        <v/>
      </c>
      <c r="S72" s="1599"/>
      <c r="T72" s="62" t="str">
        <f>IFERROR(IF(NOT(Tablas!$AK$825),INDEX(Tablas!AV843:AX843,1,Tablas!AT843),IF(U72&lt;&gt;"",IF(Tablas!$AK843="Básica",INDEX(Tablas!$AF$837:$AF$839,AK72),IF(Tablas!$AK843="Avanzada",INDEX(Tablas!$AG$837:$AG$838,AK72),"")),"")),"")</f>
        <v/>
      </c>
      <c r="U72" s="1599"/>
      <c r="V72" s="3769" t="str">
        <f t="shared" si="23"/>
        <v/>
      </c>
      <c r="W72" s="3770"/>
      <c r="X72" s="3770"/>
      <c r="Y72" s="3770"/>
      <c r="Z72" s="3770"/>
      <c r="AA72" s="3771"/>
      <c r="AB72" s="1879"/>
      <c r="AC72" s="899"/>
      <c r="AD72" s="2888">
        <f t="shared" si="24"/>
        <v>0</v>
      </c>
      <c r="AE72" s="2897" t="str">
        <f>Tablas!$AK843</f>
        <v/>
      </c>
      <c r="AF72" s="2888">
        <f>COUNTIF($E$56:$E72,E72)</f>
        <v>0</v>
      </c>
      <c r="AG72" s="2905">
        <f>Tablas!$AQ843</f>
        <v>1</v>
      </c>
      <c r="AH72" s="2905">
        <f>Tablas!$AV843</f>
        <v>1</v>
      </c>
      <c r="AI72" s="2905">
        <f>Tablas!$BA843</f>
        <v>1</v>
      </c>
      <c r="AJ72" s="2905">
        <f>Tablas!$BF843</f>
        <v>1</v>
      </c>
      <c r="AK72" s="2905">
        <f>Tablas!$BK843</f>
        <v>1</v>
      </c>
      <c r="AL72" s="1872" t="b">
        <f>Tablas!BL843=1</f>
        <v>0</v>
      </c>
      <c r="AM72" s="2892"/>
      <c r="AN72" s="2892"/>
      <c r="AO72" s="2892"/>
      <c r="AP72" s="2892"/>
      <c r="AQ72" s="2892"/>
      <c r="AR72" s="2892"/>
      <c r="AS72" s="2892"/>
      <c r="AT72" s="2892"/>
      <c r="AU72" s="2892"/>
      <c r="AV72" s="2892"/>
    </row>
    <row r="73" spans="1:48" s="15" customFormat="1" ht="12" customHeight="1" x14ac:dyDescent="0.2">
      <c r="A73" s="4"/>
      <c r="B73" s="981"/>
      <c r="C73" s="3660"/>
      <c r="D73" s="3764"/>
      <c r="E73" s="3746"/>
      <c r="F73" s="3747"/>
      <c r="G73" s="3747"/>
      <c r="H73" s="3747"/>
      <c r="I73" s="3748"/>
      <c r="J73" s="3749"/>
      <c r="K73" s="3750"/>
      <c r="L73" s="1962" t="str">
        <f>IFERROR(IF(NOT(Tablas!$AK$825),INDEX(Tablas!$AN844:$AP844,1,Tablas!AL844),IF(M73&lt;&gt;"",IF(Tablas!$AK844="Básica",INDEX(Tablas!$AF$837:$AF$839,AG73),IF(Tablas!$AK844="Avanzada",INDEX(Tablas!$AG$837:$AG$838,AG73),"")),"")),"")</f>
        <v/>
      </c>
      <c r="M73" s="1581"/>
      <c r="N73" s="2136" t="str">
        <f>IFERROR(IF(NOT(Tablas!$AK$825),INDEX(Tablas!AP844:AR844,1,Tablas!AN844),IF(O73&lt;&gt;"",IF(Tablas!$AK844="Básica",INDEX(Tablas!$AF$837:$AF$839,AH73),IF(Tablas!$AK844="Avanzada",INDEX(Tablas!$AG$837:$AG$838,AH73),"")),"")),"")</f>
        <v/>
      </c>
      <c r="O73" s="1581"/>
      <c r="P73" s="1978" t="str">
        <f>IFERROR(IF(NOT(Tablas!$AK$825),INDEX(Tablas!AR844:AT844,1,Tablas!AP844),IF(Q73&lt;&gt;"",IF(Tablas!$AK844="Básica",INDEX(Tablas!$AF$837:$AF$839,AI73),IF(Tablas!$AK844="Avanzada",INDEX(Tablas!$AG$837:$AG$838,AI73),"")),"")),"")</f>
        <v/>
      </c>
      <c r="Q73" s="1581"/>
      <c r="R73" s="1978" t="str">
        <f>IFERROR(IF(NOT(Tablas!$AK$825),INDEX(Tablas!AT844:AV844,1,Tablas!AR844),IF(S73&lt;&gt;"",IF(Tablas!$AK844="Básica",INDEX(Tablas!$AF$837:$AF$839,AJ73),IF(Tablas!$AK844="Avanzada",INDEX(Tablas!$AG$837:$AG$838,AJ73),"")),"")),"")</f>
        <v/>
      </c>
      <c r="S73" s="1581"/>
      <c r="T73" s="1978" t="str">
        <f>IFERROR(IF(NOT(Tablas!$AK$825),INDEX(Tablas!AV844:AX844,1,Tablas!AT844),IF(U73&lt;&gt;"",IF(Tablas!$AK844="Básica",INDEX(Tablas!$AF$837:$AF$839,AK73),IF(Tablas!$AK844="Avanzada",INDEX(Tablas!$AG$837:$AG$838,AK73),"")),"")),"")</f>
        <v/>
      </c>
      <c r="U73" s="1581"/>
      <c r="V73" s="3772" t="str">
        <f t="shared" ref="V73" si="25">IF($AD73=0,"",IF(AF73&gt;1,"ARTE MARCIAL REPETIDA",IF(NOT(AL73),"ARTE MARCIAL SIN PAGAR",IF(VLOOKUP($AD73,Tabla_ArtesMarciales,23,FALSE)&lt;&gt;"-","FALTAN REQUISITOS",IF(VLOOKUP($AD73,Tabla_ArtesMarciales,16,FALSE)&gt;55,"Ver",VLOOKUP($AD73,Tabla_ArtesMarciales,9,FALSE))))))</f>
        <v/>
      </c>
      <c r="W73" s="3773"/>
      <c r="X73" s="3773"/>
      <c r="Y73" s="3773"/>
      <c r="Z73" s="3773"/>
      <c r="AA73" s="3774"/>
      <c r="AB73" s="1879"/>
      <c r="AC73" s="899"/>
      <c r="AD73" s="2888">
        <f t="shared" si="24"/>
        <v>0</v>
      </c>
      <c r="AE73" s="2897" t="str">
        <f>Tablas!$AK844</f>
        <v/>
      </c>
      <c r="AF73" s="2888">
        <f>COUNTIF($E$56:$E73,E73)</f>
        <v>0</v>
      </c>
      <c r="AG73" s="2905">
        <f>Tablas!$AQ844</f>
        <v>1</v>
      </c>
      <c r="AH73" s="2905">
        <f>Tablas!$AV844</f>
        <v>1</v>
      </c>
      <c r="AI73" s="2905">
        <f>Tablas!$BA844</f>
        <v>1</v>
      </c>
      <c r="AJ73" s="2905">
        <f>Tablas!$BF844</f>
        <v>1</v>
      </c>
      <c r="AK73" s="2905">
        <f>Tablas!$BK844</f>
        <v>1</v>
      </c>
      <c r="AL73" s="1872" t="b">
        <f>Tablas!BL844=1</f>
        <v>0</v>
      </c>
      <c r="AM73" s="2892"/>
      <c r="AN73" s="2892"/>
      <c r="AO73" s="2892"/>
      <c r="AP73" s="2892"/>
      <c r="AQ73" s="2892"/>
      <c r="AR73" s="2892"/>
      <c r="AS73" s="2892"/>
      <c r="AT73" s="2892"/>
      <c r="AU73" s="2892"/>
      <c r="AV73" s="2892"/>
    </row>
    <row r="74" spans="1:48" s="15" customFormat="1" ht="12" customHeight="1" x14ac:dyDescent="0.2">
      <c r="A74" s="4"/>
      <c r="B74" s="981"/>
      <c r="C74" s="3660"/>
      <c r="D74" s="3764"/>
      <c r="E74" s="3841"/>
      <c r="F74" s="3842"/>
      <c r="G74" s="3842"/>
      <c r="H74" s="3842"/>
      <c r="I74" s="3843"/>
      <c r="J74" s="3844"/>
      <c r="K74" s="3845"/>
      <c r="L74" s="533" t="str">
        <f>IFERROR(IF(NOT(Tablas!$AK$825),INDEX(Tablas!$AN845:$AP845,1,Tablas!AL845),IF(M74&lt;&gt;"",IF(Tablas!$AK845="Básica",INDEX(Tablas!$AF$837:$AF$839,AG74),IF(Tablas!$AK845="Avanzada",INDEX(Tablas!$AG$837:$AG$838,AG74),"")),"")),"")</f>
        <v/>
      </c>
      <c r="M74" s="1599"/>
      <c r="N74" s="2141" t="str">
        <f>IFERROR(IF(NOT(Tablas!$AK$825),INDEX(Tablas!AP845:AR845,1,Tablas!AN845),IF(O74&lt;&gt;"",IF(Tablas!$AK845="Básica",INDEX(Tablas!$AF$837:$AF$839,AH74),IF(Tablas!$AK845="Avanzada",INDEX(Tablas!$AG$837:$AG$838,AH74),"")),"")),"")</f>
        <v/>
      </c>
      <c r="O74" s="1599"/>
      <c r="P74" s="62" t="str">
        <f>IFERROR(IF(NOT(Tablas!$AK$825),INDEX(Tablas!AR845:AT845,1,Tablas!AP845),IF(Q74&lt;&gt;"",IF(Tablas!$AK845="Básica",INDEX(Tablas!$AF$837:$AF$839,AI74),IF(Tablas!$AK845="Avanzada",INDEX(Tablas!$AG$837:$AG$838,AI74),"")),"")),"")</f>
        <v/>
      </c>
      <c r="Q74" s="1599"/>
      <c r="R74" s="62" t="str">
        <f>IFERROR(IF(NOT(Tablas!$AK$825),INDEX(Tablas!AT845:AV845,1,Tablas!AR845),IF(S74&lt;&gt;"",IF(Tablas!$AK845="Básica",INDEX(Tablas!$AF$837:$AF$839,AJ74),IF(Tablas!$AK845="Avanzada",INDEX(Tablas!$AG$837:$AG$838,AJ74),"")),"")),"")</f>
        <v/>
      </c>
      <c r="S74" s="1599"/>
      <c r="T74" s="62" t="str">
        <f>IFERROR(IF(NOT(Tablas!$AK$825),INDEX(Tablas!AV845:AX845,1,Tablas!AT845),IF(U74&lt;&gt;"",IF(Tablas!$AK845="Básica",INDEX(Tablas!$AF$837:$AF$839,AK74),IF(Tablas!$AK845="Avanzada",INDEX(Tablas!$AG$837:$AG$838,AK74),"")),"")),"")</f>
        <v/>
      </c>
      <c r="U74" s="1599"/>
      <c r="V74" s="3913" t="str">
        <f>IF($AD74=0,"",IF(AF74&gt;1,"ARTE MARCIAL REPETIDA",IF(NOT(AL74),"ARTE MARCIAL SIN PAGAR",IF(VLOOKUP($AD74,Tabla_ArtesMarciales,23,FALSE)&lt;&gt;"-","FALTAN REQUISITOS",IF(VLOOKUP($AD74,Tabla_ArtesMarciales,16,FALSE)&gt;55,"Ver",VLOOKUP($AD74,Tabla_ArtesMarciales,11,FALSE))))))</f>
        <v/>
      </c>
      <c r="W74" s="3914"/>
      <c r="X74" s="3914"/>
      <c r="Y74" s="3914"/>
      <c r="Z74" s="3914"/>
      <c r="AA74" s="3915"/>
      <c r="AB74" s="1879"/>
      <c r="AC74" s="899"/>
      <c r="AD74" s="2888">
        <f t="shared" si="24"/>
        <v>0</v>
      </c>
      <c r="AE74" s="2897" t="str">
        <f>Tablas!$AK845</f>
        <v/>
      </c>
      <c r="AF74" s="2888">
        <f>COUNTIF($E$56:$E74,E74)</f>
        <v>0</v>
      </c>
      <c r="AG74" s="2905">
        <f>Tablas!$AQ845</f>
        <v>1</v>
      </c>
      <c r="AH74" s="2905">
        <f>Tablas!$AV845</f>
        <v>1</v>
      </c>
      <c r="AI74" s="2905">
        <f>Tablas!$BA845</f>
        <v>1</v>
      </c>
      <c r="AJ74" s="2905">
        <f>Tablas!$BF845</f>
        <v>1</v>
      </c>
      <c r="AK74" s="2905">
        <f>Tablas!$BK845</f>
        <v>1</v>
      </c>
      <c r="AL74" s="1872" t="b">
        <f>Tablas!BL845=1</f>
        <v>0</v>
      </c>
      <c r="AM74" s="2892"/>
      <c r="AN74" s="2892"/>
      <c r="AO74" s="2892"/>
      <c r="AP74" s="2892"/>
      <c r="AQ74" s="2892"/>
      <c r="AR74" s="2892"/>
      <c r="AS74" s="2892"/>
      <c r="AT74" s="2892"/>
      <c r="AU74" s="2892"/>
      <c r="AV74" s="2892"/>
    </row>
    <row r="75" spans="1:48" s="15" customFormat="1" ht="12" customHeight="1" x14ac:dyDescent="0.2">
      <c r="A75" s="4"/>
      <c r="B75" s="981"/>
      <c r="C75" s="3660"/>
      <c r="D75" s="3764"/>
      <c r="E75" s="3677"/>
      <c r="F75" s="3678"/>
      <c r="G75" s="3678"/>
      <c r="H75" s="3678"/>
      <c r="I75" s="3678"/>
      <c r="J75" s="3678"/>
      <c r="K75" s="3679"/>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916" t="str">
        <f>IF(E75=0,"",IF(VLOOKUP(E75,Tabla_AM_Armas,4,FALSE)="-","-","FALTAN REQUISITOS"))</f>
        <v/>
      </c>
      <c r="W75" s="3917"/>
      <c r="X75" s="3917"/>
      <c r="Y75" s="3917"/>
      <c r="Z75" s="3917"/>
      <c r="AA75" s="3918"/>
      <c r="AB75" s="1879"/>
      <c r="AC75" s="1503"/>
      <c r="AD75" s="2893"/>
      <c r="AE75" s="2897"/>
      <c r="AF75" s="2905"/>
      <c r="AG75" s="2897"/>
      <c r="AH75" s="2897"/>
      <c r="AI75" s="2897"/>
      <c r="AJ75" s="2897"/>
      <c r="AK75" s="2897"/>
      <c r="AL75" s="2892"/>
      <c r="AM75" s="2892"/>
      <c r="AN75" s="2892"/>
      <c r="AO75" s="2888"/>
      <c r="AP75" s="2892"/>
      <c r="AQ75" s="2892"/>
      <c r="AR75" s="2892"/>
      <c r="AS75" s="2892"/>
      <c r="AT75" s="2892"/>
      <c r="AU75" s="2892"/>
      <c r="AV75" s="2892"/>
    </row>
    <row r="76" spans="1:48" s="15" customFormat="1" ht="12" customHeight="1" x14ac:dyDescent="0.2">
      <c r="A76" s="4"/>
      <c r="B76" s="981"/>
      <c r="C76" s="3660"/>
      <c r="D76" s="3764"/>
      <c r="E76" s="3682"/>
      <c r="F76" s="3683"/>
      <c r="G76" s="3683"/>
      <c r="H76" s="3683"/>
      <c r="I76" s="3683"/>
      <c r="J76" s="3683"/>
      <c r="K76" s="3684"/>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892" t="str">
        <f>IF(E76=0,"",IF(VLOOKUP(E76,Tabla_AM_Armas,4,FALSE)="-","-","FALTAN REQUISITOS"))</f>
        <v/>
      </c>
      <c r="W76" s="3893"/>
      <c r="X76" s="3893"/>
      <c r="Y76" s="3893"/>
      <c r="Z76" s="3893"/>
      <c r="AA76" s="3927"/>
      <c r="AB76" s="1879"/>
      <c r="AC76" s="1503"/>
      <c r="AD76" s="2893"/>
      <c r="AE76" s="2897"/>
      <c r="AF76" s="2905"/>
      <c r="AG76" s="2897"/>
      <c r="AH76" s="2897"/>
      <c r="AI76" s="2897"/>
      <c r="AJ76" s="2897"/>
      <c r="AK76" s="2897"/>
      <c r="AL76" s="2892"/>
      <c r="AM76" s="2892"/>
      <c r="AN76" s="2892"/>
      <c r="AO76" s="2888"/>
      <c r="AP76" s="2892"/>
      <c r="AQ76" s="2892"/>
      <c r="AR76" s="2892"/>
      <c r="AS76" s="2892"/>
      <c r="AT76" s="2892"/>
      <c r="AU76" s="2892"/>
      <c r="AV76" s="2892"/>
    </row>
    <row r="77" spans="1:48" s="15" customFormat="1" ht="12" customHeight="1" x14ac:dyDescent="0.2">
      <c r="A77" s="4"/>
      <c r="B77" s="981"/>
      <c r="C77" s="3660"/>
      <c r="D77" s="3765"/>
      <c r="E77" s="3752"/>
      <c r="F77" s="3753"/>
      <c r="G77" s="3753"/>
      <c r="H77" s="3753"/>
      <c r="I77" s="3753"/>
      <c r="J77" s="3753"/>
      <c r="K77" s="3754"/>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928" t="str">
        <f>IF(E77=0,"",IF(VLOOKUP(E77,Tabla_AM_Armas,4,FALSE)="-","-","FALTAN REQUISITOS"))</f>
        <v/>
      </c>
      <c r="W77" s="3929"/>
      <c r="X77" s="3929"/>
      <c r="Y77" s="3929"/>
      <c r="Z77" s="3929"/>
      <c r="AA77" s="3930"/>
      <c r="AB77" s="1879"/>
      <c r="AC77" s="1503"/>
      <c r="AD77" s="2893"/>
      <c r="AE77" s="2897"/>
      <c r="AF77" s="2905"/>
      <c r="AG77" s="2897"/>
      <c r="AH77" s="2897"/>
      <c r="AI77" s="2897"/>
      <c r="AJ77" s="2897"/>
      <c r="AK77" s="2897"/>
      <c r="AL77" s="2892"/>
      <c r="AM77" s="2892"/>
      <c r="AN77" s="2892"/>
      <c r="AO77" s="2888"/>
      <c r="AP77" s="2892"/>
      <c r="AQ77" s="2892"/>
      <c r="AR77" s="2892"/>
      <c r="AS77" s="2892"/>
      <c r="AT77" s="2892"/>
      <c r="AU77" s="2892"/>
      <c r="AV77" s="2892"/>
    </row>
    <row r="78" spans="1:48" s="15" customFormat="1" ht="12" customHeight="1" x14ac:dyDescent="0.2">
      <c r="A78" s="4"/>
      <c r="B78" s="981"/>
      <c r="C78" s="3660"/>
      <c r="D78" s="3755" t="s">
        <v>1508</v>
      </c>
      <c r="E78" s="3757"/>
      <c r="F78" s="3758"/>
      <c r="G78" s="3758"/>
      <c r="H78" s="3758"/>
      <c r="I78" s="3758"/>
      <c r="J78" s="3758"/>
      <c r="K78" s="3759"/>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714" t="str">
        <f>IF(E78=0,"",IF(VLOOKUP(E78,Tabla_ArsMagnus,5,FALSE)="-","Ver Descripción","FALTAN REQUISITOS"))</f>
        <v/>
      </c>
      <c r="W78" s="3715"/>
      <c r="X78" s="3715"/>
      <c r="Y78" s="3715"/>
      <c r="Z78" s="69" t="s">
        <v>1509</v>
      </c>
      <c r="AA78" s="578">
        <f>IF(E78=0,0,VLOOKUP(E78,Tabla_ArsMagnus,3,FALSE))</f>
        <v>0</v>
      </c>
      <c r="AB78" s="1879"/>
      <c r="AC78" s="1503"/>
      <c r="AD78" s="2888"/>
      <c r="AE78" s="2897"/>
      <c r="AF78" s="2905"/>
      <c r="AG78" s="2897"/>
      <c r="AH78" s="2897"/>
      <c r="AI78" s="2897"/>
      <c r="AJ78" s="2897"/>
      <c r="AK78" s="2897"/>
      <c r="AL78" s="2892"/>
      <c r="AM78" s="2892"/>
      <c r="AN78" s="2892"/>
      <c r="AO78" s="2888"/>
      <c r="AP78" s="2892"/>
      <c r="AQ78" s="2892"/>
      <c r="AR78" s="2892"/>
      <c r="AS78" s="2892"/>
      <c r="AT78" s="2892"/>
      <c r="AU78" s="2892"/>
      <c r="AV78" s="2892"/>
    </row>
    <row r="79" spans="1:48" s="15" customFormat="1" ht="12" customHeight="1" x14ac:dyDescent="0.2">
      <c r="A79" s="4"/>
      <c r="B79" s="981"/>
      <c r="C79" s="3660"/>
      <c r="D79" s="3756"/>
      <c r="E79" s="3760"/>
      <c r="F79" s="3761"/>
      <c r="G79" s="3761"/>
      <c r="H79" s="3761"/>
      <c r="I79" s="3761"/>
      <c r="J79" s="3761"/>
      <c r="K79" s="3762"/>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937" t="str">
        <f>IF(E79=0,"",IF(VLOOKUP(E79,Tabla_ArsMagnus,5,FALSE)="-","Ver Descripción","FALTAN REQUISITOS"))</f>
        <v/>
      </c>
      <c r="W79" s="3938"/>
      <c r="X79" s="3938"/>
      <c r="Y79" s="3938"/>
      <c r="Z79" s="68" t="s">
        <v>1509</v>
      </c>
      <c r="AA79" s="579">
        <f>IF(E79=0,0,VLOOKUP(E79,Tabla_ArsMagnus,3,FALSE))</f>
        <v>0</v>
      </c>
      <c r="AB79" s="1879"/>
      <c r="AC79" s="1503"/>
      <c r="AD79" s="2888"/>
      <c r="AE79" s="2897"/>
      <c r="AF79" s="2905"/>
      <c r="AG79" s="2897"/>
      <c r="AH79" s="2897"/>
      <c r="AI79" s="2897"/>
      <c r="AJ79" s="2897"/>
      <c r="AK79" s="2897"/>
      <c r="AL79" s="2892"/>
      <c r="AM79" s="2892"/>
      <c r="AN79" s="2892"/>
      <c r="AO79" s="2892"/>
      <c r="AP79" s="2892"/>
      <c r="AQ79" s="2892"/>
      <c r="AR79" s="2892"/>
      <c r="AS79" s="2892"/>
      <c r="AT79" s="2892"/>
      <c r="AU79" s="2892"/>
      <c r="AV79" s="2892"/>
    </row>
    <row r="80" spans="1:48" s="15" customFormat="1" ht="12" customHeight="1" x14ac:dyDescent="0.2">
      <c r="A80" s="4"/>
      <c r="B80" s="981"/>
      <c r="C80" s="3660"/>
      <c r="D80" s="3756"/>
      <c r="E80" s="3757"/>
      <c r="F80" s="3758"/>
      <c r="G80" s="3758"/>
      <c r="H80" s="3758"/>
      <c r="I80" s="3758"/>
      <c r="J80" s="3758"/>
      <c r="K80" s="3759"/>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714" t="str">
        <f>IF(E80=0,"",IF(VLOOKUP(E80,Tabla_ArsMagnus,5,FALSE)="-","Ver Descripción","FALTAN REQUISITOS"))</f>
        <v/>
      </c>
      <c r="W80" s="3715"/>
      <c r="X80" s="3715"/>
      <c r="Y80" s="3715"/>
      <c r="Z80" s="69" t="s">
        <v>1509</v>
      </c>
      <c r="AA80" s="578">
        <f>IF(E80=0,0,VLOOKUP(E80,Tabla_ArsMagnus,3,FALSE))</f>
        <v>0</v>
      </c>
      <c r="AB80" s="1879"/>
      <c r="AC80" s="1503"/>
      <c r="AD80" s="2888"/>
      <c r="AE80" s="2897"/>
      <c r="AF80" s="2905"/>
      <c r="AG80" s="2897"/>
      <c r="AH80" s="2897"/>
      <c r="AI80" s="2897"/>
      <c r="AJ80" s="2897"/>
      <c r="AK80" s="2897"/>
      <c r="AL80" s="2892"/>
      <c r="AM80" s="2892"/>
      <c r="AN80" s="2892"/>
      <c r="AO80" s="2892"/>
      <c r="AP80" s="2892"/>
      <c r="AQ80" s="2892"/>
      <c r="AR80" s="2892"/>
      <c r="AS80" s="2892"/>
      <c r="AT80" s="2892"/>
      <c r="AU80" s="2892"/>
      <c r="AV80" s="2892"/>
    </row>
    <row r="81" spans="1:48" s="15" customFormat="1" ht="12" customHeight="1" x14ac:dyDescent="0.2">
      <c r="A81" s="4"/>
      <c r="B81" s="981"/>
      <c r="C81" s="3660"/>
      <c r="D81" s="3756"/>
      <c r="E81" s="3760"/>
      <c r="F81" s="3761"/>
      <c r="G81" s="3761"/>
      <c r="H81" s="3761"/>
      <c r="I81" s="3761"/>
      <c r="J81" s="3761"/>
      <c r="K81" s="3762"/>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937" t="str">
        <f>IF(E81=0,"",IF(VLOOKUP(E81,Tabla_ArsMagnus,5,FALSE)="-","Ver Descripción","FALTAN REQUISITOS"))</f>
        <v/>
      </c>
      <c r="W81" s="3938"/>
      <c r="X81" s="3938"/>
      <c r="Y81" s="3938"/>
      <c r="Z81" s="68" t="s">
        <v>1509</v>
      </c>
      <c r="AA81" s="579">
        <f>IF(E81=0,0,VLOOKUP(E81,Tabla_ArsMagnus,3,FALSE))</f>
        <v>0</v>
      </c>
      <c r="AB81" s="1879"/>
      <c r="AC81" s="1503"/>
      <c r="AD81" s="2888"/>
      <c r="AE81" s="2897"/>
      <c r="AF81" s="2905"/>
      <c r="AG81" s="2897"/>
      <c r="AH81" s="2897"/>
      <c r="AI81" s="2897"/>
      <c r="AJ81" s="2897"/>
      <c r="AK81" s="2897"/>
      <c r="AL81" s="2892"/>
      <c r="AM81" s="2892"/>
      <c r="AN81" s="2892"/>
      <c r="AO81" s="2892"/>
      <c r="AP81" s="2892"/>
      <c r="AQ81" s="2892"/>
      <c r="AR81" s="2892"/>
      <c r="AS81" s="2892"/>
      <c r="AT81" s="2892"/>
      <c r="AU81" s="2892"/>
      <c r="AV81" s="2892"/>
    </row>
    <row r="82" spans="1:48" s="15" customFormat="1" ht="12" customHeight="1" thickBot="1" x14ac:dyDescent="0.25">
      <c r="A82" s="4"/>
      <c r="B82" s="981"/>
      <c r="C82" s="3660"/>
      <c r="D82" s="3756"/>
      <c r="E82" s="3757"/>
      <c r="F82" s="3758"/>
      <c r="G82" s="3758"/>
      <c r="H82" s="3758"/>
      <c r="I82" s="3758"/>
      <c r="J82" s="3758"/>
      <c r="K82" s="3759"/>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714" t="str">
        <f>IF(E82=0,"",IF(VLOOKUP(E82,Tabla_ArsMagnus,5,FALSE)="-","Ver Descripción","FALTAN REQUISITOS"))</f>
        <v/>
      </c>
      <c r="W82" s="3715"/>
      <c r="X82" s="3715"/>
      <c r="Y82" s="3715"/>
      <c r="Z82" s="69" t="s">
        <v>1509</v>
      </c>
      <c r="AA82" s="578">
        <f>IF(E82=0,0,VLOOKUP(E82,Tabla_ArsMagnus,3,FALSE))</f>
        <v>0</v>
      </c>
      <c r="AB82" s="1879"/>
      <c r="AC82" s="1503"/>
      <c r="AD82" s="2888"/>
      <c r="AE82" s="2897"/>
      <c r="AF82" s="2905"/>
      <c r="AG82" s="2897"/>
      <c r="AH82" s="2897"/>
      <c r="AI82" s="2897"/>
      <c r="AJ82" s="2897"/>
      <c r="AK82" s="2897"/>
      <c r="AL82" s="2892"/>
      <c r="AM82" s="2892"/>
      <c r="AN82" s="2892"/>
      <c r="AO82" s="2892"/>
      <c r="AP82" s="2892"/>
      <c r="AQ82" s="2892"/>
      <c r="AR82" s="2892"/>
      <c r="AS82" s="2892"/>
      <c r="AT82" s="2892"/>
      <c r="AU82" s="2892"/>
      <c r="AV82" s="2892"/>
    </row>
    <row r="83" spans="1:48" s="15" customFormat="1" ht="12" customHeight="1" x14ac:dyDescent="0.2">
      <c r="A83" s="4"/>
      <c r="B83" s="981"/>
      <c r="C83" s="3660"/>
      <c r="D83" s="3620" t="s">
        <v>1510</v>
      </c>
      <c r="E83" s="3621"/>
      <c r="F83" s="3621"/>
      <c r="G83" s="3621"/>
      <c r="H83" s="3621"/>
      <c r="I83" s="3621"/>
      <c r="J83" s="3621"/>
      <c r="K83" s="3622"/>
      <c r="L83" s="3616">
        <f>T$5*IF(Categoría_1=0,0.5,VLOOKUP(Categoría_1,Tabla_Categorías,6,FALSE))</f>
        <v>200</v>
      </c>
      <c r="M83" s="3636">
        <f>SUM(M27:M82)+SUM(M22:M25)</f>
        <v>0</v>
      </c>
      <c r="N83" s="3616">
        <f>SUM(T$5:T$7)*IF(Categoría_2=0,0,VLOOKUP(Categoría_2,Tabla_Categorías,6,FALSE))</f>
        <v>0</v>
      </c>
      <c r="O83" s="3636">
        <f>(SUM(O27:O82)+SUM(O22:O25)+M83)*IF(Categoría_2=0,0,1)</f>
        <v>0</v>
      </c>
      <c r="P83" s="3616">
        <f>SUM(T$5:T$9)*IF(Categoría_3=0,0,VLOOKUP(Categoría_3,Tabla_Categorías,6,FALSE))</f>
        <v>0</v>
      </c>
      <c r="Q83" s="3662">
        <f>(SUM(Q27:Q82)+SUM(Q22:Q25)+O83)*IF(Categoría_3=0,0,1)</f>
        <v>0</v>
      </c>
      <c r="R83" s="3616">
        <f>SUM(T$5:T$11)*IF(Categoría_4=0,0,VLOOKUP(Categoría_4,Tabla_Categorías,6,FALSE))</f>
        <v>0</v>
      </c>
      <c r="S83" s="3636">
        <f>(SUM(S27:S82)+SUM(S22:S25)+Q83)*IF(Categoría_4=0,0,1)</f>
        <v>0</v>
      </c>
      <c r="T83" s="3616">
        <f>SUM(T$5:T$13)*IF(Categoría_5=0,0,VLOOKUP(Categoría_5,Tabla_Categorías,6,FALSE))</f>
        <v>0</v>
      </c>
      <c r="U83" s="3636">
        <f>(SUM(U27:U82)+SUM(U22:U25)+S83)*IF(Categoría_5=0,0,1)</f>
        <v>0</v>
      </c>
      <c r="V83" s="3708"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Magnus",IF(AND(Tablas!H992&gt;0,AA22&gt;AA171),"Habilidad secundaria de Música insuficiente: Debe ser igual o superior a Ataque",IF(OR(M83&gt;L83,O83&gt;N83,Q83&gt;P83,S83&gt;R83,U83&gt;T83),"Exceso de PDs en Habilidades de Combate",""))))))</f>
        <v/>
      </c>
      <c r="W83" s="3709"/>
      <c r="X83" s="3709"/>
      <c r="Y83" s="3709"/>
      <c r="Z83" s="3709"/>
      <c r="AA83" s="3710"/>
      <c r="AB83" s="1879"/>
      <c r="AC83" s="1503"/>
      <c r="AD83" s="2888"/>
      <c r="AE83" s="2897"/>
      <c r="AF83" s="2905"/>
      <c r="AG83" s="2897"/>
      <c r="AH83" s="2897"/>
      <c r="AI83" s="2897"/>
      <c r="AJ83" s="2897"/>
      <c r="AK83" s="2897"/>
      <c r="AL83" s="2892"/>
      <c r="AM83" s="2892"/>
      <c r="AN83" s="2892"/>
      <c r="AO83" s="2892"/>
      <c r="AP83" s="2892"/>
      <c r="AQ83" s="2892"/>
      <c r="AR83" s="2892"/>
      <c r="AS83" s="2892"/>
      <c r="AT83" s="2892"/>
      <c r="AU83" s="2892"/>
      <c r="AV83" s="2892"/>
    </row>
    <row r="84" spans="1:48" s="15" customFormat="1" ht="12" customHeight="1" thickBot="1" x14ac:dyDescent="0.25">
      <c r="A84" s="4"/>
      <c r="B84" s="981"/>
      <c r="C84" s="3661"/>
      <c r="D84" s="3623"/>
      <c r="E84" s="3624"/>
      <c r="F84" s="3624"/>
      <c r="G84" s="3624"/>
      <c r="H84" s="3624"/>
      <c r="I84" s="3624"/>
      <c r="J84" s="3624"/>
      <c r="K84" s="3625"/>
      <c r="L84" s="3617"/>
      <c r="M84" s="3619"/>
      <c r="N84" s="3617"/>
      <c r="O84" s="3619"/>
      <c r="P84" s="3617"/>
      <c r="Q84" s="3384"/>
      <c r="R84" s="3617"/>
      <c r="S84" s="3619"/>
      <c r="T84" s="3617"/>
      <c r="U84" s="3619"/>
      <c r="V84" s="3711"/>
      <c r="W84" s="3712"/>
      <c r="X84" s="3712"/>
      <c r="Y84" s="3712"/>
      <c r="Z84" s="3712"/>
      <c r="AA84" s="3713"/>
      <c r="AB84" s="1879"/>
      <c r="AC84" s="1503"/>
      <c r="AD84" s="2888"/>
      <c r="AE84" s="2897"/>
      <c r="AF84" s="2905"/>
      <c r="AG84" s="2897"/>
      <c r="AH84" s="2897"/>
      <c r="AI84" s="2897"/>
      <c r="AJ84" s="2897"/>
      <c r="AK84" s="2897"/>
      <c r="AL84" s="2892"/>
      <c r="AM84" s="2892"/>
      <c r="AN84" s="2892"/>
      <c r="AO84" s="2892"/>
      <c r="AP84" s="2892"/>
      <c r="AQ84" s="2892"/>
      <c r="AR84" s="2892"/>
      <c r="AS84" s="2892"/>
      <c r="AT84" s="2892"/>
      <c r="AU84" s="2892"/>
      <c r="AV84" s="2892"/>
    </row>
    <row r="85" spans="1:48" s="15" customFormat="1" ht="12" customHeight="1" x14ac:dyDescent="0.2">
      <c r="A85" s="4"/>
      <c r="B85" s="981"/>
      <c r="AB85" s="1879"/>
      <c r="AC85" s="1503"/>
      <c r="AD85" s="2888"/>
      <c r="AE85" s="2897"/>
      <c r="AF85" s="2905"/>
      <c r="AG85" s="2897"/>
      <c r="AH85" s="2897"/>
      <c r="AI85" s="2897"/>
      <c r="AJ85" s="2897"/>
      <c r="AK85" s="2897"/>
      <c r="AL85" s="2892"/>
      <c r="AM85" s="2892"/>
      <c r="AN85" s="2892"/>
      <c r="AO85" s="2892"/>
      <c r="AP85" s="2892"/>
      <c r="AQ85" s="2892"/>
      <c r="AR85" s="2892"/>
      <c r="AS85" s="2892"/>
      <c r="AT85" s="2892"/>
      <c r="AU85" s="2892"/>
      <c r="AV85" s="2892"/>
    </row>
    <row r="86" spans="1:48" s="15" customFormat="1" ht="12" customHeight="1" thickBot="1" x14ac:dyDescent="0.25">
      <c r="A86" s="4"/>
      <c r="B86" s="981"/>
      <c r="AB86" s="1879"/>
      <c r="AC86" s="1503"/>
      <c r="AD86" s="2888"/>
      <c r="AE86" s="2897"/>
      <c r="AF86" s="2905"/>
      <c r="AG86" s="2897"/>
      <c r="AH86" s="2897"/>
      <c r="AI86" s="2897"/>
      <c r="AJ86" s="2897"/>
      <c r="AK86" s="2897"/>
      <c r="AL86" s="2892"/>
      <c r="AM86" s="2892"/>
      <c r="AN86" s="2892"/>
      <c r="AO86" s="2892"/>
      <c r="AP86" s="2892"/>
      <c r="AQ86" s="2892"/>
      <c r="AR86" s="2892"/>
      <c r="AS86" s="2892"/>
      <c r="AT86" s="2892"/>
      <c r="AU86" s="2892"/>
      <c r="AV86" s="2892"/>
    </row>
    <row r="87" spans="1:48" s="15" customFormat="1" ht="12" customHeight="1" x14ac:dyDescent="0.2">
      <c r="A87" s="4"/>
      <c r="B87" s="981"/>
      <c r="L87" s="3686" t="str">
        <f>IF(Categoría_1=0,"",Categoría_1)</f>
        <v/>
      </c>
      <c r="M87" s="3687"/>
      <c r="N87" s="3716" t="str">
        <f>IF(Categoría_2=0,"",Categoría_2)</f>
        <v/>
      </c>
      <c r="O87" s="3687"/>
      <c r="P87" s="3716" t="str">
        <f>IF(Categoría_3=0,"",Categoría_3)</f>
        <v/>
      </c>
      <c r="Q87" s="3687"/>
      <c r="R87" s="3716" t="str">
        <f>IF(Categoría_4=0,"",Categoría_4)</f>
        <v/>
      </c>
      <c r="S87" s="3687"/>
      <c r="T87" s="3716" t="str">
        <f>IF(Categoría_5=0,"",Categoría_5)</f>
        <v/>
      </c>
      <c r="U87" s="3717"/>
      <c r="V87" s="70"/>
      <c r="W87" s="70"/>
      <c r="X87" s="70"/>
      <c r="Y87" s="70"/>
      <c r="Z87" s="70"/>
      <c r="AA87" s="70"/>
      <c r="AB87" s="1879"/>
      <c r="AC87" s="1503"/>
      <c r="AD87" s="2888"/>
      <c r="AE87" s="2897"/>
      <c r="AF87" s="2905"/>
      <c r="AG87" s="2897"/>
      <c r="AH87" s="2897"/>
      <c r="AI87" s="2897"/>
      <c r="AJ87" s="2897"/>
      <c r="AK87" s="2897"/>
      <c r="AL87" s="2892"/>
      <c r="AM87" s="2892"/>
      <c r="AN87" s="2892"/>
      <c r="AO87" s="2888"/>
      <c r="AP87" s="2892"/>
      <c r="AQ87" s="2892"/>
      <c r="AR87" s="2892"/>
      <c r="AS87" s="2892"/>
      <c r="AT87" s="2892"/>
      <c r="AU87" s="2892"/>
      <c r="AV87" s="2892"/>
    </row>
    <row r="88" spans="1:48" s="15" customFormat="1" ht="12" customHeight="1" thickBot="1" x14ac:dyDescent="0.25">
      <c r="A88" s="4"/>
      <c r="B88" s="981"/>
      <c r="C88" s="21"/>
      <c r="L88" s="3688"/>
      <c r="M88" s="3689"/>
      <c r="N88" s="3718"/>
      <c r="O88" s="3689"/>
      <c r="P88" s="3718"/>
      <c r="Q88" s="3689"/>
      <c r="R88" s="3718"/>
      <c r="S88" s="3689"/>
      <c r="T88" s="3718"/>
      <c r="U88" s="3719"/>
      <c r="V88" s="70"/>
      <c r="W88" s="70"/>
      <c r="X88" s="70"/>
      <c r="Y88" s="70"/>
      <c r="Z88" s="70"/>
      <c r="AA88" s="70"/>
      <c r="AB88" s="1879"/>
      <c r="AC88" s="1503"/>
      <c r="AD88" s="2888"/>
      <c r="AE88" s="2897"/>
      <c r="AF88" s="2905"/>
      <c r="AG88" s="2897"/>
      <c r="AH88" s="2897"/>
      <c r="AI88" s="2897"/>
      <c r="AJ88" s="2897"/>
      <c r="AK88" s="2897"/>
      <c r="AL88" s="2892"/>
      <c r="AM88" s="2892"/>
      <c r="AN88" s="2892"/>
      <c r="AO88" s="2888"/>
      <c r="AP88" s="2892"/>
      <c r="AQ88" s="2892"/>
      <c r="AR88" s="2892"/>
      <c r="AS88" s="2892"/>
      <c r="AT88" s="2892"/>
      <c r="AU88" s="2892"/>
      <c r="AV88" s="2892"/>
    </row>
    <row r="89" spans="1:48" s="15" customFormat="1" ht="12" customHeight="1" thickBot="1" x14ac:dyDescent="0.25">
      <c r="A89" s="4"/>
      <c r="B89" s="981"/>
      <c r="C89" s="3821" t="s">
        <v>1511</v>
      </c>
      <c r="D89" s="558" t="s">
        <v>1402</v>
      </c>
      <c r="E89" s="3835" t="s">
        <v>1378</v>
      </c>
      <c r="F89" s="3743"/>
      <c r="G89" s="3743"/>
      <c r="H89" s="3743"/>
      <c r="I89" s="3743"/>
      <c r="J89" s="3743"/>
      <c r="K89" s="3836"/>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743" t="s">
        <v>1492</v>
      </c>
      <c r="Y89" s="3743"/>
      <c r="Z89" s="559" t="s">
        <v>1421</v>
      </c>
      <c r="AA89" s="561" t="s">
        <v>1352</v>
      </c>
      <c r="AB89" s="1879"/>
      <c r="AC89" s="1503"/>
      <c r="AD89" s="2888"/>
      <c r="AE89" s="2888"/>
      <c r="AF89" s="2905"/>
      <c r="AG89" s="2897"/>
      <c r="AH89" s="2897"/>
      <c r="AI89" s="2897"/>
      <c r="AJ89" s="2897"/>
      <c r="AK89" s="2897"/>
      <c r="AL89" s="2892"/>
      <c r="AM89" s="2892"/>
      <c r="AN89" s="2892"/>
      <c r="AO89" s="2888"/>
      <c r="AP89" s="2892"/>
      <c r="AQ89" s="2892"/>
      <c r="AR89" s="2892"/>
      <c r="AS89" s="2892"/>
      <c r="AT89" s="2892"/>
      <c r="AU89" s="2892"/>
      <c r="AV89" s="2892"/>
    </row>
    <row r="90" spans="1:48" s="15" customFormat="1" ht="12" customHeight="1" x14ac:dyDescent="0.2">
      <c r="A90" s="4"/>
      <c r="B90" s="981"/>
      <c r="C90" s="3659"/>
      <c r="D90" s="3829" t="s">
        <v>1368</v>
      </c>
      <c r="E90" s="3805" t="s">
        <v>1512</v>
      </c>
      <c r="F90" s="3272"/>
      <c r="G90" s="3272"/>
      <c r="H90" s="3272"/>
      <c r="I90" s="3272"/>
      <c r="J90" s="3272"/>
      <c r="K90" s="3806"/>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586">
        <f>HLOOKUP($E90,Bonos_Cat_Base,2,FALSE)</f>
        <v>0</v>
      </c>
      <c r="Y90" s="3586">
        <f>HLOOKUP($E90,Bonos_Cat_Base,2,FALSE)</f>
        <v>0</v>
      </c>
      <c r="Z90" s="2413"/>
      <c r="AA90" s="61">
        <f>Z90+X90+V90+W90</f>
        <v>0</v>
      </c>
      <c r="AB90" s="1879"/>
      <c r="AC90" s="1503"/>
      <c r="AD90" s="2888"/>
      <c r="AE90" s="2897"/>
      <c r="AF90" s="2905"/>
      <c r="AG90" s="2897"/>
      <c r="AH90" s="2897"/>
      <c r="AI90" s="2897"/>
      <c r="AJ90" s="2897"/>
      <c r="AK90" s="2897"/>
      <c r="AL90" s="2892"/>
      <c r="AM90" s="2892"/>
      <c r="AN90" s="2892"/>
      <c r="AO90" s="2888"/>
      <c r="AP90" s="2892"/>
      <c r="AQ90" s="2892"/>
      <c r="AR90" s="2892"/>
      <c r="AS90" s="2892"/>
      <c r="AT90" s="2892"/>
      <c r="AU90" s="2892"/>
      <c r="AV90" s="2892"/>
    </row>
    <row r="91" spans="1:48" s="15" customFormat="1" ht="12" customHeight="1" x14ac:dyDescent="0.2">
      <c r="A91" s="4"/>
      <c r="B91" s="981"/>
      <c r="C91" s="3659"/>
      <c r="D91" s="3829"/>
      <c r="E91" s="3737" t="s">
        <v>1513</v>
      </c>
      <c r="F91" s="3738"/>
      <c r="G91" s="3738"/>
      <c r="H91" s="3738"/>
      <c r="I91" s="3738"/>
      <c r="J91" s="3738"/>
      <c r="K91" s="3739"/>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751" t="s">
        <v>1459</v>
      </c>
      <c r="Y91" s="3751"/>
      <c r="Z91" s="2412"/>
      <c r="AA91" s="63">
        <f>MAX(0,Z91+W91+V91+IF(Mod_ATA&lt;0,TRUNC(Mod_ATA/2,0),0))</f>
        <v>0</v>
      </c>
      <c r="AB91" s="1879"/>
      <c r="AC91" s="1503"/>
      <c r="AD91" s="2888"/>
      <c r="AE91" s="2897"/>
      <c r="AF91" s="2905"/>
      <c r="AG91" s="2897"/>
      <c r="AH91" s="2897"/>
      <c r="AI91" s="2897"/>
      <c r="AJ91" s="2897"/>
      <c r="AK91" s="2897"/>
      <c r="AL91" s="2892"/>
      <c r="AM91" s="2892"/>
      <c r="AN91" s="2892"/>
      <c r="AO91" s="2888"/>
      <c r="AP91" s="2892"/>
      <c r="AQ91" s="2892"/>
      <c r="AR91" s="2892"/>
      <c r="AS91" s="2892"/>
      <c r="AT91" s="2892"/>
      <c r="AU91" s="2892"/>
      <c r="AV91" s="2892"/>
    </row>
    <row r="92" spans="1:48" s="15" customFormat="1" ht="12" customHeight="1" x14ac:dyDescent="0.2">
      <c r="A92" s="4"/>
      <c r="B92" s="981"/>
      <c r="C92" s="3659"/>
      <c r="D92" s="3829"/>
      <c r="E92" s="3805" t="s">
        <v>1514</v>
      </c>
      <c r="F92" s="3272"/>
      <c r="G92" s="3272"/>
      <c r="H92" s="3272"/>
      <c r="I92" s="3272"/>
      <c r="J92" s="3272"/>
      <c r="K92" s="3806"/>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586" t="s">
        <v>1459</v>
      </c>
      <c r="Y92" s="3586"/>
      <c r="Z92" s="2413"/>
      <c r="AA92" s="61">
        <f>W92+V92+Z92</f>
        <v>0</v>
      </c>
      <c r="AB92" s="1879"/>
      <c r="AC92" s="1503"/>
      <c r="AD92" s="2888"/>
      <c r="AE92" s="2897"/>
      <c r="AF92" s="2905"/>
      <c r="AG92" s="2897"/>
      <c r="AH92" s="2897"/>
      <c r="AI92" s="2897"/>
      <c r="AJ92" s="2897"/>
      <c r="AK92" s="2897"/>
      <c r="AL92" s="2892"/>
      <c r="AM92" s="2892"/>
      <c r="AN92" s="2892"/>
      <c r="AO92" s="2888"/>
      <c r="AP92" s="2892"/>
      <c r="AQ92" s="2892"/>
      <c r="AR92" s="2892"/>
      <c r="AS92" s="2892"/>
      <c r="AT92" s="2892"/>
      <c r="AU92" s="2892"/>
      <c r="AV92" s="2892"/>
    </row>
    <row r="93" spans="1:48" s="15" customFormat="1" ht="12" customHeight="1" x14ac:dyDescent="0.2">
      <c r="A93" s="4"/>
      <c r="B93" s="981"/>
      <c r="C93" s="3659"/>
      <c r="D93" s="3829"/>
      <c r="E93" s="3737" t="s">
        <v>1515</v>
      </c>
      <c r="F93" s="3738"/>
      <c r="G93" s="3738"/>
      <c r="H93" s="3738"/>
      <c r="I93" s="3738"/>
      <c r="J93" s="3738"/>
      <c r="K93" s="3739"/>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751" t="s">
        <v>1459</v>
      </c>
      <c r="Y93" s="3751"/>
      <c r="Z93" s="2412"/>
      <c r="AA93" s="63">
        <f>Z93+V93+W93+Mod_ATA</f>
        <v>0</v>
      </c>
      <c r="AB93" s="1879"/>
      <c r="AC93" s="1503"/>
      <c r="AD93" s="2888"/>
      <c r="AE93" s="2897"/>
      <c r="AF93" s="2905"/>
      <c r="AG93" s="2897"/>
      <c r="AH93" s="2897"/>
      <c r="AI93" s="2897"/>
      <c r="AJ93" s="2897"/>
      <c r="AK93" s="2897"/>
      <c r="AL93" s="2892"/>
      <c r="AM93" s="2892"/>
      <c r="AN93" s="2892"/>
      <c r="AO93" s="2888"/>
      <c r="AP93" s="2892"/>
      <c r="AQ93" s="2892"/>
      <c r="AR93" s="2892"/>
      <c r="AS93" s="2892"/>
      <c r="AT93" s="2892"/>
      <c r="AU93" s="2892"/>
      <c r="AV93" s="2892"/>
    </row>
    <row r="94" spans="1:48" s="15" customFormat="1" ht="12" customHeight="1" x14ac:dyDescent="0.2">
      <c r="A94" s="4"/>
      <c r="B94" s="981"/>
      <c r="C94" s="3659"/>
      <c r="D94" s="3830"/>
      <c r="E94" s="3805" t="s">
        <v>1516</v>
      </c>
      <c r="F94" s="3272"/>
      <c r="G94" s="3272"/>
      <c r="H94" s="3272"/>
      <c r="I94" s="3272"/>
      <c r="J94" s="3272"/>
      <c r="K94" s="3806"/>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586">
        <f>IF(Tablas!G450&gt;0,5*Nivel_Total,0)</f>
        <v>0</v>
      </c>
      <c r="Y94" s="3586"/>
      <c r="Z94" s="2413"/>
      <c r="AA94" s="72">
        <f>Z94+V94+W94+X94</f>
        <v>0</v>
      </c>
      <c r="AB94" s="1879"/>
      <c r="AC94" s="1503"/>
      <c r="AD94" s="2888"/>
      <c r="AE94" s="2897"/>
      <c r="AF94" s="2905"/>
      <c r="AG94" s="2897"/>
      <c r="AH94" s="2897"/>
      <c r="AI94" s="2897"/>
      <c r="AJ94" s="2897"/>
      <c r="AK94" s="2897"/>
      <c r="AL94" s="2892"/>
      <c r="AM94" s="2892"/>
      <c r="AN94" s="2892"/>
      <c r="AO94" s="2888"/>
      <c r="AP94" s="2892"/>
      <c r="AQ94" s="2892"/>
      <c r="AR94" s="2892"/>
      <c r="AS94" s="2892"/>
      <c r="AT94" s="2892"/>
      <c r="AU94" s="2892"/>
      <c r="AV94" s="2892"/>
    </row>
    <row r="95" spans="1:48" s="15" customFormat="1" ht="12" customHeight="1" x14ac:dyDescent="0.2">
      <c r="A95" s="4"/>
      <c r="B95" s="981"/>
      <c r="C95" s="3659"/>
      <c r="D95" s="3663" t="s">
        <v>1517</v>
      </c>
      <c r="E95" s="3696" t="s">
        <v>1518</v>
      </c>
      <c r="F95" s="3697"/>
      <c r="G95" s="3697"/>
      <c r="H95" s="3697"/>
      <c r="I95" s="3697"/>
      <c r="J95" s="3697"/>
      <c r="K95" s="3839"/>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740">
        <f t="shared" ref="X95:Y98" si="26">HLOOKUP($E95,Bonos_Cat_Base,2,FALSE)</f>
        <v>0</v>
      </c>
      <c r="Y95" s="3740">
        <f t="shared" si="26"/>
        <v>0</v>
      </c>
      <c r="Z95" s="2426"/>
      <c r="AA95" s="73">
        <f>Z95+X95+V95+W95+IF(Mod_ATA&lt;0,Mod_ATA,0)+IF(Raza="Devah",10,0)+IF(Nephilim="Nephilim Devah",10,0)</f>
        <v>0</v>
      </c>
      <c r="AB95" s="1879"/>
      <c r="AC95" s="1503"/>
      <c r="AD95" s="2888"/>
      <c r="AE95" s="2897"/>
      <c r="AF95" s="2905"/>
      <c r="AG95" s="2897"/>
      <c r="AH95" s="2897"/>
      <c r="AI95" s="2897"/>
      <c r="AJ95" s="2897"/>
      <c r="AK95" s="2897"/>
      <c r="AL95" s="2892"/>
      <c r="AM95" s="2892"/>
      <c r="AN95" s="2892"/>
      <c r="AO95" s="2888"/>
      <c r="AP95" s="2892"/>
      <c r="AQ95" s="2892"/>
      <c r="AR95" s="2892"/>
      <c r="AS95" s="2892"/>
      <c r="AT95" s="2892"/>
      <c r="AU95" s="2892"/>
      <c r="AV95" s="2892"/>
    </row>
    <row r="96" spans="1:48" s="15" customFormat="1" ht="12" customHeight="1" x14ac:dyDescent="0.2">
      <c r="A96" s="4"/>
      <c r="B96" s="981"/>
      <c r="C96" s="3659"/>
      <c r="D96" s="3664"/>
      <c r="E96" s="3588" t="s">
        <v>7158</v>
      </c>
      <c r="F96" s="3589"/>
      <c r="G96" s="3589"/>
      <c r="H96" s="3589"/>
      <c r="I96" s="3589"/>
      <c r="J96" s="3589"/>
      <c r="K96" s="3668"/>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741">
        <f t="shared" si="26"/>
        <v>0</v>
      </c>
      <c r="Y96" s="3741">
        <f t="shared" si="26"/>
        <v>0</v>
      </c>
      <c r="Z96" s="2427"/>
      <c r="AA96" s="532">
        <f>Z96+X96+V96+W96+IF(Mod_ATA&lt;0,Mod_ATA,0)+IF(Raza="Devah",10,0)+Tablas!$K$1777</f>
        <v>0</v>
      </c>
      <c r="AB96" s="1879"/>
      <c r="AC96" s="1503"/>
      <c r="AD96" s="2888"/>
      <c r="AE96" s="2897"/>
      <c r="AF96" s="2905"/>
      <c r="AG96" s="2897"/>
      <c r="AH96" s="2894"/>
      <c r="AI96" s="2897"/>
      <c r="AJ96" s="2897"/>
      <c r="AK96" s="2897"/>
      <c r="AL96" s="2892"/>
      <c r="AM96" s="2892"/>
      <c r="AN96" s="2892"/>
      <c r="AO96" s="2888"/>
      <c r="AP96" s="2892"/>
      <c r="AQ96" s="2892"/>
      <c r="AR96" s="2892"/>
      <c r="AS96" s="2892"/>
      <c r="AT96" s="2892"/>
      <c r="AU96" s="2892"/>
      <c r="AV96" s="2892"/>
    </row>
    <row r="97" spans="1:48" s="15" customFormat="1" ht="12" customHeight="1" x14ac:dyDescent="0.2">
      <c r="A97" s="4"/>
      <c r="B97" s="981"/>
      <c r="C97" s="3659"/>
      <c r="D97" s="3664"/>
      <c r="E97" s="3590" t="s">
        <v>386</v>
      </c>
      <c r="F97" s="3591"/>
      <c r="G97" s="3591"/>
      <c r="H97" s="3591"/>
      <c r="I97" s="3591"/>
      <c r="J97" s="3591"/>
      <c r="K97" s="3670"/>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742">
        <f t="shared" si="26"/>
        <v>0</v>
      </c>
      <c r="Y97" s="3742">
        <f t="shared" si="26"/>
        <v>0</v>
      </c>
      <c r="Z97" s="2428"/>
      <c r="AA97" s="535">
        <f>Z97+X97+V97+W97+IF(Mod_ATA&lt;0,Mod_ATA,0)+IF(Raza="Devah",10,0)</f>
        <v>0</v>
      </c>
      <c r="AB97" s="1879"/>
      <c r="AC97" s="1503"/>
      <c r="AD97" s="2888"/>
      <c r="AE97" s="2897"/>
      <c r="AF97" s="2905"/>
      <c r="AG97" s="2897"/>
      <c r="AH97" s="2897"/>
      <c r="AI97" s="2897"/>
      <c r="AJ97" s="2897"/>
      <c r="AK97" s="2897"/>
      <c r="AL97" s="2892"/>
      <c r="AM97" s="2892"/>
      <c r="AN97" s="2892"/>
      <c r="AO97" s="2888"/>
      <c r="AP97" s="2892"/>
      <c r="AQ97" s="2892"/>
      <c r="AR97" s="2892"/>
      <c r="AS97" s="2892"/>
      <c r="AT97" s="2892"/>
      <c r="AU97" s="2892"/>
      <c r="AV97" s="2892"/>
    </row>
    <row r="98" spans="1:48" s="15" customFormat="1" ht="12" customHeight="1" x14ac:dyDescent="0.2">
      <c r="A98" s="4"/>
      <c r="B98" s="981"/>
      <c r="C98" s="3659"/>
      <c r="D98" s="3831"/>
      <c r="E98" s="3595" t="s">
        <v>1521</v>
      </c>
      <c r="F98" s="3596"/>
      <c r="G98" s="3596"/>
      <c r="H98" s="3596"/>
      <c r="I98" s="3596"/>
      <c r="J98" s="3596"/>
      <c r="K98" s="3834"/>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720">
        <f t="shared" si="26"/>
        <v>0</v>
      </c>
      <c r="Y98" s="3720">
        <f t="shared" si="26"/>
        <v>0</v>
      </c>
      <c r="Z98" s="2429"/>
      <c r="AA98" s="74">
        <f>Z98+X98+V98+W98+IF(Mod_ATA&lt;0,Mod_ATA,0)+IF(Raza="Devah",10,0)+IF(Nephilim="Nephilim Devah",10,0)</f>
        <v>0</v>
      </c>
      <c r="AB98" s="1879"/>
      <c r="AC98" s="1503"/>
      <c r="AD98" s="2888"/>
      <c r="AE98" s="2897"/>
      <c r="AF98" s="2905"/>
      <c r="AG98" s="2897"/>
      <c r="AH98" s="2897"/>
      <c r="AI98" s="2897"/>
      <c r="AJ98" s="2897"/>
      <c r="AK98" s="2897"/>
      <c r="AL98" s="2892"/>
      <c r="AM98" s="2892"/>
      <c r="AN98" s="2892"/>
      <c r="AO98" s="2888"/>
      <c r="AP98" s="2892"/>
      <c r="AQ98" s="2892"/>
      <c r="AR98" s="2892"/>
      <c r="AS98" s="2892"/>
      <c r="AT98" s="2892"/>
      <c r="AU98" s="2892"/>
      <c r="AV98" s="2892"/>
    </row>
    <row r="99" spans="1:48" s="15" customFormat="1" ht="12" customHeight="1" x14ac:dyDescent="0.2">
      <c r="A99" s="4"/>
      <c r="B99" s="981"/>
      <c r="C99" s="3659"/>
      <c r="D99" s="3832" t="s">
        <v>1522</v>
      </c>
      <c r="E99" s="3815"/>
      <c r="F99" s="3683"/>
      <c r="G99" s="3683"/>
      <c r="H99" s="3683"/>
      <c r="I99" s="3683"/>
      <c r="J99" s="3683"/>
      <c r="K99" s="3684"/>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892" t="str">
        <f>IF($E99=0,"",VLOOKUP($E99,Tabla_TablasSobrenat,3))</f>
        <v/>
      </c>
      <c r="W99" s="3893">
        <f t="shared" ref="W99:AA100" si="27">IF($E99=0,0,VLOOKUP($E99,Tabla_TablasSobrenat,2))</f>
        <v>0</v>
      </c>
      <c r="X99" s="3893">
        <f t="shared" si="27"/>
        <v>0</v>
      </c>
      <c r="Y99" s="3893">
        <f t="shared" si="27"/>
        <v>0</v>
      </c>
      <c r="Z99" s="3893">
        <f t="shared" si="27"/>
        <v>0</v>
      </c>
      <c r="AA99" s="3894">
        <f t="shared" si="27"/>
        <v>0</v>
      </c>
      <c r="AB99" s="1879"/>
      <c r="AC99" s="1503"/>
      <c r="AD99" s="2888"/>
      <c r="AE99" s="2897"/>
      <c r="AF99" s="2905"/>
      <c r="AG99" s="2897"/>
      <c r="AH99" s="2897"/>
      <c r="AI99" s="2897"/>
      <c r="AJ99" s="2897"/>
      <c r="AK99" s="2897"/>
      <c r="AL99" s="2892"/>
      <c r="AM99" s="2892"/>
      <c r="AN99" s="2892"/>
      <c r="AO99" s="2888"/>
      <c r="AP99" s="2892"/>
      <c r="AQ99" s="2892"/>
      <c r="AR99" s="2892"/>
      <c r="AS99" s="2892"/>
      <c r="AT99" s="2892"/>
      <c r="AU99" s="2892"/>
      <c r="AV99" s="2892"/>
    </row>
    <row r="100" spans="1:48" s="15" customFormat="1" ht="12" customHeight="1" thickBot="1" x14ac:dyDescent="0.25">
      <c r="A100" s="4"/>
      <c r="B100" s="981"/>
      <c r="C100" s="3659"/>
      <c r="D100" s="3833"/>
      <c r="E100" s="3816"/>
      <c r="F100" s="3678"/>
      <c r="G100" s="3678"/>
      <c r="H100" s="3678"/>
      <c r="I100" s="3678"/>
      <c r="J100" s="3678"/>
      <c r="K100" s="3679"/>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895" t="str">
        <f>IF($E100=0,"",VLOOKUP($E100,Tabla_TablasSobrenat,3))</f>
        <v/>
      </c>
      <c r="W100" s="3896">
        <f t="shared" si="27"/>
        <v>0</v>
      </c>
      <c r="X100" s="3896">
        <f t="shared" si="27"/>
        <v>0</v>
      </c>
      <c r="Y100" s="3896">
        <f t="shared" si="27"/>
        <v>0</v>
      </c>
      <c r="Z100" s="3896">
        <f t="shared" si="27"/>
        <v>0</v>
      </c>
      <c r="AA100" s="3897">
        <f t="shared" si="27"/>
        <v>0</v>
      </c>
      <c r="AB100" s="1879"/>
      <c r="AC100" s="1503"/>
      <c r="AD100" s="2888"/>
      <c r="AE100" s="2897"/>
      <c r="AF100" s="2905"/>
      <c r="AG100" s="2897"/>
      <c r="AH100" s="2897"/>
      <c r="AI100" s="2897"/>
      <c r="AJ100" s="2897"/>
      <c r="AK100" s="2897"/>
      <c r="AL100" s="2892"/>
      <c r="AM100" s="2892"/>
      <c r="AN100" s="2892"/>
      <c r="AO100" s="2888"/>
      <c r="AP100" s="2892"/>
      <c r="AQ100" s="2892"/>
      <c r="AR100" s="2892"/>
      <c r="AS100" s="2892"/>
      <c r="AT100" s="2892"/>
      <c r="AU100" s="2892"/>
      <c r="AV100" s="2892"/>
    </row>
    <row r="101" spans="1:48" s="15" customFormat="1" ht="12" customHeight="1" x14ac:dyDescent="0.2">
      <c r="A101" s="31"/>
      <c r="B101" s="873"/>
      <c r="C101" s="3660"/>
      <c r="D101" s="3620" t="s">
        <v>1523</v>
      </c>
      <c r="E101" s="3621"/>
      <c r="F101" s="3621"/>
      <c r="G101" s="3621"/>
      <c r="H101" s="3621"/>
      <c r="I101" s="3621"/>
      <c r="J101" s="3621"/>
      <c r="K101" s="3837"/>
      <c r="L101" s="3616">
        <f>T$5*IF(Categoría_1=0,0.5,VLOOKUP(Categoría_1,Tabla_Categorías,7,FALSE))</f>
        <v>200</v>
      </c>
      <c r="M101" s="3636">
        <f>SUM(M90:M100)</f>
        <v>0</v>
      </c>
      <c r="N101" s="3616">
        <f>SUM(T$5:T$8)*IF(Categoría_2=0,0,VLOOKUP(Categoría_2,Tabla_Categorías,7,FALSE))</f>
        <v>0</v>
      </c>
      <c r="O101" s="3636">
        <f>(SUM(O90:O100)+M101)*IF(Categoría_2=0,0,1)</f>
        <v>0</v>
      </c>
      <c r="P101" s="3616">
        <f>SUM(T$5:T$10)*IF(Categoría_3=0,0,VLOOKUP(Categoría_3,Tabla_Categorías,7,FALSE))</f>
        <v>0</v>
      </c>
      <c r="Q101" s="3662">
        <f>(SUM(Q90:Q100)+O101)*IF(Categoría_3=0,0,1)</f>
        <v>0</v>
      </c>
      <c r="R101" s="3616">
        <f>SUM(T$5:T$11)*IF(Categoría_4=0,0,VLOOKUP(Categoría_4,Tabla_Categorías,7,FALSE))</f>
        <v>0</v>
      </c>
      <c r="S101" s="3636">
        <f>(SUM(S90:S100)+Q101)*IF(Categoría_4=0,0,1)</f>
        <v>0</v>
      </c>
      <c r="T101" s="3721">
        <f>SUM(T$5:T$13)*IF(Categoría_5=0,0,VLOOKUP(Categoría_5,Tabla_Categorías,7,FALSE))</f>
        <v>0</v>
      </c>
      <c r="U101" s="3935">
        <f>(SUM(U90:U100)+S101)*IF(Categoría_5=0,0,1)</f>
        <v>0</v>
      </c>
      <c r="V101" s="3846" t="str">
        <f>IF((M93+O93+Q93+S93+U93)*2&gt;MAX(L101,N101,P101,R101,T101),"Exceso en Proyección Mágica",IF(M94+O94+Q94+S94+U94&gt;0.1*$Z$191,"Exceso de PDs en Nivel de Magia",IF(OR(M101&gt;L101,O101&gt;N101,Q101&gt;P101,S101&gt;R101,U101&gt;T101),"Exceso de PDs en Habilidades Místicas","")))</f>
        <v/>
      </c>
      <c r="W101" s="3847"/>
      <c r="X101" s="3847"/>
      <c r="Y101" s="3847"/>
      <c r="Z101" s="3847"/>
      <c r="AA101" s="3848"/>
      <c r="AB101" s="1875"/>
      <c r="AC101" s="899"/>
      <c r="AD101" s="2888"/>
      <c r="AE101" s="2897"/>
      <c r="AF101" s="2905"/>
      <c r="AG101" s="2897"/>
      <c r="AH101" s="2897"/>
      <c r="AI101" s="2897"/>
      <c r="AJ101" s="2897"/>
      <c r="AK101" s="2897"/>
      <c r="AL101" s="2892"/>
      <c r="AM101" s="2892"/>
      <c r="AN101" s="2892"/>
      <c r="AO101" s="2888"/>
      <c r="AP101" s="2892"/>
      <c r="AQ101" s="2892"/>
      <c r="AR101" s="2892"/>
      <c r="AS101" s="2892"/>
      <c r="AT101" s="2892"/>
      <c r="AU101" s="2892"/>
      <c r="AV101" s="2892"/>
    </row>
    <row r="102" spans="1:48" s="15" customFormat="1" ht="12" customHeight="1" thickBot="1" x14ac:dyDescent="0.25">
      <c r="A102" s="31"/>
      <c r="B102" s="873"/>
      <c r="C102" s="3661"/>
      <c r="D102" s="3623"/>
      <c r="E102" s="3624"/>
      <c r="F102" s="3624"/>
      <c r="G102" s="3624"/>
      <c r="H102" s="3624"/>
      <c r="I102" s="3624"/>
      <c r="J102" s="3624"/>
      <c r="K102" s="3838"/>
      <c r="L102" s="3617"/>
      <c r="M102" s="3619"/>
      <c r="N102" s="3617"/>
      <c r="O102" s="3619"/>
      <c r="P102" s="3617"/>
      <c r="Q102" s="3384"/>
      <c r="R102" s="3617"/>
      <c r="S102" s="3619"/>
      <c r="T102" s="3722"/>
      <c r="U102" s="3936"/>
      <c r="V102" s="3849"/>
      <c r="W102" s="3850"/>
      <c r="X102" s="3850"/>
      <c r="Y102" s="3850"/>
      <c r="Z102" s="3850"/>
      <c r="AA102" s="3851"/>
      <c r="AB102" s="1875"/>
      <c r="AC102" s="899"/>
      <c r="AD102" s="2888"/>
      <c r="AE102" s="2897"/>
      <c r="AF102" s="2905"/>
      <c r="AG102" s="2897"/>
      <c r="AH102" s="2897"/>
      <c r="AI102" s="2897"/>
      <c r="AJ102" s="2897"/>
      <c r="AK102" s="2897"/>
      <c r="AL102" s="2892"/>
      <c r="AM102" s="2892"/>
      <c r="AN102" s="2892"/>
      <c r="AO102" s="2888"/>
      <c r="AP102" s="2892"/>
      <c r="AQ102" s="2892"/>
      <c r="AR102" s="2892"/>
      <c r="AS102" s="2892"/>
      <c r="AT102" s="2892"/>
      <c r="AU102" s="2892"/>
      <c r="AV102" s="2892"/>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888"/>
      <c r="AE103" s="2897"/>
      <c r="AF103" s="2905"/>
      <c r="AG103" s="2897"/>
      <c r="AH103" s="2897"/>
      <c r="AI103" s="2897"/>
      <c r="AJ103" s="2897"/>
      <c r="AK103" s="2897"/>
      <c r="AL103" s="2892"/>
      <c r="AM103" s="2892"/>
      <c r="AN103" s="2892"/>
      <c r="AO103" s="2888"/>
      <c r="AP103" s="2892"/>
      <c r="AQ103" s="2892"/>
      <c r="AR103" s="2892"/>
      <c r="AS103" s="2892"/>
      <c r="AT103" s="2892"/>
      <c r="AU103" s="2892"/>
      <c r="AV103" s="2892"/>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888"/>
      <c r="AE104" s="2897"/>
      <c r="AF104" s="2905"/>
      <c r="AG104" s="2897"/>
      <c r="AH104" s="2897"/>
      <c r="AI104" s="2897"/>
      <c r="AJ104" s="2897"/>
      <c r="AK104" s="2897"/>
      <c r="AL104" s="2892"/>
      <c r="AM104" s="2892"/>
      <c r="AN104" s="2892"/>
      <c r="AO104" s="2888"/>
      <c r="AP104" s="2892"/>
      <c r="AQ104" s="2892"/>
      <c r="AR104" s="2892"/>
      <c r="AS104" s="2892"/>
      <c r="AT104" s="2892"/>
      <c r="AU104" s="2892"/>
      <c r="AV104" s="2892"/>
    </row>
    <row r="105" spans="1:48" s="15" customFormat="1" ht="12" customHeight="1" x14ac:dyDescent="0.2">
      <c r="A105" s="31"/>
      <c r="B105" s="873"/>
      <c r="C105" s="23"/>
      <c r="D105" s="23"/>
      <c r="E105" s="23"/>
      <c r="F105" s="23"/>
      <c r="I105" s="23"/>
      <c r="J105" s="23"/>
      <c r="K105" s="23"/>
      <c r="L105" s="3686" t="str">
        <f>IF(Categoría_1=0,"",Categoría_1)</f>
        <v/>
      </c>
      <c r="M105" s="3687"/>
      <c r="N105" s="3716" t="str">
        <f>IF(Categoría_2=0,"",Categoría_2)</f>
        <v/>
      </c>
      <c r="O105" s="3687"/>
      <c r="P105" s="3716" t="str">
        <f>IF(Categoría_3=0,"",Categoría_3)</f>
        <v/>
      </c>
      <c r="Q105" s="3687"/>
      <c r="R105" s="3716" t="str">
        <f>IF(Categoría_4=0,"",Categoría_4)</f>
        <v/>
      </c>
      <c r="S105" s="3687"/>
      <c r="T105" s="3716" t="str">
        <f>IF(Categoría_5=0,"",Categoría_5)</f>
        <v/>
      </c>
      <c r="U105" s="3717"/>
      <c r="V105" s="23"/>
      <c r="W105" s="23"/>
      <c r="X105" s="23"/>
      <c r="Y105" s="23"/>
      <c r="Z105" s="23"/>
      <c r="AA105" s="23"/>
      <c r="AB105" s="1875"/>
      <c r="AC105" s="899"/>
      <c r="AD105" s="2888"/>
      <c r="AE105" s="2897"/>
      <c r="AF105" s="2905"/>
      <c r="AG105" s="2897"/>
      <c r="AH105" s="2897"/>
      <c r="AI105" s="2897"/>
      <c r="AJ105" s="2897"/>
      <c r="AK105" s="2897"/>
      <c r="AL105" s="2892"/>
      <c r="AM105" s="2892"/>
      <c r="AN105" s="2892"/>
      <c r="AO105" s="2888"/>
      <c r="AP105" s="2892"/>
      <c r="AQ105" s="2892"/>
      <c r="AR105" s="2892"/>
      <c r="AS105" s="2892"/>
      <c r="AT105" s="2892"/>
      <c r="AU105" s="2892"/>
      <c r="AV105" s="2892"/>
    </row>
    <row r="106" spans="1:48" s="15" customFormat="1" ht="12" customHeight="1" thickBot="1" x14ac:dyDescent="0.25">
      <c r="A106" s="31"/>
      <c r="B106" s="873"/>
      <c r="C106" s="23"/>
      <c r="D106" s="23"/>
      <c r="E106" s="23"/>
      <c r="F106" s="23"/>
      <c r="I106" s="23"/>
      <c r="J106" s="23"/>
      <c r="K106" s="23"/>
      <c r="L106" s="3688"/>
      <c r="M106" s="3689"/>
      <c r="N106" s="3718"/>
      <c r="O106" s="3689"/>
      <c r="P106" s="3718"/>
      <c r="Q106" s="3689"/>
      <c r="R106" s="3718"/>
      <c r="S106" s="3689"/>
      <c r="T106" s="3718"/>
      <c r="U106" s="3719"/>
      <c r="V106" s="23"/>
      <c r="W106" s="23"/>
      <c r="X106" s="23"/>
      <c r="Y106" s="23"/>
      <c r="Z106" s="23"/>
      <c r="AA106" s="23"/>
      <c r="AB106" s="1875"/>
      <c r="AC106" s="899"/>
      <c r="AD106" s="2888"/>
      <c r="AE106" s="2897"/>
      <c r="AF106" s="2905"/>
      <c r="AG106" s="2897"/>
      <c r="AH106" s="2897"/>
      <c r="AI106" s="2897"/>
      <c r="AJ106" s="2897"/>
      <c r="AK106" s="2897"/>
      <c r="AL106" s="2892"/>
      <c r="AM106" s="2892"/>
      <c r="AN106" s="2892"/>
      <c r="AO106" s="2888"/>
      <c r="AP106" s="2892"/>
      <c r="AQ106" s="2892"/>
      <c r="AR106" s="2892"/>
      <c r="AS106" s="2892"/>
      <c r="AT106" s="2892"/>
      <c r="AU106" s="2892"/>
      <c r="AV106" s="2892"/>
    </row>
    <row r="107" spans="1:48" ht="12" customHeight="1" thickBot="1" x14ac:dyDescent="0.25">
      <c r="A107" s="31"/>
      <c r="B107" s="873"/>
      <c r="C107" s="3658" t="s">
        <v>1524</v>
      </c>
      <c r="D107" s="1530" t="s">
        <v>1402</v>
      </c>
      <c r="E107" s="3665" t="s">
        <v>1378</v>
      </c>
      <c r="F107" s="3665"/>
      <c r="G107" s="3665"/>
      <c r="H107" s="3665"/>
      <c r="I107" s="3665"/>
      <c r="J107" s="3665"/>
      <c r="K107" s="3666"/>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934" t="s">
        <v>1492</v>
      </c>
      <c r="Y107" s="3934"/>
      <c r="Z107" s="534" t="s">
        <v>1421</v>
      </c>
      <c r="AA107" s="59" t="s">
        <v>1352</v>
      </c>
      <c r="AB107" s="1875"/>
      <c r="AC107" s="899"/>
      <c r="AD107" s="2888"/>
      <c r="AE107" s="2888"/>
      <c r="AF107" s="2905"/>
      <c r="AG107" s="2897"/>
      <c r="AH107" s="2897"/>
      <c r="AI107" s="2897"/>
      <c r="AJ107" s="2897"/>
      <c r="AK107" s="2897"/>
      <c r="AL107" s="2892"/>
      <c r="AM107" s="2892"/>
      <c r="AN107" s="2892"/>
      <c r="AO107" s="2888"/>
      <c r="AP107" s="2892"/>
      <c r="AQ107" s="1872"/>
      <c r="AR107" s="1872"/>
      <c r="AS107" s="1872"/>
      <c r="AT107" s="1872"/>
      <c r="AU107" s="1872"/>
      <c r="AV107" s="1872"/>
    </row>
    <row r="108" spans="1:48" ht="12" customHeight="1" x14ac:dyDescent="0.2">
      <c r="A108" s="31"/>
      <c r="B108" s="873"/>
      <c r="C108" s="3659"/>
      <c r="D108" s="3680" t="s">
        <v>1368</v>
      </c>
      <c r="E108" s="3667" t="s">
        <v>1525</v>
      </c>
      <c r="F108" s="3589"/>
      <c r="G108" s="3589"/>
      <c r="H108" s="3589"/>
      <c r="I108" s="3589"/>
      <c r="J108" s="3589"/>
      <c r="K108" s="3668"/>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732">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32"/>
      <c r="Z108" s="2424"/>
      <c r="AA108" s="71">
        <f>V108+Z108+X108</f>
        <v>0</v>
      </c>
      <c r="AB108" s="1875"/>
      <c r="AC108" s="899"/>
      <c r="AD108" s="2888"/>
      <c r="AE108" s="2897"/>
      <c r="AF108" s="2905"/>
      <c r="AG108" s="2897"/>
      <c r="AH108" s="2897"/>
      <c r="AI108" s="2897"/>
      <c r="AJ108" s="2897"/>
      <c r="AK108" s="2897"/>
      <c r="AL108" s="2892"/>
      <c r="AM108" s="2892"/>
      <c r="AN108" s="2892"/>
      <c r="AO108" s="2888"/>
      <c r="AP108" s="2892"/>
      <c r="AQ108" s="1872"/>
      <c r="AR108" s="1872"/>
      <c r="AS108" s="1872"/>
      <c r="AT108" s="1872"/>
      <c r="AU108" s="1872"/>
      <c r="AV108" s="1872"/>
    </row>
    <row r="109" spans="1:48" ht="12" customHeight="1" x14ac:dyDescent="0.2">
      <c r="A109" s="31"/>
      <c r="B109" s="873"/>
      <c r="C109" s="3659"/>
      <c r="D109" s="3681"/>
      <c r="E109" s="3669" t="s">
        <v>1526</v>
      </c>
      <c r="F109" s="3591"/>
      <c r="G109" s="3591"/>
      <c r="H109" s="3591"/>
      <c r="I109" s="3591"/>
      <c r="J109" s="3591"/>
      <c r="K109" s="3670"/>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733" t="s">
        <v>1459</v>
      </c>
      <c r="Y109" s="3733"/>
      <c r="Z109" s="2425"/>
      <c r="AA109" s="64">
        <f>V109+W109+Z109+Mod_ATA</f>
        <v>0</v>
      </c>
      <c r="AB109" s="1875"/>
      <c r="AC109" s="899"/>
      <c r="AD109" s="2888"/>
      <c r="AE109" s="2897"/>
      <c r="AF109" s="2905"/>
      <c r="AG109" s="2897"/>
      <c r="AH109" s="2897"/>
      <c r="AI109" s="2897"/>
      <c r="AJ109" s="2897"/>
      <c r="AK109" s="2897"/>
      <c r="AL109" s="2892"/>
      <c r="AM109" s="2892"/>
      <c r="AN109" s="2892"/>
      <c r="AO109" s="2888"/>
      <c r="AP109" s="2892"/>
      <c r="AQ109" s="1872"/>
      <c r="AR109" s="1872"/>
      <c r="AS109" s="1872"/>
      <c r="AT109" s="1872"/>
      <c r="AU109" s="1872"/>
      <c r="AV109" s="1872"/>
    </row>
    <row r="110" spans="1:48" ht="12" customHeight="1" x14ac:dyDescent="0.2">
      <c r="A110" s="31"/>
      <c r="B110" s="873"/>
      <c r="C110" s="3659"/>
      <c r="D110" s="581" t="s">
        <v>1522</v>
      </c>
      <c r="E110" s="3671"/>
      <c r="F110" s="3672"/>
      <c r="G110" s="3672"/>
      <c r="H110" s="3672"/>
      <c r="I110" s="3672"/>
      <c r="J110" s="3672"/>
      <c r="K110" s="3673"/>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723" t="str">
        <f>IF($E110=0,"",VLOOKUP($E110,Tabla_TablasSobrenat,3))</f>
        <v/>
      </c>
      <c r="W110" s="3724">
        <f>IF($E110=0,0,VLOOKUP($E110,Tabla_TablasSobrenat,2))</f>
        <v>0</v>
      </c>
      <c r="X110" s="3724">
        <f>IF($E110=0,0,VLOOKUP($E110,Tabla_TablasSobrenat,2))</f>
        <v>0</v>
      </c>
      <c r="Y110" s="3724">
        <f>IF($E110=0,0,VLOOKUP($E110,Tabla_TablasSobrenat,2))</f>
        <v>0</v>
      </c>
      <c r="Z110" s="3724">
        <f>IF($E110=0,0,VLOOKUP($E110,Tabla_TablasSobrenat,2))</f>
        <v>0</v>
      </c>
      <c r="AA110" s="3725">
        <f>IF($E110=0,0,VLOOKUP($E110,Tabla_TablasSobrenat,2))</f>
        <v>0</v>
      </c>
      <c r="AB110" s="1875"/>
      <c r="AC110" s="899"/>
      <c r="AD110" s="2888"/>
      <c r="AE110" s="2897"/>
      <c r="AF110" s="2905"/>
      <c r="AG110" s="2897"/>
      <c r="AH110" s="2897"/>
      <c r="AI110" s="2897"/>
      <c r="AJ110" s="2897"/>
      <c r="AK110" s="2897"/>
      <c r="AL110" s="2892"/>
      <c r="AM110" s="2892"/>
      <c r="AN110" s="2892"/>
      <c r="AO110" s="2888"/>
      <c r="AP110" s="2892"/>
      <c r="AQ110" s="1872"/>
      <c r="AR110" s="1872"/>
      <c r="AS110" s="1872"/>
      <c r="AT110" s="1872"/>
      <c r="AU110" s="1872"/>
      <c r="AV110" s="1872"/>
    </row>
    <row r="111" spans="1:48" ht="12" customHeight="1" x14ac:dyDescent="0.2">
      <c r="A111" s="31"/>
      <c r="B111" s="873"/>
      <c r="C111" s="3659"/>
      <c r="D111" s="3663" t="s">
        <v>1527</v>
      </c>
      <c r="E111" s="3674"/>
      <c r="F111" s="3675"/>
      <c r="G111" s="3675"/>
      <c r="H111" s="3675"/>
      <c r="I111" s="3675"/>
      <c r="J111" s="3675"/>
      <c r="K111" s="3676"/>
      <c r="L111" s="2157">
        <f>IF(E111=0,0,VLOOKUP(E111,Tablas!$D$1120:$R$1135,2,FALSE))</f>
        <v>0</v>
      </c>
      <c r="M111" s="1621"/>
      <c r="N111" s="2157">
        <f>IF(G111=0,0,VLOOKUP(G111,Tablas!$D$1120:$R$1135,2,FALSE))</f>
        <v>0</v>
      </c>
      <c r="O111" s="1621"/>
      <c r="P111" s="2157">
        <f>IF(I111=0,0,VLOOKUP(I111,Tablas!$D$1120:$R$1135,2,FALSE))</f>
        <v>0</v>
      </c>
      <c r="Q111" s="1621"/>
      <c r="R111" s="2157">
        <f>IF(K111=0,0,VLOOKUP(K111,Tablas!$D$1120:$R$1135,2,FALSE))</f>
        <v>0</v>
      </c>
      <c r="S111" s="1621"/>
      <c r="T111" s="2157">
        <f>IF(M111=0,0,VLOOKUP(M111,Tablas!$D$1120:$R$1135,2,FALSE))</f>
        <v>0</v>
      </c>
      <c r="U111" s="1621"/>
      <c r="V111" s="3726" t="str">
        <f>IF(E111=0,"",VLOOKUP(E111,Tablas!$D$1120:$R$1135,4,FALSE))</f>
        <v/>
      </c>
      <c r="W111" s="3727"/>
      <c r="X111" s="3727"/>
      <c r="Y111" s="3727"/>
      <c r="Z111" s="3727"/>
      <c r="AA111" s="3728"/>
      <c r="AB111" s="1875"/>
      <c r="AC111" s="899"/>
      <c r="AD111" s="2888"/>
      <c r="AE111" s="2897"/>
      <c r="AF111" s="2905"/>
      <c r="AG111" s="2897"/>
      <c r="AH111" s="2897"/>
      <c r="AI111" s="2897"/>
      <c r="AJ111" s="2897"/>
      <c r="AK111" s="2897"/>
      <c r="AL111" s="2892"/>
      <c r="AM111" s="2892"/>
      <c r="AN111" s="2892"/>
      <c r="AO111" s="2888"/>
      <c r="AP111" s="2892"/>
      <c r="AQ111" s="1872"/>
      <c r="AR111" s="1872"/>
      <c r="AS111" s="1872"/>
      <c r="AT111" s="1872"/>
      <c r="AU111" s="1872"/>
      <c r="AV111" s="1872"/>
    </row>
    <row r="112" spans="1:48" ht="12" customHeight="1" x14ac:dyDescent="0.2">
      <c r="A112" s="31"/>
      <c r="B112" s="873"/>
      <c r="C112" s="3659"/>
      <c r="D112" s="3664"/>
      <c r="E112" s="3677"/>
      <c r="F112" s="3678"/>
      <c r="G112" s="3678"/>
      <c r="H112" s="3678"/>
      <c r="I112" s="3678"/>
      <c r="J112" s="3678"/>
      <c r="K112" s="3679"/>
      <c r="L112" s="2134">
        <f>IF(E112=0,0,VLOOKUP(E112,Tablas!$D$1120:$R$1135,3,FALSE))</f>
        <v>0</v>
      </c>
      <c r="M112" s="1590"/>
      <c r="N112" s="2134">
        <f>IF(G112=0,0,VLOOKUP(G112,Tablas!$D$1120:$R$1135,3,FALSE))</f>
        <v>0</v>
      </c>
      <c r="O112" s="1590"/>
      <c r="P112" s="2134">
        <f>IF(I112=0,0,VLOOKUP(I112,Tablas!$D$1120:$R$1135,3,FALSE))</f>
        <v>0</v>
      </c>
      <c r="Q112" s="1590"/>
      <c r="R112" s="2134">
        <f>IF(K112=0,0,VLOOKUP(K112,Tablas!$D$1120:$R$1135,3,FALSE))</f>
        <v>0</v>
      </c>
      <c r="S112" s="1590"/>
      <c r="T112" s="2134">
        <f>IF(M112=0,0,VLOOKUP(M112,Tablas!$D$1120:$R$1135,3,FALSE))</f>
        <v>0</v>
      </c>
      <c r="U112" s="1590"/>
      <c r="V112" s="3729" t="str">
        <f>IF(E112=0,"",VLOOKUP(E112,Tablas!$D$1120:$R$1135,4,FALSE))</f>
        <v/>
      </c>
      <c r="W112" s="3730"/>
      <c r="X112" s="3730"/>
      <c r="Y112" s="3730"/>
      <c r="Z112" s="3730"/>
      <c r="AA112" s="3731"/>
      <c r="AB112" s="1875"/>
      <c r="AC112" s="899"/>
      <c r="AD112" s="2888"/>
      <c r="AE112" s="2897"/>
      <c r="AF112" s="2905"/>
      <c r="AG112" s="2897"/>
      <c r="AH112" s="2897"/>
      <c r="AI112" s="2897"/>
      <c r="AJ112" s="2897"/>
      <c r="AK112" s="2897"/>
      <c r="AL112" s="2892"/>
      <c r="AM112" s="2892"/>
      <c r="AN112" s="2892"/>
      <c r="AO112" s="2888"/>
      <c r="AP112" s="2892"/>
      <c r="AQ112" s="1872"/>
      <c r="AR112" s="1872"/>
      <c r="AS112" s="1872"/>
      <c r="AT112" s="1872"/>
      <c r="AU112" s="1872"/>
      <c r="AV112" s="1872"/>
    </row>
    <row r="113" spans="1:48" ht="12" customHeight="1" x14ac:dyDescent="0.2">
      <c r="A113" s="31"/>
      <c r="B113" s="873"/>
      <c r="C113" s="3659"/>
      <c r="D113" s="3664"/>
      <c r="E113" s="3682"/>
      <c r="F113" s="3683"/>
      <c r="G113" s="3683"/>
      <c r="H113" s="3683"/>
      <c r="I113" s="3683"/>
      <c r="J113" s="3683"/>
      <c r="K113" s="3684"/>
      <c r="L113" s="2140">
        <f>IF(E113=0,0,VLOOKUP(E113,Tablas!$D$1120:$R$1135,3,FALSE))</f>
        <v>0</v>
      </c>
      <c r="M113" s="1622"/>
      <c r="N113" s="2140">
        <f>IF(G113=0,0,VLOOKUP(G113,Tablas!$D$1120:$R$1135,3,FALSE))</f>
        <v>0</v>
      </c>
      <c r="O113" s="1622"/>
      <c r="P113" s="2140">
        <f>IF(I113=0,0,VLOOKUP(I113,Tablas!$D$1120:$R$1135,3,FALSE))</f>
        <v>0</v>
      </c>
      <c r="Q113" s="1622"/>
      <c r="R113" s="2140">
        <f>IF(K113=0,0,VLOOKUP(K113,Tablas!$D$1120:$R$1135,3,FALSE))</f>
        <v>0</v>
      </c>
      <c r="S113" s="1622"/>
      <c r="T113" s="2140">
        <f>IF(M113=0,0,VLOOKUP(M113,Tablas!$D$1120:$R$1135,3,FALSE))</f>
        <v>0</v>
      </c>
      <c r="U113" s="1622"/>
      <c r="V113" s="3734" t="str">
        <f>IF(E113=0,"",VLOOKUP(E113,Tablas!$D$1120:$R$1135,4,FALSE))</f>
        <v/>
      </c>
      <c r="W113" s="3735"/>
      <c r="X113" s="3735"/>
      <c r="Y113" s="3735"/>
      <c r="Z113" s="3735"/>
      <c r="AA113" s="3736"/>
      <c r="AB113" s="1875"/>
      <c r="AC113" s="899"/>
      <c r="AD113" s="2888"/>
      <c r="AE113" s="2897"/>
      <c r="AF113" s="2905"/>
      <c r="AG113" s="2897"/>
      <c r="AH113" s="2897"/>
      <c r="AI113" s="2897"/>
      <c r="AJ113" s="2897"/>
      <c r="AK113" s="2897"/>
      <c r="AL113" s="2892"/>
      <c r="AM113" s="2892"/>
      <c r="AN113" s="2892"/>
      <c r="AO113" s="2888"/>
      <c r="AP113" s="2892"/>
      <c r="AQ113" s="1872"/>
      <c r="AR113" s="1872"/>
      <c r="AS113" s="1872"/>
      <c r="AT113" s="1872"/>
      <c r="AU113" s="1872"/>
      <c r="AV113" s="1872"/>
    </row>
    <row r="114" spans="1:48" ht="12" customHeight="1" x14ac:dyDescent="0.2">
      <c r="A114" s="31"/>
      <c r="B114" s="873"/>
      <c r="C114" s="3659"/>
      <c r="D114" s="3664"/>
      <c r="E114" s="3677"/>
      <c r="F114" s="3678"/>
      <c r="G114" s="3678"/>
      <c r="H114" s="3678"/>
      <c r="I114" s="3678"/>
      <c r="J114" s="3678"/>
      <c r="K114" s="3679"/>
      <c r="L114" s="2134">
        <f>IF(E114=0,0,VLOOKUP(E114,Tablas!$D$1120:$R$1135,3,FALSE))</f>
        <v>0</v>
      </c>
      <c r="M114" s="1590"/>
      <c r="N114" s="2134">
        <f>IF(G114=0,0,VLOOKUP(G114,Tablas!$D$1120:$R$1135,3,FALSE))</f>
        <v>0</v>
      </c>
      <c r="O114" s="1590"/>
      <c r="P114" s="2134">
        <f>IF(I114=0,0,VLOOKUP(I114,Tablas!$D$1120:$R$1135,3,FALSE))</f>
        <v>0</v>
      </c>
      <c r="Q114" s="1590"/>
      <c r="R114" s="2134">
        <f>IF(K114=0,0,VLOOKUP(K114,Tablas!$D$1120:$R$1135,3,FALSE))</f>
        <v>0</v>
      </c>
      <c r="S114" s="1590"/>
      <c r="T114" s="2134">
        <f>IF(M114=0,0,VLOOKUP(M114,Tablas!$D$1120:$R$1135,3,FALSE))</f>
        <v>0</v>
      </c>
      <c r="U114" s="1590"/>
      <c r="V114" s="3729" t="str">
        <f>IF(E114=0,"",VLOOKUP(E114,Tablas!$D$1120:$R$1135,4,FALSE))</f>
        <v/>
      </c>
      <c r="W114" s="3730"/>
      <c r="X114" s="3730"/>
      <c r="Y114" s="3730"/>
      <c r="Z114" s="3730"/>
      <c r="AA114" s="3731"/>
      <c r="AB114" s="1875"/>
      <c r="AC114" s="899"/>
      <c r="AD114" s="2888"/>
      <c r="AE114" s="2897"/>
      <c r="AF114" s="2905"/>
      <c r="AG114" s="2897"/>
      <c r="AH114" s="2897"/>
      <c r="AI114" s="2897"/>
      <c r="AJ114" s="2897"/>
      <c r="AK114" s="2897"/>
      <c r="AL114" s="2892"/>
      <c r="AM114" s="2892"/>
      <c r="AN114" s="2892"/>
      <c r="AO114" s="2888"/>
      <c r="AP114" s="2892"/>
      <c r="AQ114" s="1872"/>
      <c r="AR114" s="1872"/>
      <c r="AS114" s="1872"/>
      <c r="AT114" s="1872"/>
      <c r="AU114" s="1872"/>
      <c r="AV114" s="1872"/>
    </row>
    <row r="115" spans="1:48" ht="12" customHeight="1" x14ac:dyDescent="0.2">
      <c r="A115" s="31"/>
      <c r="B115" s="873"/>
      <c r="C115" s="3659"/>
      <c r="D115" s="3664"/>
      <c r="E115" s="3682"/>
      <c r="F115" s="3683"/>
      <c r="G115" s="3683"/>
      <c r="H115" s="3683"/>
      <c r="I115" s="3683"/>
      <c r="J115" s="3683"/>
      <c r="K115" s="3684"/>
      <c r="L115" s="2140">
        <f>IF(E115=0,0,VLOOKUP(E115,Tablas!$D$1120:$R$1135,3,FALSE))</f>
        <v>0</v>
      </c>
      <c r="M115" s="1622"/>
      <c r="N115" s="2140">
        <f>IF(G115=0,0,VLOOKUP(G115,Tablas!$D$1120:$R$1135,3,FALSE))</f>
        <v>0</v>
      </c>
      <c r="O115" s="1622"/>
      <c r="P115" s="2140">
        <f>IF(I115=0,0,VLOOKUP(I115,Tablas!$D$1120:$R$1135,3,FALSE))</f>
        <v>0</v>
      </c>
      <c r="Q115" s="1622"/>
      <c r="R115" s="2140">
        <f>IF(K115=0,0,VLOOKUP(K115,Tablas!$D$1120:$R$1135,3,FALSE))</f>
        <v>0</v>
      </c>
      <c r="S115" s="1622"/>
      <c r="T115" s="2140">
        <f>IF(M115=0,0,VLOOKUP(M115,Tablas!$D$1120:$R$1135,3,FALSE))</f>
        <v>0</v>
      </c>
      <c r="U115" s="1622"/>
      <c r="V115" s="3734" t="str">
        <f>IF(E115=0,"",VLOOKUP(E115,Tablas!$D$1120:$R$1135,4,FALSE))</f>
        <v/>
      </c>
      <c r="W115" s="3735"/>
      <c r="X115" s="3735"/>
      <c r="Y115" s="3735"/>
      <c r="Z115" s="3735"/>
      <c r="AA115" s="3736"/>
      <c r="AB115" s="1875"/>
      <c r="AC115" s="899"/>
      <c r="AD115" s="2888"/>
      <c r="AE115" s="2897"/>
      <c r="AF115" s="2905"/>
      <c r="AG115" s="2897"/>
      <c r="AH115" s="2894"/>
      <c r="AI115" s="2897"/>
      <c r="AJ115" s="2897"/>
      <c r="AK115" s="2897"/>
      <c r="AL115" s="2892"/>
      <c r="AM115" s="2892"/>
      <c r="AN115" s="2892"/>
      <c r="AO115" s="2888"/>
      <c r="AP115" s="2892"/>
      <c r="AQ115" s="1872"/>
      <c r="AR115" s="1872"/>
      <c r="AS115" s="1872"/>
      <c r="AT115" s="1872"/>
      <c r="AU115" s="1872"/>
      <c r="AV115" s="1872"/>
    </row>
    <row r="116" spans="1:48" ht="12" customHeight="1" thickBot="1" x14ac:dyDescent="0.25">
      <c r="A116" s="31"/>
      <c r="B116" s="873"/>
      <c r="C116" s="3659"/>
      <c r="D116" s="3664"/>
      <c r="E116" s="3677"/>
      <c r="F116" s="3678"/>
      <c r="G116" s="3678"/>
      <c r="H116" s="3678"/>
      <c r="I116" s="3678"/>
      <c r="J116" s="3678"/>
      <c r="K116" s="3679"/>
      <c r="L116" s="2134">
        <f>IF(E116=0,0,VLOOKUP(E116,Tablas!$D$1120:$R$1135,3,FALSE))</f>
        <v>0</v>
      </c>
      <c r="M116" s="1590"/>
      <c r="N116" s="2134">
        <f>IF(G116=0,0,VLOOKUP(G116,Tablas!$D$1120:$R$1135,3,FALSE))</f>
        <v>0</v>
      </c>
      <c r="O116" s="1590"/>
      <c r="P116" s="2134">
        <f>IF(I116=0,0,VLOOKUP(I116,Tablas!$D$1120:$R$1135,3,FALSE))</f>
        <v>0</v>
      </c>
      <c r="Q116" s="1590"/>
      <c r="R116" s="2134">
        <f>IF(K116=0,0,VLOOKUP(K116,Tablas!$D$1120:$R$1135,3,FALSE))</f>
        <v>0</v>
      </c>
      <c r="S116" s="1590"/>
      <c r="T116" s="2134">
        <f>IF(M116=0,0,VLOOKUP(M116,Tablas!$D$1120:$R$1135,3,FALSE))</f>
        <v>0</v>
      </c>
      <c r="U116" s="1590"/>
      <c r="V116" s="3729" t="str">
        <f>IF(E116=0,"",VLOOKUP(E116,Tablas!$D$1120:$R$1135,4,FALSE))</f>
        <v/>
      </c>
      <c r="W116" s="3730"/>
      <c r="X116" s="3730"/>
      <c r="Y116" s="3730"/>
      <c r="Z116" s="3730"/>
      <c r="AA116" s="3731"/>
      <c r="AB116" s="1875"/>
      <c r="AC116" s="899"/>
      <c r="AD116" s="2888"/>
      <c r="AE116" s="2897"/>
      <c r="AF116" s="2905"/>
      <c r="AG116" s="2897"/>
      <c r="AH116" s="2897"/>
      <c r="AI116" s="2897"/>
      <c r="AJ116" s="2897"/>
      <c r="AK116" s="2897"/>
      <c r="AL116" s="2892"/>
      <c r="AM116" s="2892"/>
      <c r="AN116" s="2892"/>
      <c r="AO116" s="2888"/>
      <c r="AP116" s="2892"/>
      <c r="AQ116" s="1872"/>
      <c r="AR116" s="1872"/>
      <c r="AS116" s="1872"/>
      <c r="AT116" s="1872"/>
      <c r="AU116" s="1872"/>
      <c r="AV116" s="1872"/>
    </row>
    <row r="117" spans="1:48" ht="12" customHeight="1" x14ac:dyDescent="0.2">
      <c r="A117" s="31"/>
      <c r="B117" s="873"/>
      <c r="C117" s="3660"/>
      <c r="D117" s="3620" t="s">
        <v>1528</v>
      </c>
      <c r="E117" s="3621"/>
      <c r="F117" s="3621"/>
      <c r="G117" s="3621"/>
      <c r="H117" s="3621"/>
      <c r="I117" s="3621"/>
      <c r="J117" s="3621"/>
      <c r="K117" s="3622"/>
      <c r="L117" s="3616">
        <f>T$5*IF(Categoría_1=0,0.5,VLOOKUP(Categoría_1,Tabla_Categorías,8,FALSE))</f>
        <v>200</v>
      </c>
      <c r="M117" s="3636">
        <f>SUM(M108:M116)</f>
        <v>0</v>
      </c>
      <c r="N117" s="3616">
        <f>SUM(T$5:T$7)*IF(Categoría_2=0,0,VLOOKUP(Categoría_2,Tabla_Categorías,8,FALSE))</f>
        <v>0</v>
      </c>
      <c r="O117" s="3636">
        <f>(SUM(O108:O116)+M117)*IF(Categoría_2=0,0,1)</f>
        <v>0</v>
      </c>
      <c r="P117" s="3616">
        <f>SUM(T$5:T$9)*IF(Categoría_3=0,0,VLOOKUP(Categoría_3,Tabla_Categorías,8,FALSE))</f>
        <v>0</v>
      </c>
      <c r="Q117" s="3662">
        <f>(SUM(Q108:Q116)+O117)*IF(Categoría_3=0,0,1)</f>
        <v>0</v>
      </c>
      <c r="R117" s="3616">
        <f>SUM(T$5:T$11)*IF(Categoría_4=0,0,VLOOKUP(Categoría_4,Tabla_Categorías,8,FALSE))</f>
        <v>0</v>
      </c>
      <c r="S117" s="3636">
        <f>(SUM(S108:S116)+Q117)*IF(Categoría_4=0,0,1)</f>
        <v>0</v>
      </c>
      <c r="T117" s="3616">
        <f>SUM(T$5:T$13)*IF(Categoría_5=0,0,VLOOKUP(Categoría_5,Tabla_Categorías,8,FALSE))</f>
        <v>0</v>
      </c>
      <c r="U117" s="3636">
        <f>(SUM(U108:U116)+S117)*IF(Categoría_5=0,0,1)</f>
        <v>0</v>
      </c>
      <c r="V117" s="3708" t="str">
        <f>IF((M109+O109+Q109+S109+U109)*2&gt;MAX(L117,N117,P117,R117,T117),"Exceso en Proyección Psíquica",IF(OR(M117&gt;L117,O117&gt;N117,Q117&gt;P117,S117&gt;R117,U117&gt;T117),"Exceso de PDs en Habilidades Psíquicas",""))</f>
        <v/>
      </c>
      <c r="W117" s="3709"/>
      <c r="X117" s="3709"/>
      <c r="Y117" s="3709"/>
      <c r="Z117" s="3709"/>
      <c r="AA117" s="3710"/>
      <c r="AB117" s="1875"/>
      <c r="AC117" s="899"/>
      <c r="AD117" s="2888"/>
      <c r="AE117" s="2897"/>
      <c r="AF117" s="2905"/>
      <c r="AG117" s="2897"/>
      <c r="AH117" s="2897"/>
      <c r="AI117" s="2897"/>
      <c r="AJ117" s="2897"/>
      <c r="AK117" s="2897"/>
      <c r="AL117" s="2892"/>
      <c r="AM117" s="2892"/>
      <c r="AN117" s="2892"/>
      <c r="AO117" s="2888"/>
      <c r="AP117" s="2892"/>
      <c r="AQ117" s="1872"/>
      <c r="AR117" s="1872"/>
      <c r="AS117" s="1872"/>
      <c r="AT117" s="1872"/>
      <c r="AU117" s="1872"/>
      <c r="AV117" s="1872"/>
    </row>
    <row r="118" spans="1:48" ht="12" customHeight="1" thickBot="1" x14ac:dyDescent="0.25">
      <c r="A118" s="31"/>
      <c r="B118" s="873"/>
      <c r="C118" s="3661"/>
      <c r="D118" s="3623"/>
      <c r="E118" s="3624"/>
      <c r="F118" s="3624"/>
      <c r="G118" s="3624"/>
      <c r="H118" s="3624"/>
      <c r="I118" s="3624"/>
      <c r="J118" s="3624"/>
      <c r="K118" s="3625"/>
      <c r="L118" s="3617"/>
      <c r="M118" s="3619"/>
      <c r="N118" s="3617"/>
      <c r="O118" s="3619"/>
      <c r="P118" s="3617"/>
      <c r="Q118" s="3384"/>
      <c r="R118" s="3617"/>
      <c r="S118" s="3619"/>
      <c r="T118" s="3617"/>
      <c r="U118" s="3619"/>
      <c r="V118" s="3711"/>
      <c r="W118" s="3712"/>
      <c r="X118" s="3712"/>
      <c r="Y118" s="3712"/>
      <c r="Z118" s="3712"/>
      <c r="AA118" s="3713"/>
      <c r="AB118" s="1875"/>
      <c r="AC118" s="899"/>
      <c r="AD118" s="2888"/>
      <c r="AE118" s="2888"/>
      <c r="AF118" s="2905"/>
      <c r="AG118" s="2897"/>
      <c r="AH118" s="2897"/>
      <c r="AI118" s="2897"/>
      <c r="AJ118" s="2897"/>
      <c r="AK118" s="2897"/>
      <c r="AL118" s="2892"/>
      <c r="AM118" s="2892"/>
      <c r="AN118" s="2892"/>
      <c r="AO118" s="2888"/>
      <c r="AP118" s="2892"/>
      <c r="AQ118" s="1872"/>
      <c r="AR118" s="1872"/>
      <c r="AS118" s="1872"/>
      <c r="AT118" s="1872"/>
      <c r="AU118" s="1872"/>
      <c r="AV118" s="1872"/>
    </row>
    <row r="119" spans="1:48" ht="12" customHeight="1" x14ac:dyDescent="0.2">
      <c r="A119" s="31"/>
      <c r="B119" s="873"/>
      <c r="AB119" s="1875"/>
      <c r="AC119" s="899"/>
      <c r="AD119" s="2888"/>
      <c r="AE119" s="2897"/>
      <c r="AF119" s="2905"/>
      <c r="AG119" s="2897"/>
      <c r="AH119" s="2897"/>
      <c r="AI119" s="2897"/>
      <c r="AJ119" s="2897"/>
      <c r="AK119" s="2897"/>
      <c r="AL119" s="2892"/>
      <c r="AM119" s="2892"/>
      <c r="AN119" s="2892"/>
      <c r="AO119" s="2892"/>
      <c r="AP119" s="2892"/>
      <c r="AQ119" s="1872"/>
      <c r="AR119" s="1872"/>
      <c r="AS119" s="1872"/>
      <c r="AT119" s="1872"/>
      <c r="AU119" s="1872"/>
      <c r="AV119" s="1872"/>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888"/>
      <c r="AE120" s="2897"/>
      <c r="AF120" s="2905"/>
      <c r="AG120" s="2897"/>
      <c r="AH120" s="2897"/>
      <c r="AI120" s="2897"/>
      <c r="AJ120" s="2897"/>
      <c r="AK120" s="2897"/>
      <c r="AL120" s="2892"/>
      <c r="AM120" s="2892"/>
      <c r="AN120" s="2892"/>
      <c r="AO120" s="2892"/>
      <c r="AP120" s="2892"/>
      <c r="AQ120" s="1872"/>
      <c r="AR120" s="1872"/>
      <c r="AS120" s="1872"/>
      <c r="AT120" s="1872"/>
      <c r="AU120" s="1872"/>
      <c r="AV120" s="1872"/>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888"/>
      <c r="AE121" s="2897"/>
      <c r="AF121" s="2905"/>
      <c r="AG121" s="2897"/>
      <c r="AH121" s="2897"/>
      <c r="AI121" s="2897"/>
      <c r="AJ121" s="2897"/>
      <c r="AK121" s="2897"/>
      <c r="AL121" s="2892"/>
      <c r="AM121" s="2892"/>
      <c r="AN121" s="2892"/>
      <c r="AO121" s="2892"/>
      <c r="AP121" s="2892"/>
      <c r="AQ121" s="1872"/>
      <c r="AR121" s="1872"/>
      <c r="AS121" s="1872"/>
      <c r="AT121" s="1872"/>
      <c r="AU121" s="1872"/>
      <c r="AV121" s="1872"/>
    </row>
    <row r="122" spans="1:48" ht="12" customHeight="1" thickBot="1" x14ac:dyDescent="0.25">
      <c r="A122" s="31"/>
      <c r="B122" s="873"/>
      <c r="AB122" s="1875"/>
      <c r="AC122" s="899"/>
      <c r="AD122" s="2888"/>
      <c r="AE122" s="2897"/>
      <c r="AF122" s="2905"/>
      <c r="AG122" s="2897"/>
      <c r="AH122" s="2897"/>
      <c r="AI122" s="2897"/>
      <c r="AJ122" s="2897"/>
      <c r="AK122" s="2897"/>
      <c r="AL122" s="2892"/>
      <c r="AM122" s="2892"/>
      <c r="AN122" s="2892"/>
      <c r="AO122" s="2892"/>
      <c r="AP122" s="2892"/>
      <c r="AQ122" s="1872"/>
      <c r="AR122" s="1872"/>
      <c r="AS122" s="1872"/>
      <c r="AT122" s="1872"/>
      <c r="AU122" s="1872"/>
      <c r="AV122" s="1872"/>
    </row>
    <row r="123" spans="1:48" ht="12" customHeight="1" thickBot="1" x14ac:dyDescent="0.25">
      <c r="A123" s="10"/>
      <c r="B123" s="873"/>
      <c r="J123" s="3690" t="str">
        <f>IF(Categoría_1=0,"",Categoría_1)</f>
        <v/>
      </c>
      <c r="K123" s="3691"/>
      <c r="L123" s="3702" t="str">
        <f>IF(Categoría_2=0,"",Categoría_2)</f>
        <v/>
      </c>
      <c r="M123" s="3691"/>
      <c r="N123" s="3702" t="str">
        <f>IF(Categoría_3=0,"",Categoría_3)</f>
        <v/>
      </c>
      <c r="O123" s="3691"/>
      <c r="P123" s="3702" t="str">
        <f>IF(Categoría_4=0,"",Categoría_4)</f>
        <v/>
      </c>
      <c r="Q123" s="3691"/>
      <c r="R123" s="3702" t="str">
        <f>IF(Categoría_5=0,"",Categoría_5)</f>
        <v/>
      </c>
      <c r="S123" s="3703"/>
      <c r="AB123" s="1875"/>
      <c r="AC123" s="899"/>
      <c r="AD123" s="2888"/>
      <c r="AE123" s="2888" t="s">
        <v>7156</v>
      </c>
      <c r="AF123" s="2892" t="b">
        <f>IF(Tablas!G488&gt;0,TRUE,IF(Personalización!E12&lt;&gt;"No",TRUE,FALSE))</f>
        <v>0</v>
      </c>
      <c r="AG123" s="2897"/>
      <c r="AH123" s="2897"/>
      <c r="AI123" s="2897"/>
      <c r="AJ123" s="2897"/>
      <c r="AK123" s="2897"/>
      <c r="AL123" s="2892"/>
      <c r="AM123" s="2892"/>
      <c r="AN123" s="2892"/>
      <c r="AO123" s="2892"/>
      <c r="AP123" s="2892"/>
      <c r="AQ123" s="1872"/>
      <c r="AR123" s="1872"/>
      <c r="AS123" s="1872"/>
      <c r="AT123" s="1872"/>
      <c r="AU123" s="1872"/>
      <c r="AV123" s="1872"/>
    </row>
    <row r="124" spans="1:48" ht="12" customHeight="1" thickBot="1" x14ac:dyDescent="0.25">
      <c r="A124" s="31"/>
      <c r="B124" s="873"/>
      <c r="J124" s="3692"/>
      <c r="K124" s="3693"/>
      <c r="L124" s="3704"/>
      <c r="M124" s="3693"/>
      <c r="N124" s="3704"/>
      <c r="O124" s="3693"/>
      <c r="P124" s="3704"/>
      <c r="Q124" s="3693"/>
      <c r="R124" s="3704"/>
      <c r="S124" s="3705"/>
      <c r="W124" s="3698" t="s">
        <v>1540</v>
      </c>
      <c r="X124" s="3699"/>
      <c r="AB124" s="1875"/>
      <c r="AC124" s="899"/>
      <c r="AD124" s="2888"/>
      <c r="AE124" s="3840" t="s">
        <v>2504</v>
      </c>
      <c r="AF124" s="3840"/>
      <c r="AG124" s="3840"/>
      <c r="AH124" s="3840"/>
      <c r="AI124" s="3840"/>
      <c r="AJ124" s="3840"/>
      <c r="AK124" s="2897"/>
      <c r="AL124" s="3840" t="s">
        <v>7487</v>
      </c>
      <c r="AM124" s="3840"/>
      <c r="AN124" s="3840"/>
      <c r="AO124" s="3840"/>
      <c r="AP124" s="3840"/>
      <c r="AQ124" s="3840"/>
      <c r="AR124" s="3840"/>
      <c r="AS124" s="3840"/>
      <c r="AT124" s="3840"/>
      <c r="AU124" s="1872"/>
      <c r="AV124" s="1872"/>
    </row>
    <row r="125" spans="1:48" ht="12" customHeight="1" thickBot="1" x14ac:dyDescent="0.25">
      <c r="A125" s="31"/>
      <c r="B125" s="873"/>
      <c r="C125" s="3484" t="s">
        <v>1398</v>
      </c>
      <c r="D125" s="2667" t="s">
        <v>1402</v>
      </c>
      <c r="E125" s="3700" t="s">
        <v>1378</v>
      </c>
      <c r="F125" s="3665"/>
      <c r="G125" s="3665"/>
      <c r="H125" s="3701"/>
      <c r="I125" s="843" t="s">
        <v>6377</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888" t="s">
        <v>7155</v>
      </c>
      <c r="AE125" s="2888" t="s">
        <v>7157</v>
      </c>
      <c r="AF125" s="2888" t="s">
        <v>6674</v>
      </c>
      <c r="AG125" s="2888" t="s">
        <v>6675</v>
      </c>
      <c r="AH125" s="2897" t="s">
        <v>1480</v>
      </c>
      <c r="AI125" s="2888" t="s">
        <v>6494</v>
      </c>
      <c r="AJ125" s="2888" t="s">
        <v>6479</v>
      </c>
      <c r="AK125" s="2897"/>
      <c r="AL125" s="2892" t="s">
        <v>7413</v>
      </c>
      <c r="AM125" s="2892"/>
      <c r="AN125" s="2892" t="s">
        <v>7411</v>
      </c>
      <c r="AO125" s="2892"/>
      <c r="AP125" s="2892" t="s">
        <v>7412</v>
      </c>
      <c r="AQ125" s="1872"/>
      <c r="AR125" s="2892" t="s">
        <v>7415</v>
      </c>
      <c r="AS125" s="1872"/>
      <c r="AT125" s="2892" t="s">
        <v>7414</v>
      </c>
      <c r="AU125" s="2892" t="s">
        <v>10225</v>
      </c>
      <c r="AV125" s="1872"/>
    </row>
    <row r="126" spans="1:48" ht="12" customHeight="1" x14ac:dyDescent="0.2">
      <c r="A126" s="31"/>
      <c r="B126" s="873" t="str">
        <f>D126</f>
        <v>Atléticas</v>
      </c>
      <c r="C126" s="3486"/>
      <c r="D126" s="3685" t="s">
        <v>1407</v>
      </c>
      <c r="E126" s="3694" t="s">
        <v>1408</v>
      </c>
      <c r="F126" s="3695"/>
      <c r="G126" s="3695"/>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08">
        <f>'Tablas psiquica'!AH53+'Tablas psiquica'!AH55</f>
        <v>0</v>
      </c>
      <c r="AE126" s="289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05">
        <f>IF(AF$123,IF(OR(Region="",ClaseSocial="",Personalización!$AN$9),0,IF(OR(AND(AI126,AJ126),AND(NOT(AI126),NOT(AJ126))),LEFT(AG126,2)+LEFT(AH126,2),IF(AND(AI126,NOT(AJ126)),LEFT(AH126,2),0))),0)</f>
        <v>0</v>
      </c>
      <c r="AG126" s="2888">
        <f>HLOOKUP(Region&amp;ClaseSocial,Tabla_RaicesCulturales,Tablas!F142,FALSE)</f>
        <v>0</v>
      </c>
      <c r="AH126" s="2897">
        <f>IF(AND(E126="Historia",Personalización!$E$16="Historia (Local)"),20&amp;" "&amp;Personalización!$E$16,IF(E126=Personalización!$E$15,VLOOKUP(E126,Tablas!$L$136:$M$137,2,FALSE),IF(E126=Personalización!$E$16,VLOOKUP(E126,Tablas!$N$136:$O$137,2,FALSE),0)))</f>
        <v>0</v>
      </c>
      <c r="AI126" s="2897" t="b">
        <f t="shared" ref="AI126:AI143" si="30">OR(ISNUMBER(FIND("(",AG126)),ISNUMBER(FIND("(",AH126)))</f>
        <v>0</v>
      </c>
      <c r="AJ126" s="2897" t="b">
        <f t="shared" ref="AJ126:AJ143" si="31">AND(NOT(I126=""),OR(ISNUMBER(SEARCH(I126,AG126)),ISNUMBER(SEARCH(I126,AH126))))</f>
        <v>0</v>
      </c>
      <c r="AK126" s="2897"/>
      <c r="AL126" s="2892"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892"/>
      <c r="AN126" s="2892"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892"/>
      <c r="AP126" s="2892"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872"/>
      <c r="AR126" s="2892"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872"/>
      <c r="AT126" s="2892"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872" t="str">
        <f>IF(AND($AF$123,OR(AG126&lt;&gt;0,AH126&lt;&gt;0)),E126&amp;" "&amp;IF(AND(ISNUMBER(AG126),ISNUMBER(VALUE(AH126))),AG126+AH126,IF(AH126&lt;&gt;0,VALUE(AH126)&amp;", "&amp;E126&amp;" ","")&amp;SUBSTITUTE(AG126,E126&amp;" ",""))&amp;", ","")</f>
        <v/>
      </c>
      <c r="AV126" s="1872"/>
    </row>
    <row r="127" spans="1:48" ht="12" customHeight="1" x14ac:dyDescent="0.2">
      <c r="A127" s="31"/>
      <c r="B127" s="873" t="str">
        <f>B126</f>
        <v>Atléticas</v>
      </c>
      <c r="C127" s="3486"/>
      <c r="D127" s="3592"/>
      <c r="E127" s="3590" t="s">
        <v>1409</v>
      </c>
      <c r="F127" s="3591"/>
      <c r="G127" s="3591"/>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09">
        <f>'Tablas psiquica'!$AH$55</f>
        <v>0</v>
      </c>
      <c r="AE127" s="289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05">
        <f>IF(AF$123,IF(OR(Region="",ClaseSocial="",Personalización!$AN$9),0,IF(OR(AND(AI127,AJ127),AND(NOT(AI127),NOT(AJ127))),LEFT(AG127,2)+LEFT(AH127,2),IF(AND(AI127,NOT(AJ127)),LEFT(AH127,2),0))),0)</f>
        <v>0</v>
      </c>
      <c r="AG127" s="2888">
        <f>HLOOKUP(Region&amp;ClaseSocial,Tabla_RaicesCulturales,Tablas!F143,FALSE)</f>
        <v>0</v>
      </c>
      <c r="AH127" s="2897">
        <f>IF(AND(E127="Historia",Personalización!$E$16="Historia (Local)"),20&amp;" "&amp;Personalización!$E$16,IF(E127=Personalización!$E$15,VLOOKUP(E127,Tablas!$L$136:$M$137,2,FALSE),IF(E127=Personalización!$E$16,VLOOKUP(E127,Tablas!$N$136:$O$137,2,FALSE),0)))</f>
        <v>0</v>
      </c>
      <c r="AI127" s="2897" t="b">
        <f t="shared" si="30"/>
        <v>0</v>
      </c>
      <c r="AJ127" s="2897" t="b">
        <f t="shared" si="31"/>
        <v>0</v>
      </c>
      <c r="AK127" s="2897"/>
      <c r="AL127" s="2892" t="e">
        <f t="shared" si="32"/>
        <v>#N/A</v>
      </c>
      <c r="AM127" s="2892"/>
      <c r="AN127" s="2892" t="e">
        <f t="shared" si="33"/>
        <v>#N/A</v>
      </c>
      <c r="AO127" s="2892"/>
      <c r="AP127" s="2892" t="e">
        <f t="shared" si="34"/>
        <v>#N/A</v>
      </c>
      <c r="AQ127" s="1872"/>
      <c r="AR127" s="2892" t="e">
        <f t="shared" si="35"/>
        <v>#N/A</v>
      </c>
      <c r="AS127" s="1872"/>
      <c r="AT127" s="2892" t="e">
        <f t="shared" si="36"/>
        <v>#N/A</v>
      </c>
      <c r="AU127" s="1872" t="str">
        <f t="shared" ref="AU127:AU176" si="37">IF(AND($AF$123,OR(AG127&lt;&gt;0,AH127&lt;&gt;0)),E127&amp;" "&amp;IF(AND(ISNUMBER(AG127),ISNUMBER(VALUE(AH127))),AG127+AH127,IF(AH127&lt;&gt;0,VALUE(AH127)&amp;", "&amp;E127&amp;" ","")&amp;SUBSTITUTE(AG127,E127&amp;" ",""))&amp;", ","")</f>
        <v/>
      </c>
      <c r="AV127" s="1872"/>
    </row>
    <row r="128" spans="1:48" ht="12" customHeight="1" x14ac:dyDescent="0.2">
      <c r="A128" s="31"/>
      <c r="B128" s="873" t="str">
        <f t="shared" ref="B128:B132" si="38">B127</f>
        <v>Atléticas</v>
      </c>
      <c r="C128" s="3486"/>
      <c r="D128" s="3592"/>
      <c r="E128" s="3588" t="s">
        <v>1412</v>
      </c>
      <c r="F128" s="3589"/>
      <c r="G128" s="3589"/>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09">
        <f>'Tablas psiquica'!$AH$55</f>
        <v>0</v>
      </c>
      <c r="AE128" s="289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5">
        <f>IF(AF$123,IF(OR(Region="",ClaseSocial="",Personalización!$AN$9),0,IF(OR(AND(AI128,AJ128),AND(NOT(AI128),NOT(AJ128))),LEFT(AG128,2)+LEFT(AH128,2),IF(AND(AI128,NOT(AJ128)),LEFT(AH128,2),0))),0)</f>
        <v>0</v>
      </c>
      <c r="AG128" s="2888">
        <f>HLOOKUP(Region&amp;ClaseSocial,Tabla_RaicesCulturales,Tablas!F144,FALSE)</f>
        <v>0</v>
      </c>
      <c r="AH128" s="2897">
        <f>IF(AND(E128="Historia",Personalización!$E$16="Historia (Local)"),20&amp;" "&amp;Personalización!$E$16,IF(E128=Personalización!$E$15,VLOOKUP(E128,Tablas!$L$136:$M$137,2,FALSE),IF(E128=Personalización!$E$16,VLOOKUP(E128,Tablas!$N$136:$O$137,2,FALSE),0)))</f>
        <v>0</v>
      </c>
      <c r="AI128" s="2897" t="b">
        <f t="shared" si="30"/>
        <v>0</v>
      </c>
      <c r="AJ128" s="2897" t="b">
        <f t="shared" si="31"/>
        <v>0</v>
      </c>
      <c r="AK128" s="2897"/>
      <c r="AL128" s="2892" t="e">
        <f t="shared" si="32"/>
        <v>#N/A</v>
      </c>
      <c r="AM128" s="2892"/>
      <c r="AN128" s="2892" t="e">
        <f t="shared" si="33"/>
        <v>#N/A</v>
      </c>
      <c r="AO128" s="2892"/>
      <c r="AP128" s="2892" t="e">
        <f t="shared" si="34"/>
        <v>#N/A</v>
      </c>
      <c r="AQ128" s="1872"/>
      <c r="AR128" s="2892" t="e">
        <f t="shared" si="35"/>
        <v>#N/A</v>
      </c>
      <c r="AS128" s="1872"/>
      <c r="AT128" s="2892" t="e">
        <f t="shared" si="36"/>
        <v>#N/A</v>
      </c>
      <c r="AU128" s="1872" t="str">
        <f t="shared" si="37"/>
        <v/>
      </c>
      <c r="AV128" s="1872"/>
    </row>
    <row r="129" spans="1:48" ht="12" customHeight="1" x14ac:dyDescent="0.2">
      <c r="A129" s="31"/>
      <c r="B129" s="873" t="str">
        <f t="shared" si="38"/>
        <v>Atléticas</v>
      </c>
      <c r="C129" s="3486"/>
      <c r="D129" s="3592"/>
      <c r="E129" s="3590" t="s">
        <v>1416</v>
      </c>
      <c r="F129" s="3591"/>
      <c r="G129" s="3591"/>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09">
        <f>'Tablas psiquica'!$AH$55</f>
        <v>0</v>
      </c>
      <c r="AE129" s="289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5">
        <f>IF(AF$123,IF(OR(Region="",ClaseSocial="",Personalización!$AN$9),0,IF(OR(AND(AI129,AJ129),AND(NOT(AI129),NOT(AJ129))),LEFT(AG129,2)+LEFT(AH129,2),IF(AND(AI129,NOT(AJ129)),LEFT(AH129,2),0))),0)</f>
        <v>0</v>
      </c>
      <c r="AG129" s="2888">
        <f>HLOOKUP(Region&amp;ClaseSocial,Tabla_RaicesCulturales,Tablas!F145,FALSE)</f>
        <v>0</v>
      </c>
      <c r="AH129" s="2897">
        <f>IF(AND(E129="Historia",Personalización!$E$16="Historia (Local)"),20&amp;" "&amp;Personalización!$E$16,IF(E129=Personalización!$E$15,VLOOKUP(E129,Tablas!$L$136:$M$137,2,FALSE),IF(E129=Personalización!$E$16,VLOOKUP(E129,Tablas!$N$136:$O$137,2,FALSE),0)))</f>
        <v>0</v>
      </c>
      <c r="AI129" s="2897" t="b">
        <f t="shared" si="30"/>
        <v>0</v>
      </c>
      <c r="AJ129" s="2897" t="b">
        <f t="shared" si="31"/>
        <v>0</v>
      </c>
      <c r="AK129" s="2897"/>
      <c r="AL129" s="2892" t="e">
        <f t="shared" si="32"/>
        <v>#N/A</v>
      </c>
      <c r="AM129" s="2892"/>
      <c r="AN129" s="2892" t="e">
        <f t="shared" si="33"/>
        <v>#N/A</v>
      </c>
      <c r="AO129" s="2892"/>
      <c r="AP129" s="2892" t="e">
        <f t="shared" si="34"/>
        <v>#N/A</v>
      </c>
      <c r="AQ129" s="1872"/>
      <c r="AR129" s="2892" t="e">
        <f t="shared" si="35"/>
        <v>#N/A</v>
      </c>
      <c r="AS129" s="1872"/>
      <c r="AT129" s="2892" t="e">
        <f t="shared" si="36"/>
        <v>#N/A</v>
      </c>
      <c r="AU129" s="1872" t="str">
        <f t="shared" si="37"/>
        <v/>
      </c>
      <c r="AV129" s="1872"/>
    </row>
    <row r="130" spans="1:48" ht="12" customHeight="1" x14ac:dyDescent="0.2">
      <c r="A130" s="31"/>
      <c r="B130" s="873" t="str">
        <f t="shared" si="38"/>
        <v>Atléticas</v>
      </c>
      <c r="C130" s="3486"/>
      <c r="D130" s="3592"/>
      <c r="E130" s="3588" t="s">
        <v>1419</v>
      </c>
      <c r="F130" s="3589"/>
      <c r="G130" s="3589"/>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09">
        <f>'Tablas psiquica'!$AH$55</f>
        <v>0</v>
      </c>
      <c r="AE130" s="289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5">
        <f>IF(AF$123,IF(OR(Region="",ClaseSocial="",Personalización!$AN$9),0,IF(OR(AND(AI130,AJ130),AND(NOT(AI130),NOT(AJ130))),LEFT(AG130,2)+LEFT(AH130,2),IF(AND(AI130,NOT(AJ130)),LEFT(AH130,2),0))),0)</f>
        <v>0</v>
      </c>
      <c r="AG130" s="2888">
        <f>HLOOKUP(Region&amp;ClaseSocial,Tabla_RaicesCulturales,Tablas!F146,FALSE)</f>
        <v>0</v>
      </c>
      <c r="AH130" s="2897">
        <f>IF(AND(E130="Historia",Personalización!$E$16="Historia (Local)"),20&amp;" "&amp;Personalización!$E$16,IF(E130=Personalización!$E$15,VLOOKUP(E130,Tablas!$L$136:$M$137,2,FALSE),IF(E130=Personalización!$E$16,VLOOKUP(E130,Tablas!$N$136:$O$137,2,FALSE),0)))</f>
        <v>0</v>
      </c>
      <c r="AI130" s="2897" t="b">
        <f t="shared" si="30"/>
        <v>0</v>
      </c>
      <c r="AJ130" s="2897" t="b">
        <f t="shared" si="31"/>
        <v>0</v>
      </c>
      <c r="AK130" s="2897"/>
      <c r="AL130" s="2892" t="e">
        <f t="shared" si="32"/>
        <v>#N/A</v>
      </c>
      <c r="AM130" s="2892"/>
      <c r="AN130" s="2892" t="e">
        <f t="shared" si="33"/>
        <v>#N/A</v>
      </c>
      <c r="AO130" s="2892"/>
      <c r="AP130" s="2892" t="e">
        <f t="shared" si="34"/>
        <v>#N/A</v>
      </c>
      <c r="AQ130" s="1872"/>
      <c r="AR130" s="2892" t="e">
        <f t="shared" si="35"/>
        <v>#N/A</v>
      </c>
      <c r="AS130" s="1872"/>
      <c r="AT130" s="2892" t="e">
        <f t="shared" si="36"/>
        <v>#N/A</v>
      </c>
      <c r="AU130" s="1872" t="str">
        <f t="shared" si="37"/>
        <v/>
      </c>
      <c r="AV130" s="1872"/>
    </row>
    <row r="131" spans="1:48" ht="12" customHeight="1" x14ac:dyDescent="0.2">
      <c r="A131" s="31"/>
      <c r="B131" s="873" t="str">
        <f t="shared" si="38"/>
        <v>Atléticas</v>
      </c>
      <c r="C131" s="3486"/>
      <c r="D131" s="3592"/>
      <c r="E131" s="3590" t="s">
        <v>1422</v>
      </c>
      <c r="F131" s="3591"/>
      <c r="G131" s="3591"/>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09">
        <f>'Tablas psiquica'!AH52+'Tablas psiquica'!$AH$55</f>
        <v>0</v>
      </c>
      <c r="AE131" s="289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05">
        <f>IF(AF$123,IF(OR(Region="",ClaseSocial="",Personalización!$AN$9),0,IF(OR(AND(AI131,AJ131),AND(NOT(AI131),NOT(AJ131))),LEFT(AG131,2)+LEFT(AH131,2),IF(AND(AI131,NOT(AJ131)),LEFT(AH131,2),0))),0)</f>
        <v>0</v>
      </c>
      <c r="AG131" s="2888">
        <f>HLOOKUP(Region&amp;ClaseSocial,Tabla_RaicesCulturales,Tablas!F147,FALSE)</f>
        <v>0</v>
      </c>
      <c r="AH131" s="2897">
        <f>IF(AND(E131="Historia",Personalización!$E$16="Historia (Local)"),20&amp;" "&amp;Personalización!$E$16,IF(E131=Personalización!$E$15,VLOOKUP(E131,Tablas!$L$136:$M$137,2,FALSE),IF(E131=Personalización!$E$16,VLOOKUP(E131,Tablas!$N$136:$O$137,2,FALSE),0)))</f>
        <v>0</v>
      </c>
      <c r="AI131" s="2897" t="b">
        <f t="shared" si="30"/>
        <v>0</v>
      </c>
      <c r="AJ131" s="2897" t="b">
        <f t="shared" si="31"/>
        <v>0</v>
      </c>
      <c r="AK131" s="2897"/>
      <c r="AL131" s="2892" t="e">
        <f t="shared" si="32"/>
        <v>#N/A</v>
      </c>
      <c r="AM131" s="2892"/>
      <c r="AN131" s="2892" t="e">
        <f t="shared" si="33"/>
        <v>#N/A</v>
      </c>
      <c r="AO131" s="2892"/>
      <c r="AP131" s="2892" t="e">
        <f t="shared" si="34"/>
        <v>#N/A</v>
      </c>
      <c r="AQ131" s="1872"/>
      <c r="AR131" s="2892" t="e">
        <f t="shared" si="35"/>
        <v>#N/A</v>
      </c>
      <c r="AS131" s="1872"/>
      <c r="AT131" s="2892" t="e">
        <f t="shared" si="36"/>
        <v>#N/A</v>
      </c>
      <c r="AU131" s="1872" t="str">
        <f t="shared" si="37"/>
        <v/>
      </c>
      <c r="AV131" s="1872"/>
    </row>
    <row r="132" spans="1:48" ht="12" customHeight="1" x14ac:dyDescent="0.2">
      <c r="A132" s="31"/>
      <c r="B132" s="873" t="str">
        <f t="shared" si="38"/>
        <v>Atléticas</v>
      </c>
      <c r="C132" s="3486"/>
      <c r="D132" s="3592"/>
      <c r="E132" s="3588" t="s">
        <v>6372</v>
      </c>
      <c r="F132" s="3589"/>
      <c r="G132" s="3589"/>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09">
        <f>'Tablas psiquica'!$AH$55</f>
        <v>0</v>
      </c>
      <c r="AE132" s="289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5">
        <f>IF(AF$123,IF(OR(Region="",ClaseSocial="",Personalización!$AN$9),0,IF(OR(AND(AI132,AJ132),AND(NOT(AI132),NOT(AJ132))),LEFT(AG132,2)+LEFT(AH132,2),IF(AND(AI132,NOT(AJ132)),LEFT(AH132,2),0))),0)</f>
        <v>0</v>
      </c>
      <c r="AG132" s="2888">
        <f>HLOOKUP(Region&amp;ClaseSocial,Tabla_RaicesCulturales,Tablas!F148,FALSE)</f>
        <v>0</v>
      </c>
      <c r="AH132" s="2897">
        <f>IF(AND(E132="Historia",Personalización!$E$16="Historia (Local)"),20&amp;" "&amp;Personalización!$E$16,IF(E132=Personalización!$E$15,VLOOKUP(E132,Tablas!$L$136:$M$137,2,FALSE),IF(E132=Personalización!$E$16,VLOOKUP(E132,Tablas!$N$136:$O$137,2,FALSE),0)))</f>
        <v>0</v>
      </c>
      <c r="AI132" s="2897" t="b">
        <f t="shared" si="30"/>
        <v>0</v>
      </c>
      <c r="AJ132" s="2897" t="b">
        <f t="shared" si="31"/>
        <v>0</v>
      </c>
      <c r="AK132" s="2897"/>
      <c r="AL132" s="2892" t="e">
        <f t="shared" si="32"/>
        <v>#N/A</v>
      </c>
      <c r="AM132" s="2892"/>
      <c r="AN132" s="2892" t="e">
        <f t="shared" si="33"/>
        <v>#N/A</v>
      </c>
      <c r="AO132" s="2892"/>
      <c r="AP132" s="2892" t="e">
        <f t="shared" si="34"/>
        <v>#N/A</v>
      </c>
      <c r="AQ132" s="1872"/>
      <c r="AR132" s="2892" t="e">
        <f t="shared" si="35"/>
        <v>#N/A</v>
      </c>
      <c r="AS132" s="1872"/>
      <c r="AT132" s="2892" t="e">
        <f t="shared" si="36"/>
        <v>#N/A</v>
      </c>
      <c r="AU132" s="1872" t="str">
        <f t="shared" si="37"/>
        <v/>
      </c>
      <c r="AV132" s="1872"/>
    </row>
    <row r="133" spans="1:48" ht="12" customHeight="1" x14ac:dyDescent="0.2">
      <c r="A133" s="31"/>
      <c r="B133" s="873" t="str">
        <f>D133</f>
        <v>Sociales</v>
      </c>
      <c r="C133" s="3486"/>
      <c r="D133" s="3593" t="s">
        <v>1425</v>
      </c>
      <c r="E133" s="3696" t="s">
        <v>1426</v>
      </c>
      <c r="F133" s="3697"/>
      <c r="G133" s="3697"/>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888">
        <f>Tablas!$K$1867</f>
        <v>0</v>
      </c>
      <c r="AE133" s="289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05">
        <f>IF(AF$123,IF(OR(Region="",ClaseSocial="",Personalización!$AN$9),0,IF(OR(AND(AI133,AJ133),AND(NOT(AI133),NOT(AJ133))),LEFT(AG133,2)+LEFT(AH133,2),IF(AND(AI133,NOT(AJ133)),LEFT(AH133,2),0))),0)</f>
        <v>0</v>
      </c>
      <c r="AG133" s="2888">
        <f>HLOOKUP(Region&amp;ClaseSocial,Tabla_RaicesCulturales,Tablas!F149,FALSE)</f>
        <v>0</v>
      </c>
      <c r="AH133" s="2897">
        <f>IF(AND(E133="Historia",Personalización!$E$16="Historia (Local)"),20&amp;" "&amp;Personalización!$E$16,IF(E133=Personalización!$E$15,VLOOKUP(E133,Tablas!$L$136:$M$137,2,FALSE),IF(E133=Personalización!$E$16,VLOOKUP(E133,Tablas!$N$136:$O$137,2,FALSE),0)))</f>
        <v>0</v>
      </c>
      <c r="AI133" s="2897" t="b">
        <f t="shared" si="30"/>
        <v>0</v>
      </c>
      <c r="AJ133" s="2897" t="b">
        <f t="shared" si="31"/>
        <v>0</v>
      </c>
      <c r="AK133" s="2897"/>
      <c r="AL133" s="2892" t="e">
        <f t="shared" si="32"/>
        <v>#N/A</v>
      </c>
      <c r="AM133" s="2892"/>
      <c r="AN133" s="2892" t="e">
        <f t="shared" si="33"/>
        <v>#N/A</v>
      </c>
      <c r="AO133" s="2892"/>
      <c r="AP133" s="2892" t="e">
        <f t="shared" si="34"/>
        <v>#N/A</v>
      </c>
      <c r="AQ133" s="1872"/>
      <c r="AR133" s="2892" t="e">
        <f t="shared" si="35"/>
        <v>#N/A</v>
      </c>
      <c r="AS133" s="1872"/>
      <c r="AT133" s="2892" t="e">
        <f t="shared" si="36"/>
        <v>#N/A</v>
      </c>
      <c r="AU133" s="1872" t="str">
        <f t="shared" si="37"/>
        <v/>
      </c>
      <c r="AV133" s="1872"/>
    </row>
    <row r="134" spans="1:48" ht="12" customHeight="1" x14ac:dyDescent="0.2">
      <c r="A134" s="31"/>
      <c r="B134" s="873" t="str">
        <f>B133</f>
        <v>Sociales</v>
      </c>
      <c r="C134" s="3486"/>
      <c r="D134" s="3592"/>
      <c r="E134" s="3588" t="s">
        <v>1428</v>
      </c>
      <c r="F134" s="3589"/>
      <c r="G134" s="3589"/>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888">
        <f>Tablas!$K$1831</f>
        <v>0</v>
      </c>
      <c r="AE134" s="289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05">
        <f>IF(AF$123,IF(OR(Region="",ClaseSocial="",Personalización!$AN$9),0,IF(OR(AND(AI134,AJ134),AND(NOT(AI134),NOT(AJ134))),LEFT(AG134,2)+LEFT(AH134,2),IF(AND(AI134,NOT(AJ134)),LEFT(AH134,2),0))),0)</f>
        <v>0</v>
      </c>
      <c r="AG134" s="2888">
        <f>HLOOKUP(Region&amp;ClaseSocial,Tabla_RaicesCulturales,Tablas!F150,FALSE)</f>
        <v>0</v>
      </c>
      <c r="AH134" s="2897">
        <f>IF(AND(E134="Historia",Personalización!$E$16="Historia (Local)"),20&amp;" "&amp;Personalización!$E$16,IF(E134=Personalización!$E$15,VLOOKUP(E134,Tablas!$L$136:$M$137,2,FALSE),IF(E134=Personalización!$E$16,VLOOKUP(E134,Tablas!$N$136:$O$137,2,FALSE),0)))</f>
        <v>0</v>
      </c>
      <c r="AI134" s="2897" t="b">
        <f t="shared" si="30"/>
        <v>0</v>
      </c>
      <c r="AJ134" s="2897" t="b">
        <f t="shared" si="31"/>
        <v>0</v>
      </c>
      <c r="AK134" s="2897"/>
      <c r="AL134" s="2892" t="e">
        <f t="shared" si="32"/>
        <v>#N/A</v>
      </c>
      <c r="AM134" s="2892"/>
      <c r="AN134" s="2892" t="e">
        <f t="shared" si="33"/>
        <v>#N/A</v>
      </c>
      <c r="AO134" s="2892"/>
      <c r="AP134" s="2892" t="e">
        <f t="shared" si="34"/>
        <v>#N/A</v>
      </c>
      <c r="AQ134" s="1872"/>
      <c r="AR134" s="2892" t="e">
        <f t="shared" si="35"/>
        <v>#N/A</v>
      </c>
      <c r="AS134" s="1872"/>
      <c r="AT134" s="2892" t="e">
        <f t="shared" si="36"/>
        <v>#N/A</v>
      </c>
      <c r="AU134" s="1872" t="str">
        <f t="shared" si="37"/>
        <v/>
      </c>
      <c r="AV134" s="1872"/>
    </row>
    <row r="135" spans="1:48" ht="12" customHeight="1" x14ac:dyDescent="0.2">
      <c r="A135" s="31"/>
      <c r="B135" s="873" t="str">
        <f t="shared" ref="B135:B139" si="39">B134</f>
        <v>Sociales</v>
      </c>
      <c r="C135" s="3486"/>
      <c r="D135" s="3592"/>
      <c r="E135" s="3590" t="s">
        <v>1431</v>
      </c>
      <c r="F135" s="3591"/>
      <c r="G135" s="3591"/>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888">
        <f>Tablas!$K$1776+Tablas!$K$1842</f>
        <v>0</v>
      </c>
      <c r="AE135" s="289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05">
        <f>IF(AF$123,IF(OR(Region="",ClaseSocial="",Personalización!$AN$9),0,IF(OR(AND(AI135,AJ135),AND(NOT(AI135),NOT(AJ135))),LEFT(AG135,2)+LEFT(AH135,2),IF(AND(AI135,NOT(AJ135)),LEFT(AH135,2),0))),0)</f>
        <v>0</v>
      </c>
      <c r="AG135" s="2888">
        <f>HLOOKUP(Region&amp;ClaseSocial,Tabla_RaicesCulturales,Tablas!F151,FALSE)</f>
        <v>0</v>
      </c>
      <c r="AH135" s="2897">
        <f>IF(AND(E135="Historia",Personalización!$E$16="Historia (Local)"),20&amp;" "&amp;Personalización!$E$16,IF(E135=Personalización!$E$15,VLOOKUP(E135,Tablas!$L$136:$M$137,2,FALSE),IF(E135=Personalización!$E$16,VLOOKUP(E135,Tablas!$N$136:$O$137,2,FALSE),0)))</f>
        <v>0</v>
      </c>
      <c r="AI135" s="2897" t="b">
        <f t="shared" si="30"/>
        <v>0</v>
      </c>
      <c r="AJ135" s="2897" t="b">
        <f t="shared" si="31"/>
        <v>0</v>
      </c>
      <c r="AK135" s="2897"/>
      <c r="AL135" s="2892" t="e">
        <f t="shared" si="32"/>
        <v>#N/A</v>
      </c>
      <c r="AM135" s="2892"/>
      <c r="AN135" s="2892" t="e">
        <f t="shared" si="33"/>
        <v>#N/A</v>
      </c>
      <c r="AO135" s="2892"/>
      <c r="AP135" s="2892" t="e">
        <f t="shared" si="34"/>
        <v>#N/A</v>
      </c>
      <c r="AQ135" s="1872"/>
      <c r="AR135" s="2892" t="e">
        <f t="shared" si="35"/>
        <v>#N/A</v>
      </c>
      <c r="AS135" s="1872"/>
      <c r="AT135" s="2892" t="e">
        <f t="shared" si="36"/>
        <v>#N/A</v>
      </c>
      <c r="AU135" s="1872" t="str">
        <f t="shared" si="37"/>
        <v/>
      </c>
      <c r="AV135" s="1872"/>
    </row>
    <row r="136" spans="1:48" ht="12" customHeight="1" x14ac:dyDescent="0.2">
      <c r="A136" s="31"/>
      <c r="B136" s="873" t="str">
        <f t="shared" si="39"/>
        <v>Sociales</v>
      </c>
      <c r="C136" s="3486"/>
      <c r="D136" s="3592"/>
      <c r="E136" s="3588" t="s">
        <v>1433</v>
      </c>
      <c r="F136" s="3589"/>
      <c r="G136" s="3589"/>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888">
        <f>Tablas!$K$1776</f>
        <v>0</v>
      </c>
      <c r="AE136" s="289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05">
        <f>IF(AF$123,IF(OR(Region="",ClaseSocial="",Personalización!$AN$9),0,IF(OR(AND(AI136,AJ136),AND(NOT(AI136),NOT(AJ136))),LEFT(AG136,2)+LEFT(AH136,2),IF(AND(AI136,NOT(AJ136)),LEFT(AH136,2),0))),0)</f>
        <v>0</v>
      </c>
      <c r="AG136" s="2888">
        <f>HLOOKUP(Region&amp;ClaseSocial,Tabla_RaicesCulturales,Tablas!F152,FALSE)</f>
        <v>0</v>
      </c>
      <c r="AH136" s="2897">
        <f>IF(AND(E136="Historia",Personalización!$E$16="Historia (Local)"),20&amp;" "&amp;Personalización!$E$16,IF(E136=Personalización!$E$15,VLOOKUP(E136,Tablas!$L$136:$M$137,2,FALSE),IF(E136=Personalización!$E$16,VLOOKUP(E136,Tablas!$N$136:$O$137,2,FALSE),0)))</f>
        <v>0</v>
      </c>
      <c r="AI136" s="2897" t="b">
        <f t="shared" si="30"/>
        <v>0</v>
      </c>
      <c r="AJ136" s="2897" t="b">
        <f t="shared" si="31"/>
        <v>0</v>
      </c>
      <c r="AK136" s="2897"/>
      <c r="AL136" s="2892" t="e">
        <f t="shared" si="32"/>
        <v>#N/A</v>
      </c>
      <c r="AM136" s="2892"/>
      <c r="AN136" s="2892" t="e">
        <f t="shared" si="33"/>
        <v>#N/A</v>
      </c>
      <c r="AO136" s="2892"/>
      <c r="AP136" s="2892" t="e">
        <f t="shared" si="34"/>
        <v>#N/A</v>
      </c>
      <c r="AQ136" s="1872"/>
      <c r="AR136" s="2892" t="e">
        <f t="shared" si="35"/>
        <v>#N/A</v>
      </c>
      <c r="AS136" s="1872"/>
      <c r="AT136" s="2892" t="e">
        <f t="shared" si="36"/>
        <v>#N/A</v>
      </c>
      <c r="AU136" s="1872" t="str">
        <f t="shared" si="37"/>
        <v/>
      </c>
      <c r="AV136" s="1872"/>
    </row>
    <row r="137" spans="1:48" ht="12" customHeight="1" x14ac:dyDescent="0.2">
      <c r="A137" s="31"/>
      <c r="B137" s="873" t="str">
        <f t="shared" si="39"/>
        <v>Sociales</v>
      </c>
      <c r="C137" s="3486"/>
      <c r="D137" s="3592"/>
      <c r="E137" s="3590" t="s">
        <v>819</v>
      </c>
      <c r="F137" s="3591"/>
      <c r="G137" s="3591"/>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888"/>
      <c r="AE137" s="289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5">
        <f>IF(AF$123,IF(OR(Region="",ClaseSocial="",Personalización!$AN$9),0,IF(OR(AND(AI137,AJ137),AND(NOT(AI137),NOT(AJ137))),LEFT(AG137,2)+LEFT(AH137,2),IF(AND(AI137,NOT(AJ137)),LEFT(AH137,2),0))),0)</f>
        <v>0</v>
      </c>
      <c r="AG137" s="2888">
        <f>HLOOKUP(Region&amp;ClaseSocial,Tabla_RaicesCulturales,Tablas!F153,FALSE)</f>
        <v>0</v>
      </c>
      <c r="AH137" s="2897">
        <f>IF(AND(E137="Historia",Personalización!$E$16="Historia (Local)"),20&amp;" "&amp;Personalización!$E$16,IF(E137=Personalización!$E$15,VLOOKUP(E137,Tablas!$L$136:$M$137,2,FALSE),IF(E137=Personalización!$E$16,VLOOKUP(E137,Tablas!$N$136:$O$137,2,FALSE),0)))</f>
        <v>0</v>
      </c>
      <c r="AI137" s="2897" t="b">
        <f t="shared" si="30"/>
        <v>0</v>
      </c>
      <c r="AJ137" s="2897" t="b">
        <f t="shared" si="31"/>
        <v>0</v>
      </c>
      <c r="AK137" s="2897"/>
      <c r="AL137" s="2892" t="e">
        <f t="shared" si="32"/>
        <v>#N/A</v>
      </c>
      <c r="AM137" s="2892"/>
      <c r="AN137" s="2892" t="e">
        <f t="shared" si="33"/>
        <v>#N/A</v>
      </c>
      <c r="AO137" s="2892"/>
      <c r="AP137" s="2892" t="e">
        <f t="shared" si="34"/>
        <v>#N/A</v>
      </c>
      <c r="AQ137" s="1872"/>
      <c r="AR137" s="2892" t="e">
        <f t="shared" si="35"/>
        <v>#N/A</v>
      </c>
      <c r="AS137" s="1872"/>
      <c r="AT137" s="2892" t="e">
        <f t="shared" si="36"/>
        <v>#N/A</v>
      </c>
      <c r="AU137" s="1872" t="str">
        <f t="shared" si="37"/>
        <v/>
      </c>
      <c r="AV137" s="1872"/>
    </row>
    <row r="138" spans="1:48" ht="12" customHeight="1" x14ac:dyDescent="0.2">
      <c r="A138" s="31"/>
      <c r="B138" s="873" t="str">
        <f t="shared" si="39"/>
        <v>Sociales</v>
      </c>
      <c r="C138" s="3486"/>
      <c r="D138" s="3592"/>
      <c r="E138" s="3588" t="s">
        <v>820</v>
      </c>
      <c r="F138" s="3589"/>
      <c r="G138" s="3589"/>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888"/>
      <c r="AE138" s="289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5">
        <f>IF(AF$123,IF(OR(Region="",ClaseSocial="",Personalización!$AN$9),0,IF(OR(AND(AI138,AJ138),AND(NOT(AI138),NOT(AJ138))),LEFT(AG138,2)+LEFT(AH138,2),IF(AND(AI138,NOT(AJ138)),LEFT(AH138,2),0))),0)</f>
        <v>0</v>
      </c>
      <c r="AG138" s="2888">
        <f>HLOOKUP(Region&amp;ClaseSocial,Tabla_RaicesCulturales,Tablas!F154,FALSE)</f>
        <v>0</v>
      </c>
      <c r="AH138" s="2897">
        <f>IF(AND(E138="Historia",Personalización!$E$16="Historia (Local)"),20&amp;" "&amp;Personalización!$E$16,IF(E138=Personalización!$E$15,VLOOKUP(E138,Tablas!$L$136:$M$137,2,FALSE),IF(E138=Personalización!$E$16,VLOOKUP(E138,Tablas!$N$136:$O$137,2,FALSE),0)))</f>
        <v>0</v>
      </c>
      <c r="AI138" s="2897" t="b">
        <f t="shared" si="30"/>
        <v>0</v>
      </c>
      <c r="AJ138" s="2897" t="b">
        <f t="shared" si="31"/>
        <v>0</v>
      </c>
      <c r="AK138" s="2897"/>
      <c r="AL138" s="2892" t="e">
        <f t="shared" si="32"/>
        <v>#N/A</v>
      </c>
      <c r="AM138" s="2892"/>
      <c r="AN138" s="2892" t="e">
        <f t="shared" si="33"/>
        <v>#N/A</v>
      </c>
      <c r="AO138" s="2892"/>
      <c r="AP138" s="2892" t="e">
        <f t="shared" si="34"/>
        <v>#N/A</v>
      </c>
      <c r="AQ138" s="1872"/>
      <c r="AR138" s="2892" t="e">
        <f t="shared" si="35"/>
        <v>#N/A</v>
      </c>
      <c r="AS138" s="1872"/>
      <c r="AT138" s="2892" t="e">
        <f t="shared" si="36"/>
        <v>#N/A</v>
      </c>
      <c r="AU138" s="1872" t="str">
        <f t="shared" si="37"/>
        <v/>
      </c>
      <c r="AV138" s="1872"/>
    </row>
    <row r="139" spans="1:48" ht="12" customHeight="1" x14ac:dyDescent="0.2">
      <c r="A139" s="31"/>
      <c r="B139" s="873" t="str">
        <f t="shared" si="39"/>
        <v>Sociales</v>
      </c>
      <c r="C139" s="3486"/>
      <c r="D139" s="3594"/>
      <c r="E139" s="3706" t="s">
        <v>821</v>
      </c>
      <c r="F139" s="3707"/>
      <c r="G139" s="3707"/>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888"/>
      <c r="AE139" s="289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5">
        <f>IF(AF$123,IF(OR(Region="",ClaseSocial="",Personalización!$AN$9),0,IF(OR(AND(AI139,AJ139),AND(NOT(AI139),NOT(AJ139))),LEFT(AG139,2)+LEFT(AH139,2),IF(AND(AI139,NOT(AJ139)),LEFT(AH139,2),0))),0)</f>
        <v>0</v>
      </c>
      <c r="AG139" s="2888">
        <f>HLOOKUP(Region&amp;ClaseSocial,Tabla_RaicesCulturales,Tablas!F155,FALSE)</f>
        <v>0</v>
      </c>
      <c r="AH139" s="2897">
        <f>IF(AND(E139="Historia",Personalización!$E$16="Historia (Local)"),20&amp;" "&amp;Personalización!$E$16,IF(E139=Personalización!$E$15,VLOOKUP(E139,Tablas!$L$136:$M$137,2,FALSE),IF(E139=Personalización!$E$16,VLOOKUP(E139,Tablas!$N$136:$O$137,2,FALSE),0)))</f>
        <v>0</v>
      </c>
      <c r="AI139" s="2897" t="b">
        <f t="shared" si="30"/>
        <v>0</v>
      </c>
      <c r="AJ139" s="2897" t="b">
        <f t="shared" si="31"/>
        <v>0</v>
      </c>
      <c r="AK139" s="2897"/>
      <c r="AL139" s="2892" t="e">
        <f t="shared" si="32"/>
        <v>#N/A</v>
      </c>
      <c r="AM139" s="2892"/>
      <c r="AN139" s="2892" t="e">
        <f t="shared" si="33"/>
        <v>#N/A</v>
      </c>
      <c r="AO139" s="2892"/>
      <c r="AP139" s="2892" t="e">
        <f t="shared" si="34"/>
        <v>#N/A</v>
      </c>
      <c r="AQ139" s="1872"/>
      <c r="AR139" s="2892" t="e">
        <f t="shared" si="35"/>
        <v>#N/A</v>
      </c>
      <c r="AS139" s="1872"/>
      <c r="AT139" s="2892" t="e">
        <f t="shared" si="36"/>
        <v>#N/A</v>
      </c>
      <c r="AU139" s="1872" t="str">
        <f t="shared" si="37"/>
        <v/>
      </c>
      <c r="AV139" s="1872"/>
    </row>
    <row r="140" spans="1:48" ht="12" customHeight="1" x14ac:dyDescent="0.2">
      <c r="A140" s="31"/>
      <c r="B140" s="873" t="str">
        <f>"Perceptivas"</f>
        <v>Perceptivas</v>
      </c>
      <c r="C140" s="3486"/>
      <c r="D140" s="3592" t="s">
        <v>7285</v>
      </c>
      <c r="E140" s="3588" t="s">
        <v>1435</v>
      </c>
      <c r="F140" s="3589"/>
      <c r="G140" s="3589"/>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888">
        <f>IF(Raza="Tuan Dalyr",80,50)*Tablas!G279+IF(Raza="Turak",IF(COUNTIF(Cercanía_Dragón,"Ojos de cazador")&gt;0,20,0),0)</f>
        <v>0</v>
      </c>
      <c r="AE140" s="289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05">
        <f>IF(AF$123,IF(OR(Region="",ClaseSocial="",Personalización!$AN$9),0,IF(OR(AND(AI140,AJ140),AND(NOT(AI140),NOT(AJ140))),LEFT(AG140,2)+LEFT(AH140,2),IF(AND(AI140,NOT(AJ140)),LEFT(AH140,2),0))),0)</f>
        <v>0</v>
      </c>
      <c r="AG140" s="2888">
        <f>HLOOKUP(Region&amp;ClaseSocial,Tabla_RaicesCulturales,Tablas!F156,FALSE)</f>
        <v>0</v>
      </c>
      <c r="AH140" s="2897">
        <f>IF(AND(E140="Historia",Personalización!$E$16="Historia (Local)"),20&amp;" "&amp;Personalización!$E$16,IF(E140=Personalización!$E$15,VLOOKUP(E140,Tablas!$L$136:$M$137,2,FALSE),IF(E140=Personalización!$E$16,VLOOKUP(E140,Tablas!$N$136:$O$137,2,FALSE),0)))</f>
        <v>0</v>
      </c>
      <c r="AI140" s="2897" t="b">
        <f t="shared" si="30"/>
        <v>0</v>
      </c>
      <c r="AJ140" s="2897" t="b">
        <f t="shared" si="31"/>
        <v>0</v>
      </c>
      <c r="AK140" s="2897"/>
      <c r="AL140" s="2892" t="e">
        <f t="shared" si="32"/>
        <v>#N/A</v>
      </c>
      <c r="AM140" s="2892"/>
      <c r="AN140" s="2892" t="e">
        <f t="shared" si="33"/>
        <v>#N/A</v>
      </c>
      <c r="AO140" s="2892"/>
      <c r="AP140" s="2892" t="e">
        <f t="shared" si="34"/>
        <v>#N/A</v>
      </c>
      <c r="AQ140" s="1872"/>
      <c r="AR140" s="2892" t="e">
        <f t="shared" si="35"/>
        <v>#N/A</v>
      </c>
      <c r="AS140" s="1872"/>
      <c r="AT140" s="2892" t="e">
        <f t="shared" si="36"/>
        <v>#N/A</v>
      </c>
      <c r="AU140" s="1872" t="str">
        <f t="shared" si="37"/>
        <v/>
      </c>
      <c r="AV140" s="1872"/>
    </row>
    <row r="141" spans="1:48" ht="12" customHeight="1" x14ac:dyDescent="0.2">
      <c r="A141" s="31"/>
      <c r="B141" s="873" t="str">
        <f>B140</f>
        <v>Perceptivas</v>
      </c>
      <c r="C141" s="3486"/>
      <c r="D141" s="3592"/>
      <c r="E141" s="3590" t="s">
        <v>1436</v>
      </c>
      <c r="F141" s="3591"/>
      <c r="G141" s="3591"/>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888">
        <f>IF(Raza="Tuan Dalyr",80,50)*Tablas!G279</f>
        <v>0</v>
      </c>
      <c r="AE141" s="289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05">
        <f>IF(AF$123,IF(OR(Region="",ClaseSocial="",Personalización!$AN$9),0,IF(OR(AND(AI141,AJ141),AND(NOT(AI141),NOT(AJ141))),LEFT(AG141,2)+LEFT(AH141,2),IF(AND(AI141,NOT(AJ141)),LEFT(AH141,2),0))),0)</f>
        <v>0</v>
      </c>
      <c r="AG141" s="2888">
        <f>HLOOKUP(Region&amp;ClaseSocial,Tabla_RaicesCulturales,Tablas!F157,FALSE)</f>
        <v>0</v>
      </c>
      <c r="AH141" s="2897">
        <f>IF(AND(E141="Historia",Personalización!$E$16="Historia (Local)"),20&amp;" "&amp;Personalización!$E$16,IF(E141=Personalización!$E$15,VLOOKUP(E141,Tablas!$L$136:$M$137,2,FALSE),IF(E141=Personalización!$E$16,VLOOKUP(E141,Tablas!$N$136:$O$137,2,FALSE),0)))</f>
        <v>0</v>
      </c>
      <c r="AI141" s="2897" t="b">
        <f t="shared" si="30"/>
        <v>0</v>
      </c>
      <c r="AJ141" s="2897" t="b">
        <f t="shared" si="31"/>
        <v>0</v>
      </c>
      <c r="AK141" s="2897"/>
      <c r="AL141" s="2892" t="e">
        <f t="shared" si="32"/>
        <v>#N/A</v>
      </c>
      <c r="AM141" s="2892"/>
      <c r="AN141" s="2892" t="e">
        <f t="shared" si="33"/>
        <v>#N/A</v>
      </c>
      <c r="AO141" s="2892"/>
      <c r="AP141" s="2892" t="e">
        <f t="shared" si="34"/>
        <v>#N/A</v>
      </c>
      <c r="AQ141" s="1872"/>
      <c r="AR141" s="2892" t="e">
        <f t="shared" si="35"/>
        <v>#N/A</v>
      </c>
      <c r="AS141" s="1872"/>
      <c r="AT141" s="2892" t="e">
        <f t="shared" si="36"/>
        <v>#N/A</v>
      </c>
      <c r="AU141" s="1872" t="str">
        <f t="shared" si="37"/>
        <v/>
      </c>
      <c r="AV141" s="1872"/>
    </row>
    <row r="142" spans="1:48" ht="12" customHeight="1" x14ac:dyDescent="0.2">
      <c r="A142" s="31"/>
      <c r="B142" s="873" t="str">
        <f>B141</f>
        <v>Perceptivas</v>
      </c>
      <c r="C142" s="3486"/>
      <c r="D142" s="3592"/>
      <c r="E142" s="3588" t="s">
        <v>1437</v>
      </c>
      <c r="F142" s="3589"/>
      <c r="G142" s="3589"/>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888"/>
      <c r="AE142" s="289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05">
        <f>IF(AF$123,IF(OR(Region="",ClaseSocial="",Personalización!$AN$9),0,IF(OR(AND(AI142,AJ142),AND(NOT(AI142),NOT(AJ142))),LEFT(AG142,2)+LEFT(AH142,2),IF(AND(AI142,NOT(AJ142)),LEFT(AH142,2),0))),0)</f>
        <v>0</v>
      </c>
      <c r="AG142" s="2888">
        <f>HLOOKUP(Region&amp;ClaseSocial,Tabla_RaicesCulturales,Tablas!F158,FALSE)</f>
        <v>0</v>
      </c>
      <c r="AH142" s="2897">
        <f>IF(AND(E142="Historia",Personalización!$E$16="Historia (Local)"),20&amp;" "&amp;Personalización!$E$16,IF(E142=Personalización!$E$15,VLOOKUP(E142,Tablas!$L$136:$M$137,2,FALSE),IF(E142=Personalización!$E$16,VLOOKUP(E142,Tablas!$N$136:$O$137,2,FALSE),0)))</f>
        <v>0</v>
      </c>
      <c r="AI142" s="2897" t="b">
        <f t="shared" si="30"/>
        <v>0</v>
      </c>
      <c r="AJ142" s="2897" t="b">
        <f t="shared" si="31"/>
        <v>0</v>
      </c>
      <c r="AK142" s="2897"/>
      <c r="AL142" s="2892" t="e">
        <f t="shared" si="32"/>
        <v>#N/A</v>
      </c>
      <c r="AM142" s="2892"/>
      <c r="AN142" s="2892" t="e">
        <f t="shared" si="33"/>
        <v>#N/A</v>
      </c>
      <c r="AO142" s="2892"/>
      <c r="AP142" s="2892" t="e">
        <f t="shared" si="34"/>
        <v>#N/A</v>
      </c>
      <c r="AQ142" s="1872"/>
      <c r="AR142" s="2892" t="e">
        <f t="shared" si="35"/>
        <v>#N/A</v>
      </c>
      <c r="AS142" s="1872"/>
      <c r="AT142" s="2892" t="e">
        <f t="shared" si="36"/>
        <v>#N/A</v>
      </c>
      <c r="AU142" s="1872" t="str">
        <f t="shared" si="37"/>
        <v/>
      </c>
      <c r="AV142" s="1872"/>
    </row>
    <row r="143" spans="1:48" ht="12" customHeight="1" x14ac:dyDescent="0.2">
      <c r="A143" s="31"/>
      <c r="B143" s="873" t="str">
        <f>D143</f>
        <v>Intelectuales</v>
      </c>
      <c r="C143" s="3486"/>
      <c r="D143" s="3593" t="s">
        <v>1438</v>
      </c>
      <c r="E143" s="3696" t="s">
        <v>1439</v>
      </c>
      <c r="F143" s="3697"/>
      <c r="G143" s="3697"/>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888">
        <f>Tablas!$K$1780+Tablas!$K$1817</f>
        <v>0</v>
      </c>
      <c r="AE143" s="289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05">
        <f>IF(AF$123,IF(OR(Region="",ClaseSocial="",Personalización!$AN$9),0,IF(OR(AND(AI143,AJ143),AND(NOT(AI143),NOT(AJ143))),LEFT(AG143,2)+LEFT(AH143,2),IF(AND(AI143,NOT(AJ143)),LEFT(AH143,2),0))),0)</f>
        <v>0</v>
      </c>
      <c r="AG143" s="2888">
        <f>HLOOKUP(Region&amp;ClaseSocial,Tabla_RaicesCulturales,Tablas!F159,FALSE)</f>
        <v>0</v>
      </c>
      <c r="AH143" s="2897">
        <f>IF(AND(E143="Historia",Personalización!$E$16="Historia (Local)"),20&amp;" "&amp;Personalización!$E$16,IF(E143=Personalización!$E$15,VLOOKUP(E143,Tablas!$L$136:$M$137,2,FALSE),IF(E143=Personalización!$E$16,VLOOKUP(E143,Tablas!$N$136:$O$137,2,FALSE),0)))</f>
        <v>0</v>
      </c>
      <c r="AI143" s="2897" t="b">
        <f t="shared" si="30"/>
        <v>0</v>
      </c>
      <c r="AJ143" s="2897" t="b">
        <f t="shared" si="31"/>
        <v>0</v>
      </c>
      <c r="AK143" s="2897"/>
      <c r="AL143" s="2892" t="e">
        <f t="shared" si="32"/>
        <v>#N/A</v>
      </c>
      <c r="AM143" s="2892"/>
      <c r="AN143" s="2892" t="e">
        <f t="shared" si="33"/>
        <v>#N/A</v>
      </c>
      <c r="AO143" s="2892"/>
      <c r="AP143" s="2892" t="e">
        <f t="shared" si="34"/>
        <v>#N/A</v>
      </c>
      <c r="AQ143" s="1872"/>
      <c r="AR143" s="2892" t="e">
        <f t="shared" si="35"/>
        <v>#N/A</v>
      </c>
      <c r="AS143" s="1872"/>
      <c r="AT143" s="2892" t="e">
        <f t="shared" si="36"/>
        <v>#N/A</v>
      </c>
      <c r="AU143" s="1872" t="str">
        <f t="shared" si="37"/>
        <v/>
      </c>
      <c r="AV143" s="1872"/>
    </row>
    <row r="144" spans="1:48" ht="12" customHeight="1" x14ac:dyDescent="0.2">
      <c r="A144" s="31"/>
      <c r="B144" s="873" t="str">
        <f t="shared" ref="B144:B154" si="40">B143</f>
        <v>Intelectuales</v>
      </c>
      <c r="C144" s="3486"/>
      <c r="D144" s="3592"/>
      <c r="E144" s="3588" t="s">
        <v>1440</v>
      </c>
      <c r="F144" s="3589"/>
      <c r="G144" s="3589"/>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888">
        <f>Tablas!$K$1780+Tablas!$K$1869</f>
        <v>0</v>
      </c>
      <c r="AE144" s="289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5">
        <f>IF(AF$123,IF(OR(Region="",ClaseSocial="",Personalización!$AN$9),0,IF(OR(AND(AI144,AJ144),AND(NOT(AI144),NOT(AJ144))),LEFT(AG144,2)+LEFT(AH144,2),IF(AND(AI144,NOT(AJ144)),LEFT(AH144,2),0))),0)</f>
        <v>0</v>
      </c>
      <c r="AG144" s="2888">
        <f>HLOOKUP(Region&amp;ClaseSocial,Tabla_RaicesCulturales,Tablas!F160,FALSE)</f>
        <v>0</v>
      </c>
      <c r="AH144" s="2897">
        <f>IF(AND(E144="Historia",Personalización!$E$16="Historia (Local)"),20&amp;" "&amp;Personalización!$E$16,IF(E144=Personalización!$E$15,VLOOKUP(E144,Tablas!$L$136:$M$137,2,FALSE),IF(E144=Personalización!$E$16,VLOOKUP(E144,Tablas!$N$136:$O$137,2,FALSE),0)))</f>
        <v>0</v>
      </c>
      <c r="AI144" s="2897" t="b">
        <f t="shared" ref="AI144:AI157" si="41">OR(ISNUMBER(FIND("(",AG144)),ISNUMBER(FIND("(",AH144)))</f>
        <v>0</v>
      </c>
      <c r="AJ144" s="2897" t="b">
        <f t="shared" ref="AJ144:AJ157" si="42">AND(NOT(I144=""),OR(ISNUMBER(SEARCH(I144,AG144)),ISNUMBER(SEARCH(I144,AH144))))</f>
        <v>0</v>
      </c>
      <c r="AK144" s="2897"/>
      <c r="AL144" s="2892" t="e">
        <f t="shared" si="32"/>
        <v>#N/A</v>
      </c>
      <c r="AM144" s="2892"/>
      <c r="AN144" s="2892" t="e">
        <f t="shared" si="33"/>
        <v>#N/A</v>
      </c>
      <c r="AO144" s="2892"/>
      <c r="AP144" s="2892" t="e">
        <f t="shared" si="34"/>
        <v>#N/A</v>
      </c>
      <c r="AQ144" s="1872"/>
      <c r="AR144" s="2892" t="e">
        <f t="shared" si="35"/>
        <v>#N/A</v>
      </c>
      <c r="AS144" s="1872"/>
      <c r="AT144" s="2892" t="e">
        <f t="shared" si="36"/>
        <v>#N/A</v>
      </c>
      <c r="AU144" s="1872" t="str">
        <f t="shared" si="37"/>
        <v/>
      </c>
      <c r="AV144" s="1872"/>
    </row>
    <row r="145" spans="1:48" ht="12" customHeight="1" x14ac:dyDescent="0.2">
      <c r="A145" s="31"/>
      <c r="B145" s="873" t="str">
        <f t="shared" si="40"/>
        <v>Intelectuales</v>
      </c>
      <c r="C145" s="3486"/>
      <c r="D145" s="3592"/>
      <c r="E145" s="3590" t="s">
        <v>2595</v>
      </c>
      <c r="F145" s="3591"/>
      <c r="G145" s="3591"/>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888">
        <f>Tablas!$K$1780</f>
        <v>0</v>
      </c>
      <c r="AE145" s="289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5">
        <f>IF(AF$123,IF(OR(Region="",ClaseSocial="",Personalización!$AN$9),0,IF(OR(AND(AI145,AJ145),AND(NOT(AI145),NOT(AJ145))),LEFT(AG145,2)+LEFT(AH145,2),IF(AND(AI145,NOT(AJ145)),LEFT(AH145,2),0))),0)</f>
        <v>0</v>
      </c>
      <c r="AG145" s="2888">
        <f>HLOOKUP(Region&amp;ClaseSocial,Tabla_RaicesCulturales,Tablas!F161,FALSE)</f>
        <v>0</v>
      </c>
      <c r="AH145" s="2897">
        <f>IF(AND(E145="Historia",Personalización!$E$16="Historia (Local)"),20&amp;" "&amp;Personalización!$E$16,IF(E145=Personalización!$E$15,VLOOKUP(E145,Tablas!$L$136:$M$137,2,FALSE),IF(E145=Personalización!$E$16,VLOOKUP(E145,Tablas!$N$136:$O$137,2,FALSE),0)))</f>
        <v>0</v>
      </c>
      <c r="AI145" s="2897" t="b">
        <f t="shared" si="41"/>
        <v>0</v>
      </c>
      <c r="AJ145" s="2897" t="b">
        <f t="shared" si="42"/>
        <v>0</v>
      </c>
      <c r="AK145" s="2897"/>
      <c r="AL145" s="2892" t="e">
        <f t="shared" si="32"/>
        <v>#N/A</v>
      </c>
      <c r="AM145" s="2892"/>
      <c r="AN145" s="2892" t="e">
        <f t="shared" si="33"/>
        <v>#N/A</v>
      </c>
      <c r="AO145" s="2892"/>
      <c r="AP145" s="2892" t="e">
        <f t="shared" si="34"/>
        <v>#N/A</v>
      </c>
      <c r="AQ145" s="1872"/>
      <c r="AR145" s="2892" t="e">
        <f t="shared" si="35"/>
        <v>#N/A</v>
      </c>
      <c r="AS145" s="1872"/>
      <c r="AT145" s="2892" t="e">
        <f t="shared" si="36"/>
        <v>#N/A</v>
      </c>
      <c r="AU145" s="1872" t="str">
        <f t="shared" si="37"/>
        <v/>
      </c>
      <c r="AV145" s="1872"/>
    </row>
    <row r="146" spans="1:48" ht="12" customHeight="1" x14ac:dyDescent="0.2">
      <c r="A146" s="31"/>
      <c r="B146" s="873" t="str">
        <f t="shared" si="40"/>
        <v>Intelectuales</v>
      </c>
      <c r="C146" s="3486"/>
      <c r="D146" s="3592"/>
      <c r="E146" s="3588" t="s">
        <v>1441</v>
      </c>
      <c r="F146" s="3589"/>
      <c r="G146" s="3589"/>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888">
        <f>Tablas!$K$1780+Tablas!$K1816</f>
        <v>0</v>
      </c>
      <c r="AE146" s="289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05">
        <f>IF(AF$123,IF(OR(Region="",ClaseSocial="",Personalización!$AN$9),0,IF(OR(AND(AI146,AJ146),AND(NOT(AI146),NOT(AJ146))),LEFT(AG146,2)+LEFT(AH146,2),IF(AND(AI146,NOT(AJ146)),LEFT(AH146,2),0))),0)</f>
        <v>0</v>
      </c>
      <c r="AG146" s="2888">
        <f>HLOOKUP(Region&amp;ClaseSocial,Tabla_RaicesCulturales,Tablas!F162,FALSE)</f>
        <v>0</v>
      </c>
      <c r="AH146" s="2897">
        <f>IF(AND(E146="Historia",Personalización!$E$16="Historia (Local)"),20&amp;" "&amp;Personalización!$E$16,IF(E146=Personalización!$E$15,VLOOKUP(E146,Tablas!$L$136:$M$137,2,FALSE),IF(E146=Personalización!$E$16,VLOOKUP(E146,Tablas!$N$136:$O$137,2,FALSE),0)))</f>
        <v>0</v>
      </c>
      <c r="AI146" s="2897" t="b">
        <f t="shared" si="41"/>
        <v>0</v>
      </c>
      <c r="AJ146" s="2897" t="b">
        <f t="shared" si="42"/>
        <v>0</v>
      </c>
      <c r="AK146" s="2897"/>
      <c r="AL146" s="2892" t="e">
        <f t="shared" si="32"/>
        <v>#N/A</v>
      </c>
      <c r="AM146" s="2892"/>
      <c r="AN146" s="2892" t="e">
        <f t="shared" si="33"/>
        <v>#N/A</v>
      </c>
      <c r="AO146" s="2892"/>
      <c r="AP146" s="2892" t="e">
        <f t="shared" si="34"/>
        <v>#N/A</v>
      </c>
      <c r="AQ146" s="1872"/>
      <c r="AR146" s="2892" t="e">
        <f t="shared" si="35"/>
        <v>#N/A</v>
      </c>
      <c r="AS146" s="1872"/>
      <c r="AT146" s="2892" t="e">
        <f t="shared" si="36"/>
        <v>#N/A</v>
      </c>
      <c r="AU146" s="1872" t="str">
        <f t="shared" si="37"/>
        <v/>
      </c>
      <c r="AV146" s="1872"/>
    </row>
    <row r="147" spans="1:48" ht="12" customHeight="1" x14ac:dyDescent="0.2">
      <c r="A147" s="31"/>
      <c r="B147" s="873" t="str">
        <f t="shared" si="40"/>
        <v>Intelectuales</v>
      </c>
      <c r="C147" s="3486"/>
      <c r="D147" s="3592"/>
      <c r="E147" s="3590" t="s">
        <v>1443</v>
      </c>
      <c r="F147" s="3591"/>
      <c r="G147" s="3591"/>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888">
        <f>Tablas!$K$1780</f>
        <v>0</v>
      </c>
      <c r="AE147" s="289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5">
        <f>IF(AF$123,IF(OR(Region="",ClaseSocial="",Personalización!$AN$9),0,IF(OR(AND(AI147,AJ147),AND(NOT(AI147),NOT(AJ147))),LEFT(AG147,2)+LEFT(AH147,2),IF(AND(AI147,NOT(AJ147)),LEFT(AH147,2),0))),0)</f>
        <v>0</v>
      </c>
      <c r="AG147" s="2888">
        <f>HLOOKUP(Region&amp;ClaseSocial,Tabla_RaicesCulturales,Tablas!F163,FALSE)</f>
        <v>0</v>
      </c>
      <c r="AH147" s="2897">
        <f>IF(AND(E147="Historia",Personalización!$E$16="Historia (Local)"),20&amp;" "&amp;Personalización!$E$16,IF(E147=Personalización!$E$15,VLOOKUP(E147,Tablas!$L$136:$M$137,2,FALSE),IF(E147=Personalización!$E$16,VLOOKUP(E147,Tablas!$N$136:$O$137,2,FALSE),0)))</f>
        <v>0</v>
      </c>
      <c r="AI147" s="2897" t="b">
        <f>OR(ISNUMBER(FIND("(",AG147)),ISNUMBER(FIND("(",AH147)))</f>
        <v>0</v>
      </c>
      <c r="AJ147" s="2897" t="b">
        <f>AND(NOT(I147=""),OR(ISNUMBER(SEARCH(I147,AG147)),ISNUMBER(SEARCH(I147,AH147))))</f>
        <v>0</v>
      </c>
      <c r="AK147" s="2897"/>
      <c r="AL147" s="2892" t="e">
        <f t="shared" si="32"/>
        <v>#N/A</v>
      </c>
      <c r="AM147" s="2892"/>
      <c r="AN147" s="2892" t="e">
        <f t="shared" si="33"/>
        <v>#N/A</v>
      </c>
      <c r="AO147" s="2892"/>
      <c r="AP147" s="2892" t="e">
        <f t="shared" si="34"/>
        <v>#N/A</v>
      </c>
      <c r="AQ147" s="1872"/>
      <c r="AR147" s="2892" t="e">
        <f t="shared" si="35"/>
        <v>#N/A</v>
      </c>
      <c r="AS147" s="1872"/>
      <c r="AT147" s="2892" t="e">
        <f t="shared" si="36"/>
        <v>#N/A</v>
      </c>
      <c r="AU147" s="1872" t="str">
        <f t="shared" si="37"/>
        <v/>
      </c>
      <c r="AV147" s="1872"/>
    </row>
    <row r="148" spans="1:48" ht="12" customHeight="1" x14ac:dyDescent="0.2">
      <c r="A148" s="31"/>
      <c r="B148" s="873" t="str">
        <f t="shared" si="40"/>
        <v>Intelectuales</v>
      </c>
      <c r="C148" s="3486"/>
      <c r="D148" s="3592"/>
      <c r="E148" s="3588" t="s">
        <v>822</v>
      </c>
      <c r="F148" s="3589"/>
      <c r="G148" s="3589"/>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888">
        <f>Tablas!$K$1780</f>
        <v>0</v>
      </c>
      <c r="AE148" s="289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5">
        <f>IF(AF$123,IF(OR(Region="",ClaseSocial="",Personalización!$AN$9),0,IF(OR(AND(AI148,AJ148),AND(NOT(AI148),NOT(AJ148))),LEFT(AG148,2)+LEFT(AH148,2),IF(AND(AI148,NOT(AJ148)),LEFT(AH148,2),0))),0)</f>
        <v>0</v>
      </c>
      <c r="AG148" s="2888">
        <f>HLOOKUP(Region&amp;ClaseSocial,Tabla_RaicesCulturales,Tablas!F164,FALSE)</f>
        <v>0</v>
      </c>
      <c r="AH148" s="2897">
        <f>IF(AND(E148="Historia",Personalización!$E$16="Historia (Local)"),20&amp;" "&amp;Personalización!$E$16,IF(E148=Personalización!$E$15,VLOOKUP(E148,Tablas!$L$136:$M$137,2,FALSE),IF(E148=Personalización!$E$16,VLOOKUP(E148,Tablas!$N$136:$O$137,2,FALSE),0)))</f>
        <v>0</v>
      </c>
      <c r="AI148" s="2897" t="b">
        <f t="shared" si="41"/>
        <v>0</v>
      </c>
      <c r="AJ148" s="2897" t="b">
        <f t="shared" si="42"/>
        <v>0</v>
      </c>
      <c r="AK148" s="2897"/>
      <c r="AL148" s="2892" t="e">
        <f t="shared" si="32"/>
        <v>#N/A</v>
      </c>
      <c r="AM148" s="2892"/>
      <c r="AN148" s="2892" t="e">
        <f t="shared" si="33"/>
        <v>#N/A</v>
      </c>
      <c r="AO148" s="2892"/>
      <c r="AP148" s="2892" t="e">
        <f t="shared" si="34"/>
        <v>#N/A</v>
      </c>
      <c r="AQ148" s="1872"/>
      <c r="AR148" s="2892" t="e">
        <f t="shared" si="35"/>
        <v>#N/A</v>
      </c>
      <c r="AS148" s="1872"/>
      <c r="AT148" s="2892" t="e">
        <f t="shared" si="36"/>
        <v>#N/A</v>
      </c>
      <c r="AU148" s="1872" t="str">
        <f t="shared" si="37"/>
        <v/>
      </c>
      <c r="AV148" s="1872"/>
    </row>
    <row r="149" spans="1:48" ht="12" customHeight="1" x14ac:dyDescent="0.2">
      <c r="A149" s="31"/>
      <c r="B149" s="873" t="str">
        <f t="shared" si="40"/>
        <v>Intelectuales</v>
      </c>
      <c r="C149" s="3486"/>
      <c r="D149" s="3592"/>
      <c r="E149" s="3590" t="s">
        <v>1446</v>
      </c>
      <c r="F149" s="3591"/>
      <c r="G149" s="3591"/>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888">
        <f>Tablas!$K$1780</f>
        <v>0</v>
      </c>
      <c r="AE149" s="289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5">
        <f>IF(AF$123,IF(OR(Region="",ClaseSocial="",Personalización!$AN$9),0,IF(OR(AND(AI149,AJ149),AND(NOT(AI149),NOT(AJ149))),LEFT(AG149,2)+LEFT(AH149,2),IF(AND(AI149,NOT(AJ149)),LEFT(AH149,2),0))),0)</f>
        <v>0</v>
      </c>
      <c r="AG149" s="2888">
        <f>HLOOKUP(Region&amp;ClaseSocial,Tabla_RaicesCulturales,Tablas!F165,FALSE)</f>
        <v>0</v>
      </c>
      <c r="AH149" s="2897">
        <f>IF(AND(E149="Historia",Personalización!$E$16="Historia (Local)"),20&amp;" "&amp;Personalización!$E$16,IF(E149=Personalización!$E$15,VLOOKUP(E149,Tablas!$L$136:$M$137,2,FALSE),IF(E149=Personalización!$E$16,VLOOKUP(E149,Tablas!$N$136:$O$137,2,FALSE),0)))</f>
        <v>0</v>
      </c>
      <c r="AI149" s="2897" t="b">
        <f t="shared" si="41"/>
        <v>0</v>
      </c>
      <c r="AJ149" s="2897" t="b">
        <f t="shared" si="42"/>
        <v>0</v>
      </c>
      <c r="AK149" s="2897"/>
      <c r="AL149" s="2892" t="e">
        <f t="shared" si="32"/>
        <v>#N/A</v>
      </c>
      <c r="AM149" s="2892"/>
      <c r="AN149" s="2892" t="e">
        <f t="shared" si="33"/>
        <v>#N/A</v>
      </c>
      <c r="AO149" s="2892"/>
      <c r="AP149" s="2892" t="e">
        <f t="shared" si="34"/>
        <v>#N/A</v>
      </c>
      <c r="AQ149" s="1872"/>
      <c r="AR149" s="2892" t="e">
        <f t="shared" si="35"/>
        <v>#N/A</v>
      </c>
      <c r="AS149" s="1872"/>
      <c r="AT149" s="2892" t="e">
        <f t="shared" si="36"/>
        <v>#N/A</v>
      </c>
      <c r="AU149" s="1872" t="str">
        <f t="shared" si="37"/>
        <v/>
      </c>
      <c r="AV149" s="1872"/>
    </row>
    <row r="150" spans="1:48" ht="12" customHeight="1" x14ac:dyDescent="0.2">
      <c r="A150" s="31"/>
      <c r="B150" s="873" t="str">
        <f t="shared" si="40"/>
        <v>Intelectuales</v>
      </c>
      <c r="C150" s="3486"/>
      <c r="D150" s="3592"/>
      <c r="E150" s="3588" t="s">
        <v>1447</v>
      </c>
      <c r="F150" s="3589"/>
      <c r="G150" s="3589"/>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888">
        <f>Tablas!$K$1780</f>
        <v>0</v>
      </c>
      <c r="AE150" s="289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5">
        <f>IF(AF$123,IF(OR(Region="",ClaseSocial="",Personalización!$AN$9),0,IF(OR(AND(AI150,AJ150),AND(NOT(AI150),NOT(AJ150))),LEFT(AG150,2)+LEFT(AH150,2),IF(AND(AI150,NOT(AJ150)),LEFT(AH150,2),0))),0)</f>
        <v>0</v>
      </c>
      <c r="AG150" s="2888">
        <f>HLOOKUP(Region&amp;ClaseSocial,Tabla_RaicesCulturales,Tablas!F166,FALSE)</f>
        <v>0</v>
      </c>
      <c r="AH150" s="2897">
        <f>IF(AND(E150="Historia",Personalización!$E$16="Historia (Local)"),20&amp;" "&amp;Personalización!$E$16,IF(E150=Personalización!$E$15,VLOOKUP(E150,Tablas!$L$136:$M$137,2,FALSE),IF(E150=Personalización!$E$16,VLOOKUP(E150,Tablas!$N$136:$O$137,2,FALSE),0)))</f>
        <v>0</v>
      </c>
      <c r="AI150" s="2897" t="b">
        <f t="shared" si="41"/>
        <v>0</v>
      </c>
      <c r="AJ150" s="2897" t="b">
        <f t="shared" si="42"/>
        <v>0</v>
      </c>
      <c r="AK150" s="2897"/>
      <c r="AL150" s="2892" t="e">
        <f t="shared" si="32"/>
        <v>#N/A</v>
      </c>
      <c r="AM150" s="2892"/>
      <c r="AN150" s="2892" t="e">
        <f t="shared" si="33"/>
        <v>#N/A</v>
      </c>
      <c r="AO150" s="2892"/>
      <c r="AP150" s="2892" t="e">
        <f t="shared" si="34"/>
        <v>#N/A</v>
      </c>
      <c r="AQ150" s="1872"/>
      <c r="AR150" s="2892" t="e">
        <f t="shared" si="35"/>
        <v>#N/A</v>
      </c>
      <c r="AS150" s="1872"/>
      <c r="AT150" s="2892" t="e">
        <f t="shared" si="36"/>
        <v>#N/A</v>
      </c>
      <c r="AU150" s="1872" t="str">
        <f t="shared" si="37"/>
        <v/>
      </c>
      <c r="AV150" s="1872"/>
    </row>
    <row r="151" spans="1:48" ht="12" customHeight="1" x14ac:dyDescent="0.2">
      <c r="A151" s="31"/>
      <c r="B151" s="873" t="str">
        <f t="shared" si="40"/>
        <v>Intelectuales</v>
      </c>
      <c r="C151" s="3486"/>
      <c r="D151" s="3592"/>
      <c r="E151" s="3590" t="s">
        <v>1448</v>
      </c>
      <c r="F151" s="3591"/>
      <c r="G151" s="3591"/>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888">
        <f>Tablas!$K$1780</f>
        <v>0</v>
      </c>
      <c r="AE151" s="289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5">
        <f>IF(AF$123,IF(OR(Region="",ClaseSocial="",Personalización!$AN$9),0,IF(OR(AND(AI151,AJ151),AND(NOT(AI151),NOT(AJ151))),LEFT(AG151,2)+LEFT(AH151,2),IF(AND(AI151,NOT(AJ151)),LEFT(AH151,2),0))),0)</f>
        <v>0</v>
      </c>
      <c r="AG151" s="2888">
        <f>HLOOKUP(Region&amp;ClaseSocial,Tabla_RaicesCulturales,Tablas!F167,FALSE)</f>
        <v>0</v>
      </c>
      <c r="AH151" s="2897">
        <f>IF(AND(E151="Historia",Personalización!$E$16="Historia (Local)"),20&amp;" "&amp;Personalización!$E$16,IF(E151=Personalización!$E$15,VLOOKUP(E151,Tablas!$L$136:$M$137,2,FALSE),IF(E151=Personalización!$E$16,VLOOKUP(E151,Tablas!$N$136:$O$137,2,FALSE),0)))</f>
        <v>0</v>
      </c>
      <c r="AI151" s="2897" t="b">
        <f t="shared" si="41"/>
        <v>0</v>
      </c>
      <c r="AJ151" s="2897" t="b">
        <f t="shared" si="42"/>
        <v>0</v>
      </c>
      <c r="AK151" s="2897"/>
      <c r="AL151" s="2892" t="e">
        <f t="shared" si="32"/>
        <v>#N/A</v>
      </c>
      <c r="AM151" s="2892"/>
      <c r="AN151" s="2892" t="e">
        <f t="shared" si="33"/>
        <v>#N/A</v>
      </c>
      <c r="AO151" s="2892"/>
      <c r="AP151" s="2892" t="e">
        <f t="shared" si="34"/>
        <v>#N/A</v>
      </c>
      <c r="AQ151" s="1872"/>
      <c r="AR151" s="2892" t="e">
        <f t="shared" si="35"/>
        <v>#N/A</v>
      </c>
      <c r="AS151" s="1872"/>
      <c r="AT151" s="2892" t="e">
        <f t="shared" si="36"/>
        <v>#N/A</v>
      </c>
      <c r="AU151" s="1872" t="str">
        <f t="shared" si="37"/>
        <v/>
      </c>
      <c r="AV151" s="1872"/>
    </row>
    <row r="152" spans="1:48" ht="12" customHeight="1" x14ac:dyDescent="0.2">
      <c r="A152" s="31"/>
      <c r="B152" s="873" t="str">
        <f t="shared" si="40"/>
        <v>Intelectuales</v>
      </c>
      <c r="C152" s="3486"/>
      <c r="D152" s="3592"/>
      <c r="E152" s="3588" t="s">
        <v>1449</v>
      </c>
      <c r="F152" s="3589"/>
      <c r="G152" s="3589"/>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888">
        <f>Tablas!$K$1780+Tablas!$K$1830</f>
        <v>0</v>
      </c>
      <c r="AE152" s="289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05">
        <f>IF(AF$123,IF(OR(Region="",ClaseSocial="",Personalización!$AN$9),0,IF(OR(AND(AI152,AJ152),AND(NOT(AI152),NOT(AJ152))),LEFT(AG152,2)+LEFT(AH152,2),IF(AND(AI152,NOT(AJ152)),LEFT(AH152,2),0))),0)</f>
        <v>0</v>
      </c>
      <c r="AG152" s="2888">
        <f>HLOOKUP(Region&amp;ClaseSocial,Tabla_RaicesCulturales,Tablas!F168,FALSE)</f>
        <v>0</v>
      </c>
      <c r="AH152" s="2897">
        <f>IF(AND(E152="Historia",Personalización!$E$16="Historia (Local)"),20&amp;" "&amp;Personalización!$E$16,IF(E152=Personalización!$E$15,VLOOKUP(E152,Tablas!$L$136:$M$137,2,FALSE),IF(E152=Personalización!$E$16,VLOOKUP(E152,Tablas!$N$136:$O$137,2,FALSE),0)))</f>
        <v>0</v>
      </c>
      <c r="AI152" s="2897" t="b">
        <f t="shared" si="41"/>
        <v>0</v>
      </c>
      <c r="AJ152" s="2897" t="b">
        <f t="shared" si="42"/>
        <v>0</v>
      </c>
      <c r="AK152" s="2897"/>
      <c r="AL152" s="2892" t="e">
        <f t="shared" si="32"/>
        <v>#N/A</v>
      </c>
      <c r="AM152" s="2892"/>
      <c r="AN152" s="2892" t="e">
        <f t="shared" si="33"/>
        <v>#N/A</v>
      </c>
      <c r="AO152" s="2892"/>
      <c r="AP152" s="2892" t="e">
        <f t="shared" si="34"/>
        <v>#N/A</v>
      </c>
      <c r="AQ152" s="1872"/>
      <c r="AR152" s="2892" t="e">
        <f t="shared" si="35"/>
        <v>#N/A</v>
      </c>
      <c r="AS152" s="1872"/>
      <c r="AT152" s="2892" t="e">
        <f t="shared" si="36"/>
        <v>#N/A</v>
      </c>
      <c r="AU152" s="1872" t="str">
        <f t="shared" si="37"/>
        <v/>
      </c>
      <c r="AV152" s="1872"/>
    </row>
    <row r="153" spans="1:48" ht="12" customHeight="1" x14ac:dyDescent="0.2">
      <c r="A153" s="31"/>
      <c r="B153" s="873" t="str">
        <f t="shared" si="40"/>
        <v>Intelectuales</v>
      </c>
      <c r="C153" s="3486"/>
      <c r="D153" s="3592"/>
      <c r="E153" s="3590" t="s">
        <v>1450</v>
      </c>
      <c r="F153" s="3591"/>
      <c r="G153" s="3591"/>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888">
        <f>Tablas!$K$1780</f>
        <v>0</v>
      </c>
      <c r="AE153" s="289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5">
        <f>IF(AF$123,IF(OR(Region="",ClaseSocial="",Personalización!$AN$9),0,IF(OR(AND(AI153,AJ153),AND(NOT(AI153),NOT(AJ153))),LEFT(AG153,2)+LEFT(AH153,2),IF(AND(AI153,NOT(AJ153)),LEFT(AH153,2),0))),0)</f>
        <v>0</v>
      </c>
      <c r="AG153" s="2888">
        <f>HLOOKUP(Region&amp;ClaseSocial,Tabla_RaicesCulturales,Tablas!F169,FALSE)</f>
        <v>0</v>
      </c>
      <c r="AH153" s="2897">
        <f>IF(AND(E153="Historia",Personalización!$E$16="Historia (Local)"),20&amp;" "&amp;Personalización!$E$16,IF(E153=Personalización!$E$15,VLOOKUP(E153,Tablas!$L$136:$M$137,2,FALSE),IF(E153=Personalización!$E$16,VLOOKUP(E153,Tablas!$N$136:$O$137,2,FALSE),0)))</f>
        <v>0</v>
      </c>
      <c r="AI153" s="2897" t="b">
        <f t="shared" si="41"/>
        <v>0</v>
      </c>
      <c r="AJ153" s="2897" t="b">
        <f t="shared" si="42"/>
        <v>0</v>
      </c>
      <c r="AK153" s="2897"/>
      <c r="AL153" s="2892" t="e">
        <f t="shared" si="32"/>
        <v>#N/A</v>
      </c>
      <c r="AM153" s="2892"/>
      <c r="AN153" s="2892" t="e">
        <f t="shared" si="33"/>
        <v>#N/A</v>
      </c>
      <c r="AO153" s="2892"/>
      <c r="AP153" s="2892" t="e">
        <f t="shared" si="34"/>
        <v>#N/A</v>
      </c>
      <c r="AQ153" s="1872"/>
      <c r="AR153" s="2892" t="e">
        <f t="shared" si="35"/>
        <v>#N/A</v>
      </c>
      <c r="AS153" s="1872"/>
      <c r="AT153" s="2892" t="e">
        <f t="shared" si="36"/>
        <v>#N/A</v>
      </c>
      <c r="AU153" s="1872" t="str">
        <f t="shared" si="37"/>
        <v/>
      </c>
      <c r="AV153" s="1872"/>
    </row>
    <row r="154" spans="1:48" ht="12" customHeight="1" x14ac:dyDescent="0.2">
      <c r="A154" s="31"/>
      <c r="B154" s="873" t="str">
        <f t="shared" si="40"/>
        <v>Intelectuales</v>
      </c>
      <c r="C154" s="3486"/>
      <c r="D154" s="3594"/>
      <c r="E154" s="3595" t="s">
        <v>1451</v>
      </c>
      <c r="F154" s="3596"/>
      <c r="G154" s="3596"/>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888">
        <f>Tablas!$K$1780</f>
        <v>0</v>
      </c>
      <c r="AE154" s="289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05">
        <f>IF(AF$123,IF(OR(Region="",ClaseSocial="",Personalización!$AN$9),0,IF(OR(AND(AI154,AJ154),AND(NOT(AI154),NOT(AJ154))),LEFT(AG154,2)+LEFT(AH154,2),IF(AND(AI154,NOT(AJ154)),LEFT(AH154,2),0))),0)</f>
        <v>0</v>
      </c>
      <c r="AG154" s="2888">
        <f>HLOOKUP(Region&amp;ClaseSocial,Tabla_RaicesCulturales,Tablas!F170,FALSE)</f>
        <v>0</v>
      </c>
      <c r="AH154" s="2897">
        <f>IF(AND(E154="Historia",Personalización!$E$16="Historia (Local)"),20&amp;" "&amp;Personalización!$E$16,IF(E154=Personalización!$E$15,VLOOKUP(E154,Tablas!$L$136:$M$137,2,FALSE),IF(E154=Personalización!$E$16,VLOOKUP(E154,Tablas!$N$136:$O$137,2,FALSE),0)))</f>
        <v>0</v>
      </c>
      <c r="AI154" s="2897" t="b">
        <f t="shared" si="41"/>
        <v>0</v>
      </c>
      <c r="AJ154" s="2897" t="b">
        <f t="shared" si="42"/>
        <v>0</v>
      </c>
      <c r="AK154" s="2897"/>
      <c r="AL154" s="2892" t="e">
        <f t="shared" si="32"/>
        <v>#N/A</v>
      </c>
      <c r="AM154" s="2892"/>
      <c r="AN154" s="2892" t="e">
        <f t="shared" si="33"/>
        <v>#N/A</v>
      </c>
      <c r="AO154" s="2892"/>
      <c r="AP154" s="2892" t="e">
        <f t="shared" si="34"/>
        <v>#N/A</v>
      </c>
      <c r="AQ154" s="1872"/>
      <c r="AR154" s="2892" t="e">
        <f t="shared" si="35"/>
        <v>#N/A</v>
      </c>
      <c r="AS154" s="1872"/>
      <c r="AT154" s="2892" t="e">
        <f t="shared" si="36"/>
        <v>#N/A</v>
      </c>
      <c r="AU154" s="1872" t="str">
        <f t="shared" si="37"/>
        <v/>
      </c>
      <c r="AV154" s="1872"/>
    </row>
    <row r="155" spans="1:48" ht="12" customHeight="1" x14ac:dyDescent="0.2">
      <c r="A155" s="31"/>
      <c r="B155" s="873" t="str">
        <f>D155</f>
        <v>Vigor</v>
      </c>
      <c r="C155" s="3486"/>
      <c r="D155" s="3592" t="s">
        <v>1452</v>
      </c>
      <c r="E155" s="3590" t="s">
        <v>1453</v>
      </c>
      <c r="F155" s="3591"/>
      <c r="G155" s="3591"/>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888">
        <f>Tablas!$K$1843+Tablas!$K$1905+IF(Tablas!$G$375&gt;0,60,0)</f>
        <v>0</v>
      </c>
      <c r="AE155" s="289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05">
        <f>IF(AF$123,IF(OR(Region="",ClaseSocial="",Personalización!$AN$9),0,IF(OR(AND(AI155,AJ155),AND(NOT(AI155),NOT(AJ155))),LEFT(AG155,2)+LEFT(AH155,2),IF(AND(AI155,NOT(AJ155)),LEFT(AH155,2),0))),0)</f>
        <v>0</v>
      </c>
      <c r="AG155" s="2888">
        <f>HLOOKUP(Region&amp;ClaseSocial,Tabla_RaicesCulturales,Tablas!F171,FALSE)</f>
        <v>0</v>
      </c>
      <c r="AH155" s="2897">
        <f>IF(AND(E155="Historia",Personalización!$E$16="Historia (Local)"),20&amp;" "&amp;Personalización!$E$16,IF(E155=Personalización!$E$15,VLOOKUP(E155,Tablas!$L$136:$M$137,2,FALSE),IF(E155=Personalización!$E$16,VLOOKUP(E155,Tablas!$N$136:$O$137,2,FALSE),0)))</f>
        <v>0</v>
      </c>
      <c r="AI155" s="2897" t="b">
        <f t="shared" si="41"/>
        <v>0</v>
      </c>
      <c r="AJ155" s="2897" t="b">
        <f t="shared" si="42"/>
        <v>0</v>
      </c>
      <c r="AK155" s="2897"/>
      <c r="AL155" s="2892" t="e">
        <f t="shared" si="32"/>
        <v>#N/A</v>
      </c>
      <c r="AM155" s="2892"/>
      <c r="AN155" s="2892" t="e">
        <f t="shared" si="33"/>
        <v>#N/A</v>
      </c>
      <c r="AO155" s="2892"/>
      <c r="AP155" s="2892" t="e">
        <f t="shared" si="34"/>
        <v>#N/A</v>
      </c>
      <c r="AQ155" s="1872"/>
      <c r="AR155" s="2892" t="e">
        <f t="shared" si="35"/>
        <v>#N/A</v>
      </c>
      <c r="AS155" s="1872"/>
      <c r="AT155" s="2892" t="e">
        <f t="shared" si="36"/>
        <v>#N/A</v>
      </c>
      <c r="AU155" s="1872" t="str">
        <f t="shared" si="37"/>
        <v/>
      </c>
      <c r="AV155" s="1872"/>
    </row>
    <row r="156" spans="1:48" ht="12" customHeight="1" x14ac:dyDescent="0.2">
      <c r="A156" s="31"/>
      <c r="B156" s="873" t="str">
        <f>B155</f>
        <v>Vigor</v>
      </c>
      <c r="C156" s="3486"/>
      <c r="D156" s="3592"/>
      <c r="E156" s="3588" t="s">
        <v>1454</v>
      </c>
      <c r="F156" s="3589"/>
      <c r="G156" s="3589"/>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888"/>
      <c r="AE156" s="289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05">
        <f>IF(AF$123,IF(OR(Region="",ClaseSocial="",Personalización!$AN$9),0,IF(OR(AND(AI156,AJ156),AND(NOT(AI156),NOT(AJ156))),LEFT(AG156,2)+LEFT(AH156,2),IF(AND(AI156,NOT(AJ156)),LEFT(AH156,2),0))),0)</f>
        <v>0</v>
      </c>
      <c r="AG156" s="2888">
        <f>HLOOKUP(Region&amp;ClaseSocial,Tabla_RaicesCulturales,Tablas!F172,FALSE)</f>
        <v>0</v>
      </c>
      <c r="AH156" s="2897">
        <f>IF(AND(E156="Historia",Personalización!$E$16="Historia (Local)"),20&amp;" "&amp;Personalización!$E$16,IF(E156=Personalización!$E$15,VLOOKUP(E156,Tablas!$L$136:$M$137,2,FALSE),IF(E156=Personalización!$E$16,VLOOKUP(E156,Tablas!$N$136:$O$137,2,FALSE),0)))</f>
        <v>0</v>
      </c>
      <c r="AI156" s="2897" t="b">
        <f t="shared" si="41"/>
        <v>0</v>
      </c>
      <c r="AJ156" s="2897" t="b">
        <f t="shared" si="42"/>
        <v>0</v>
      </c>
      <c r="AK156" s="2897"/>
      <c r="AL156" s="2892" t="e">
        <f t="shared" si="32"/>
        <v>#N/A</v>
      </c>
      <c r="AM156" s="2892"/>
      <c r="AN156" s="2892" t="e">
        <f t="shared" si="33"/>
        <v>#N/A</v>
      </c>
      <c r="AO156" s="2892"/>
      <c r="AP156" s="2892" t="e">
        <f t="shared" si="34"/>
        <v>#N/A</v>
      </c>
      <c r="AQ156" s="1872"/>
      <c r="AR156" s="2892" t="e">
        <f t="shared" si="35"/>
        <v>#N/A</v>
      </c>
      <c r="AS156" s="1872"/>
      <c r="AT156" s="2892" t="e">
        <f t="shared" si="36"/>
        <v>#N/A</v>
      </c>
      <c r="AU156" s="1872" t="str">
        <f t="shared" si="37"/>
        <v/>
      </c>
      <c r="AV156" s="1872"/>
    </row>
    <row r="157" spans="1:48" ht="12" customHeight="1" x14ac:dyDescent="0.2">
      <c r="A157" s="31"/>
      <c r="B157" s="873" t="str">
        <f>B156</f>
        <v>Vigor</v>
      </c>
      <c r="C157" s="3486"/>
      <c r="D157" s="3592"/>
      <c r="E157" s="3590" t="s">
        <v>1457</v>
      </c>
      <c r="F157" s="3591"/>
      <c r="G157" s="3591"/>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888">
        <f>Tablas!$K$1905</f>
        <v>0</v>
      </c>
      <c r="AE157" s="289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05">
        <f>IF(AF$123,IF(OR(Region="",ClaseSocial="",Personalización!$AN$9),0,IF(OR(AND(AI157,AJ157),AND(NOT(AI157),NOT(AJ157))),LEFT(AG157,2)+LEFT(AH157,2),IF(AND(AI157,NOT(AJ157)),LEFT(AH157,2),0))),0)</f>
        <v>0</v>
      </c>
      <c r="AG157" s="2888">
        <f>HLOOKUP(Region&amp;ClaseSocial,Tabla_RaicesCulturales,Tablas!F173,FALSE)</f>
        <v>0</v>
      </c>
      <c r="AH157" s="2897">
        <f>IF(AND(E157="Historia",Personalización!$E$16="Historia (Local)"),20&amp;" "&amp;Personalización!$E$16,IF(E157=Personalización!$E$15,VLOOKUP(E157,Tablas!$L$136:$M$137,2,FALSE),IF(E157=Personalización!$E$16,VLOOKUP(E157,Tablas!$N$136:$O$137,2,FALSE),0)))</f>
        <v>0</v>
      </c>
      <c r="AI157" s="2897" t="b">
        <f t="shared" si="41"/>
        <v>0</v>
      </c>
      <c r="AJ157" s="2897" t="b">
        <f t="shared" si="42"/>
        <v>0</v>
      </c>
      <c r="AK157" s="2897"/>
      <c r="AL157" s="2892" t="e">
        <f t="shared" si="32"/>
        <v>#N/A</v>
      </c>
      <c r="AM157" s="2892"/>
      <c r="AN157" s="2892" t="e">
        <f t="shared" si="33"/>
        <v>#N/A</v>
      </c>
      <c r="AO157" s="2892"/>
      <c r="AP157" s="2892" t="e">
        <f t="shared" si="34"/>
        <v>#N/A</v>
      </c>
      <c r="AQ157" s="1872"/>
      <c r="AR157" s="2892" t="e">
        <f t="shared" si="35"/>
        <v>#N/A</v>
      </c>
      <c r="AS157" s="1872"/>
      <c r="AT157" s="2892" t="e">
        <f t="shared" si="36"/>
        <v>#N/A</v>
      </c>
      <c r="AU157" s="1872" t="str">
        <f t="shared" si="37"/>
        <v/>
      </c>
      <c r="AV157" s="1872"/>
    </row>
    <row r="158" spans="1:48" ht="12" customHeight="1" x14ac:dyDescent="0.2">
      <c r="A158" s="31"/>
      <c r="B158" s="873" t="str">
        <f>D158</f>
        <v>Subterfugio</v>
      </c>
      <c r="C158" s="3486"/>
      <c r="D158" s="3593" t="s">
        <v>1460</v>
      </c>
      <c r="E158" s="3632" t="s">
        <v>1461</v>
      </c>
      <c r="F158" s="3633"/>
      <c r="G158" s="3633"/>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888"/>
      <c r="AE158" s="289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5">
        <f>IF(AF$123,IF(OR(Region="",ClaseSocial="",Personalización!$AN$9),0,IF(OR(AND(AI158,AJ158),AND(NOT(AI158),NOT(AJ158))),LEFT(AG158,2)+LEFT(AH158,2),IF(AND(AI158,NOT(AJ158)),LEFT(AH158,2),0))),0)</f>
        <v>0</v>
      </c>
      <c r="AG158" s="2888">
        <f>HLOOKUP(Region&amp;ClaseSocial,Tabla_RaicesCulturales,Tablas!F174,FALSE)</f>
        <v>0</v>
      </c>
      <c r="AH158" s="2897">
        <f>IF(AND(E158="Historia",Personalización!$E$16="Historia (Local)"),20&amp;" "&amp;Personalización!$E$16,IF(E158=Personalización!$E$15,VLOOKUP(E158,Tablas!$L$136:$M$137,2,FALSE),IF(E158=Personalización!$E$16,VLOOKUP(E158,Tablas!$N$136:$O$137,2,FALSE),0)))</f>
        <v>0</v>
      </c>
      <c r="AI158" s="2897" t="b">
        <f t="shared" ref="AI158:AI176" si="45">OR(ISNUMBER(FIND("(",AG158)),ISNUMBER(FIND("(",AH158)))</f>
        <v>0</v>
      </c>
      <c r="AJ158" s="2897" t="b">
        <f t="shared" ref="AJ158:AJ176" si="46">AND(NOT(I158=""),OR(ISNUMBER(SEARCH(I158,AG158)),ISNUMBER(SEARCH(I158,AH158))))</f>
        <v>0</v>
      </c>
      <c r="AK158" s="2897"/>
      <c r="AL158" s="2892"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892"/>
      <c r="AN158" s="2892"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892"/>
      <c r="AP158" s="2892"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872"/>
      <c r="AR158" s="2892"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872"/>
      <c r="AT158" s="2892"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872" t="str">
        <f t="shared" si="37"/>
        <v/>
      </c>
      <c r="AV158" s="1872"/>
    </row>
    <row r="159" spans="1:48" ht="12" customHeight="1" x14ac:dyDescent="0.2">
      <c r="A159" s="31"/>
      <c r="B159" s="873" t="str">
        <f t="shared" ref="B159:B164" si="52">B158</f>
        <v>Subterfugio</v>
      </c>
      <c r="C159" s="3486"/>
      <c r="D159" s="3592"/>
      <c r="E159" s="3590" t="s">
        <v>1463</v>
      </c>
      <c r="F159" s="3591"/>
      <c r="G159" s="3591"/>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888"/>
      <c r="AE159" s="289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05">
        <f>IF(AF$123,IF(OR(Region="",ClaseSocial="",Personalización!$AN$9),0,IF(OR(AND(AI159,AJ159),AND(NOT(AI159),NOT(AJ159))),LEFT(AG159,2)+LEFT(AH159,2),IF(AND(AI159,NOT(AJ159)),LEFT(AH159,2),0))),0)</f>
        <v>0</v>
      </c>
      <c r="AG159" s="2888">
        <f>HLOOKUP(Region&amp;ClaseSocial,Tabla_RaicesCulturales,Tablas!F175,FALSE)</f>
        <v>0</v>
      </c>
      <c r="AH159" s="2897">
        <f>IF(AND(E159="Historia",Personalización!$E$16="Historia (Local)"),20&amp;" "&amp;Personalización!$E$16,IF(E159=Personalización!$E$15,VLOOKUP(E159,Tablas!$L$136:$M$137,2,FALSE),IF(E159=Personalización!$E$16,VLOOKUP(E159,Tablas!$N$136:$O$137,2,FALSE),0)))</f>
        <v>0</v>
      </c>
      <c r="AI159" s="2897" t="b">
        <f t="shared" si="45"/>
        <v>0</v>
      </c>
      <c r="AJ159" s="2897" t="b">
        <f t="shared" si="46"/>
        <v>0</v>
      </c>
      <c r="AK159" s="2897"/>
      <c r="AL159" s="2892" t="e">
        <f t="shared" si="47"/>
        <v>#N/A</v>
      </c>
      <c r="AM159" s="2892"/>
      <c r="AN159" s="2892" t="e">
        <f t="shared" si="48"/>
        <v>#N/A</v>
      </c>
      <c r="AO159" s="2892"/>
      <c r="AP159" s="2892" t="e">
        <f t="shared" si="49"/>
        <v>#N/A</v>
      </c>
      <c r="AQ159" s="1872"/>
      <c r="AR159" s="2892" t="e">
        <f t="shared" si="50"/>
        <v>#N/A</v>
      </c>
      <c r="AS159" s="1872"/>
      <c r="AT159" s="2892" t="e">
        <f t="shared" si="51"/>
        <v>#N/A</v>
      </c>
      <c r="AU159" s="1872" t="str">
        <f t="shared" si="37"/>
        <v/>
      </c>
      <c r="AV159" s="1872"/>
    </row>
    <row r="160" spans="1:48" ht="12" customHeight="1" x14ac:dyDescent="0.2">
      <c r="A160" s="31"/>
      <c r="B160" s="873" t="str">
        <f t="shared" si="52"/>
        <v>Subterfugio</v>
      </c>
      <c r="C160" s="3486"/>
      <c r="D160" s="3592"/>
      <c r="E160" s="3588" t="s">
        <v>1465</v>
      </c>
      <c r="F160" s="3589"/>
      <c r="G160" s="3589"/>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888"/>
      <c r="AE160" s="289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05">
        <f>IF(AF$123,IF(OR(Region="",ClaseSocial="",Personalización!$AN$9),0,IF(OR(AND(AI160,AJ160),AND(NOT(AI160),NOT(AJ160))),LEFT(AG160,2)+LEFT(AH160,2),IF(AND(AI160,NOT(AJ160)),LEFT(AH160,2),0))),0)</f>
        <v>0</v>
      </c>
      <c r="AG160" s="2888">
        <f>HLOOKUP(Region&amp;ClaseSocial,Tabla_RaicesCulturales,Tablas!F176,FALSE)</f>
        <v>0</v>
      </c>
      <c r="AH160" s="2897">
        <f>IF(AND(E160="Historia",Personalización!$E$16="Historia (Local)"),20&amp;" "&amp;Personalización!$E$16,IF(E160=Personalización!$E$15,VLOOKUP(E160,Tablas!$L$136:$M$137,2,FALSE),IF(E160=Personalización!$E$16,VLOOKUP(E160,Tablas!$N$136:$O$137,2,FALSE),0)))</f>
        <v>0</v>
      </c>
      <c r="AI160" s="2897" t="b">
        <f t="shared" si="45"/>
        <v>0</v>
      </c>
      <c r="AJ160" s="2897" t="b">
        <f t="shared" si="46"/>
        <v>0</v>
      </c>
      <c r="AK160" s="2897"/>
      <c r="AL160" s="2892" t="e">
        <f t="shared" si="47"/>
        <v>#N/A</v>
      </c>
      <c r="AM160" s="2892"/>
      <c r="AN160" s="2892" t="e">
        <f t="shared" si="48"/>
        <v>#N/A</v>
      </c>
      <c r="AO160" s="2892"/>
      <c r="AP160" s="2892" t="e">
        <f t="shared" si="49"/>
        <v>#N/A</v>
      </c>
      <c r="AQ160" s="1872"/>
      <c r="AR160" s="2892" t="e">
        <f t="shared" si="50"/>
        <v>#N/A</v>
      </c>
      <c r="AS160" s="1872"/>
      <c r="AT160" s="2892" t="e">
        <f t="shared" si="51"/>
        <v>#N/A</v>
      </c>
      <c r="AU160" s="1872" t="str">
        <f t="shared" si="37"/>
        <v/>
      </c>
      <c r="AV160" s="1872"/>
    </row>
    <row r="161" spans="1:48" ht="12" customHeight="1" x14ac:dyDescent="0.2">
      <c r="A161" s="31"/>
      <c r="B161" s="873" t="str">
        <f t="shared" si="52"/>
        <v>Subterfugio</v>
      </c>
      <c r="C161" s="3486"/>
      <c r="D161" s="3592"/>
      <c r="E161" s="3590" t="s">
        <v>1467</v>
      </c>
      <c r="F161" s="3591"/>
      <c r="G161" s="3591"/>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888"/>
      <c r="AE161" s="289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05">
        <f>IF(AF$123,IF(OR(Region="",ClaseSocial="",Personalización!$AN$9),0,IF(OR(AND(AI161,AJ161),AND(NOT(AI161),NOT(AJ161))),LEFT(AG161,2)+LEFT(AH161,2),IF(AND(AI161,NOT(AJ161)),LEFT(AH161,2),0))),0)</f>
        <v>0</v>
      </c>
      <c r="AG161" s="2888">
        <f>HLOOKUP(Region&amp;ClaseSocial,Tabla_RaicesCulturales,Tablas!F177,FALSE)</f>
        <v>0</v>
      </c>
      <c r="AH161" s="2897">
        <f>IF(AND(E161="Historia",Personalización!$E$16="Historia (Local)"),20&amp;" "&amp;Personalización!$E$16,IF(E161=Personalización!$E$15,VLOOKUP(E161,Tablas!$L$136:$M$137,2,FALSE),IF(E161=Personalización!$E$16,VLOOKUP(E161,Tablas!$N$136:$O$137,2,FALSE),0)))</f>
        <v>0</v>
      </c>
      <c r="AI161" s="2897" t="b">
        <f t="shared" si="45"/>
        <v>0</v>
      </c>
      <c r="AJ161" s="2897" t="b">
        <f t="shared" si="46"/>
        <v>0</v>
      </c>
      <c r="AK161" s="2897"/>
      <c r="AL161" s="2892" t="e">
        <f t="shared" si="47"/>
        <v>#N/A</v>
      </c>
      <c r="AM161" s="2892"/>
      <c r="AN161" s="2892" t="e">
        <f t="shared" si="48"/>
        <v>#N/A</v>
      </c>
      <c r="AO161" s="2892"/>
      <c r="AP161" s="2892" t="e">
        <f t="shared" si="49"/>
        <v>#N/A</v>
      </c>
      <c r="AQ161" s="1872"/>
      <c r="AR161" s="2892" t="e">
        <f t="shared" si="50"/>
        <v>#N/A</v>
      </c>
      <c r="AS161" s="1872"/>
      <c r="AT161" s="2892" t="e">
        <f t="shared" si="51"/>
        <v>#N/A</v>
      </c>
      <c r="AU161" s="1872" t="str">
        <f t="shared" si="37"/>
        <v/>
      </c>
      <c r="AV161" s="1872"/>
    </row>
    <row r="162" spans="1:48" ht="12" customHeight="1" x14ac:dyDescent="0.2">
      <c r="A162" s="31"/>
      <c r="B162" s="873" t="str">
        <f t="shared" si="52"/>
        <v>Subterfugio</v>
      </c>
      <c r="C162" s="3486"/>
      <c r="D162" s="3592"/>
      <c r="E162" s="3588" t="s">
        <v>1469</v>
      </c>
      <c r="F162" s="3589"/>
      <c r="G162" s="3589"/>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888"/>
      <c r="AE162" s="289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05">
        <f>IF(AF$123,IF(OR(Region="",ClaseSocial="",Personalización!$AN$9),0,IF(OR(AND(AI162,AJ162),AND(NOT(AI162),NOT(AJ162))),LEFT(AG162,2)+LEFT(AH162,2),IF(AND(AI162,NOT(AJ162)),LEFT(AH162,2),0))),0)</f>
        <v>0</v>
      </c>
      <c r="AG162" s="2888">
        <f>HLOOKUP(Region&amp;ClaseSocial,Tabla_RaicesCulturales,Tablas!F178,FALSE)</f>
        <v>0</v>
      </c>
      <c r="AH162" s="2897">
        <f>IF(AND(E162="Historia",Personalización!$E$16="Historia (Local)"),20&amp;" "&amp;Personalización!$E$16,IF(E162=Personalización!$E$15,VLOOKUP(E162,Tablas!$L$136:$M$137,2,FALSE),IF(E162=Personalización!$E$16,VLOOKUP(E162,Tablas!$N$136:$O$137,2,FALSE),0)))</f>
        <v>0</v>
      </c>
      <c r="AI162" s="2897" t="b">
        <f t="shared" si="45"/>
        <v>0</v>
      </c>
      <c r="AJ162" s="2897" t="b">
        <f t="shared" si="46"/>
        <v>0</v>
      </c>
      <c r="AK162" s="2897"/>
      <c r="AL162" s="2892" t="e">
        <f t="shared" si="47"/>
        <v>#N/A</v>
      </c>
      <c r="AM162" s="2892"/>
      <c r="AN162" s="2892" t="e">
        <f t="shared" si="48"/>
        <v>#N/A</v>
      </c>
      <c r="AO162" s="2892"/>
      <c r="AP162" s="2892" t="e">
        <f t="shared" si="49"/>
        <v>#N/A</v>
      </c>
      <c r="AQ162" s="1872"/>
      <c r="AR162" s="2892" t="e">
        <f t="shared" si="50"/>
        <v>#N/A</v>
      </c>
      <c r="AS162" s="1872"/>
      <c r="AT162" s="2892" t="e">
        <f t="shared" si="51"/>
        <v>#N/A</v>
      </c>
      <c r="AU162" s="1872" t="str">
        <f t="shared" si="37"/>
        <v/>
      </c>
      <c r="AV162" s="1872"/>
    </row>
    <row r="163" spans="1:48" ht="12" customHeight="1" x14ac:dyDescent="0.2">
      <c r="A163" s="31"/>
      <c r="B163" s="873" t="str">
        <f t="shared" si="52"/>
        <v>Subterfugio</v>
      </c>
      <c r="C163" s="3486"/>
      <c r="D163" s="3592"/>
      <c r="E163" s="3590" t="s">
        <v>1471</v>
      </c>
      <c r="F163" s="3591"/>
      <c r="G163" s="3591"/>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888"/>
      <c r="AE163" s="289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05">
        <f>IF(AF$123,IF(OR(Region="",ClaseSocial="",Personalización!$AN$9),0,IF(OR(AND(AI163,AJ163),AND(NOT(AI163),NOT(AJ163))),LEFT(AG163,2)+LEFT(AH163,2),IF(AND(AI163,NOT(AJ163)),LEFT(AH163,2),0))),0)</f>
        <v>0</v>
      </c>
      <c r="AG163" s="2888">
        <f>HLOOKUP(Region&amp;ClaseSocial,Tabla_RaicesCulturales,Tablas!F179,FALSE)</f>
        <v>0</v>
      </c>
      <c r="AH163" s="2897">
        <f>IF(AND(E163="Historia",Personalización!$E$16="Historia (Local)"),20&amp;" "&amp;Personalización!$E$16,IF(E163=Personalización!$E$15,VLOOKUP(E163,Tablas!$L$136:$M$137,2,FALSE),IF(E163=Personalización!$E$16,VLOOKUP(E163,Tablas!$N$136:$O$137,2,FALSE),0)))</f>
        <v>0</v>
      </c>
      <c r="AI163" s="2897" t="b">
        <f t="shared" si="45"/>
        <v>0</v>
      </c>
      <c r="AJ163" s="2897" t="b">
        <f t="shared" si="46"/>
        <v>0</v>
      </c>
      <c r="AK163" s="2897"/>
      <c r="AL163" s="2892" t="e">
        <f t="shared" si="47"/>
        <v>#N/A</v>
      </c>
      <c r="AM163" s="2892"/>
      <c r="AN163" s="2892" t="e">
        <f t="shared" si="48"/>
        <v>#N/A</v>
      </c>
      <c r="AO163" s="2892"/>
      <c r="AP163" s="2892" t="e">
        <f t="shared" si="49"/>
        <v>#N/A</v>
      </c>
      <c r="AQ163" s="1872"/>
      <c r="AR163" s="2892" t="e">
        <f t="shared" si="50"/>
        <v>#N/A</v>
      </c>
      <c r="AS163" s="1872"/>
      <c r="AT163" s="2892" t="e">
        <f t="shared" si="51"/>
        <v>#N/A</v>
      </c>
      <c r="AU163" s="1872" t="str">
        <f t="shared" si="37"/>
        <v/>
      </c>
      <c r="AV163" s="1872"/>
    </row>
    <row r="164" spans="1:48" ht="12" customHeight="1" x14ac:dyDescent="0.2">
      <c r="A164" s="31"/>
      <c r="B164" s="873" t="str">
        <f t="shared" si="52"/>
        <v>Subterfugio</v>
      </c>
      <c r="C164" s="3486"/>
      <c r="D164" s="3594"/>
      <c r="E164" s="3595" t="s">
        <v>1472</v>
      </c>
      <c r="F164" s="3596"/>
      <c r="G164" s="3596"/>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888"/>
      <c r="AE164" s="289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05">
        <f>IF(AF$123,IF(OR(Region="",ClaseSocial="",Personalización!$AN$9),0,IF(OR(AND(AI164,AJ164),AND(NOT(AI164),NOT(AJ164))),LEFT(AG164,2)+LEFT(AH164,2),IF(AND(AI164,NOT(AJ164)),LEFT(AH164,2),0))),0)</f>
        <v>0</v>
      </c>
      <c r="AG164" s="2888">
        <f>HLOOKUP(Region&amp;ClaseSocial,Tabla_RaicesCulturales,Tablas!F180,FALSE)</f>
        <v>0</v>
      </c>
      <c r="AH164" s="2897">
        <f>IF(AND(E164="Historia",Personalización!$E$16="Historia (Local)"),20&amp;" "&amp;Personalización!$E$16,IF(E164=Personalización!$E$15,VLOOKUP(E164,Tablas!$L$136:$M$137,2,FALSE),IF(E164=Personalización!$E$16,VLOOKUP(E164,Tablas!$N$136:$O$137,2,FALSE),0)))</f>
        <v>0</v>
      </c>
      <c r="AI164" s="2897" t="b">
        <f t="shared" si="45"/>
        <v>0</v>
      </c>
      <c r="AJ164" s="2897" t="b">
        <f t="shared" si="46"/>
        <v>0</v>
      </c>
      <c r="AK164" s="2897"/>
      <c r="AL164" s="2892" t="e">
        <f t="shared" si="47"/>
        <v>#N/A</v>
      </c>
      <c r="AM164" s="2892"/>
      <c r="AN164" s="2892" t="e">
        <f t="shared" si="48"/>
        <v>#N/A</v>
      </c>
      <c r="AO164" s="2892"/>
      <c r="AP164" s="2892" t="e">
        <f t="shared" si="49"/>
        <v>#N/A</v>
      </c>
      <c r="AQ164" s="1872"/>
      <c r="AR164" s="2892" t="e">
        <f t="shared" si="50"/>
        <v>#N/A</v>
      </c>
      <c r="AS164" s="1872"/>
      <c r="AT164" s="2892" t="e">
        <f t="shared" si="51"/>
        <v>#N/A</v>
      </c>
      <c r="AU164" s="1872" t="str">
        <f t="shared" si="37"/>
        <v/>
      </c>
      <c r="AV164" s="1872"/>
    </row>
    <row r="165" spans="1:48" ht="12" customHeight="1" x14ac:dyDescent="0.2">
      <c r="A165" s="31"/>
      <c r="B165" s="873" t="str">
        <f>D165</f>
        <v>Creativas</v>
      </c>
      <c r="C165" s="3486"/>
      <c r="D165" s="3592" t="s">
        <v>1473</v>
      </c>
      <c r="E165" s="3590" t="s">
        <v>1474</v>
      </c>
      <c r="F165" s="3591"/>
      <c r="G165" s="3591"/>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888">
        <f>Tablas!$K$1790</f>
        <v>0</v>
      </c>
      <c r="AE165" s="289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5">
        <f>IF(AF$123,IF(OR(Region="",ClaseSocial="",Personalización!$AN$9),0,IF(OR(AND(AI165,AJ165),AND(NOT(AI165),NOT(AJ165))),LEFT(AG165,2)+LEFT(AH165,2),IF(AND(AI165,NOT(AJ165)),LEFT(AH165,2),0))),0)</f>
        <v>0</v>
      </c>
      <c r="AG165" s="2888">
        <f>HLOOKUP(Region&amp;ClaseSocial,Tabla_RaicesCulturales,Tablas!F181,FALSE)</f>
        <v>0</v>
      </c>
      <c r="AH165" s="2897">
        <f>IF(AND(E165="Historia",Personalización!$E$16="Historia (Local)"),20&amp;" "&amp;Personalización!$E$16,IF(E165=Personalización!$E$15,VLOOKUP(E165,Tablas!$L$136:$M$137,2,FALSE),IF(E165=Personalización!$E$16,VLOOKUP(E165,Tablas!$N$136:$O$137,2,FALSE),0)))</f>
        <v>0</v>
      </c>
      <c r="AI165" s="2897" t="b">
        <f t="shared" si="45"/>
        <v>0</v>
      </c>
      <c r="AJ165" s="2897" t="b">
        <f t="shared" si="46"/>
        <v>0</v>
      </c>
      <c r="AK165" s="2897"/>
      <c r="AL165" s="2892" t="e">
        <f t="shared" si="47"/>
        <v>#N/A</v>
      </c>
      <c r="AM165" s="2892"/>
      <c r="AN165" s="2892" t="e">
        <f t="shared" si="48"/>
        <v>#N/A</v>
      </c>
      <c r="AO165" s="2892"/>
      <c r="AP165" s="2892" t="e">
        <f t="shared" si="49"/>
        <v>#N/A</v>
      </c>
      <c r="AQ165" s="1872"/>
      <c r="AR165" s="2892" t="e">
        <f t="shared" si="50"/>
        <v>#N/A</v>
      </c>
      <c r="AS165" s="1872"/>
      <c r="AT165" s="2892" t="e">
        <f t="shared" si="51"/>
        <v>#N/A</v>
      </c>
      <c r="AU165" s="1872" t="str">
        <f t="shared" si="37"/>
        <v/>
      </c>
      <c r="AV165" s="1872"/>
    </row>
    <row r="166" spans="1:48" ht="12" customHeight="1" x14ac:dyDescent="0.2">
      <c r="A166" s="31"/>
      <c r="B166" s="873" t="str">
        <f>B165</f>
        <v>Creativas</v>
      </c>
      <c r="C166" s="3486"/>
      <c r="D166" s="3592"/>
      <c r="E166" s="3588" t="s">
        <v>1475</v>
      </c>
      <c r="F166" s="3589"/>
      <c r="G166" s="3589"/>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888"/>
      <c r="AE166" s="289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5">
        <f>IF(AF$123,IF(OR(Region="",ClaseSocial="",Personalización!$AN$9),0,IF(OR(AND(AI166,AJ166),AND(NOT(AI166),NOT(AJ166))),LEFT(AG166,2)+LEFT(AH166,2),IF(AND(AI166,NOT(AJ166)),LEFT(AH166,2),0))),0)</f>
        <v>0</v>
      </c>
      <c r="AG166" s="2888">
        <f>HLOOKUP(Region&amp;ClaseSocial,Tabla_RaicesCulturales,Tablas!F182,FALSE)</f>
        <v>0</v>
      </c>
      <c r="AH166" s="2897">
        <f>IF(AND(E166="Historia",Personalización!$E$16="Historia (Local)"),20&amp;" "&amp;Personalización!$E$16,IF(E166=Personalización!$E$15,VLOOKUP(E166,Tablas!$L$136:$M$137,2,FALSE),IF(E166=Personalización!$E$16,VLOOKUP(E166,Tablas!$N$136:$O$137,2,FALSE),0)))</f>
        <v>0</v>
      </c>
      <c r="AI166" s="2897" t="b">
        <f t="shared" si="45"/>
        <v>0</v>
      </c>
      <c r="AJ166" s="2897" t="b">
        <f t="shared" si="46"/>
        <v>0</v>
      </c>
      <c r="AK166" s="2897"/>
      <c r="AL166" s="2892" t="e">
        <f t="shared" si="47"/>
        <v>#N/A</v>
      </c>
      <c r="AM166" s="2892"/>
      <c r="AN166" s="2892" t="e">
        <f t="shared" si="48"/>
        <v>#N/A</v>
      </c>
      <c r="AO166" s="2892"/>
      <c r="AP166" s="2892" t="e">
        <f t="shared" si="49"/>
        <v>#N/A</v>
      </c>
      <c r="AQ166" s="1872"/>
      <c r="AR166" s="2892" t="e">
        <f t="shared" si="50"/>
        <v>#N/A</v>
      </c>
      <c r="AS166" s="1872"/>
      <c r="AT166" s="2892" t="e">
        <f t="shared" si="51"/>
        <v>#N/A</v>
      </c>
      <c r="AU166" s="1872" t="str">
        <f t="shared" si="37"/>
        <v/>
      </c>
      <c r="AV166" s="1872"/>
    </row>
    <row r="167" spans="1:48" ht="12" customHeight="1" x14ac:dyDescent="0.2">
      <c r="A167" s="31"/>
      <c r="B167" s="873" t="str">
        <f t="shared" ref="B167:B176" si="53">B166</f>
        <v>Creativas</v>
      </c>
      <c r="C167" s="3486"/>
      <c r="D167" s="3592"/>
      <c r="E167" s="3590" t="s">
        <v>1476</v>
      </c>
      <c r="F167" s="3591"/>
      <c r="G167" s="3591"/>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888"/>
      <c r="AE167" s="289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5">
        <f>IF(AF$123,IF(OR(Region="",ClaseSocial="",Personalización!$AN$9),0,IF(OR(AND(AI167,AJ167),AND(NOT(AI167),NOT(AJ167))),LEFT(AG167,2)+LEFT(AH167,2),IF(AND(AI167,NOT(AJ167)),LEFT(AH167,2),0))),0)</f>
        <v>0</v>
      </c>
      <c r="AG167" s="2888">
        <f>HLOOKUP(Region&amp;ClaseSocial,Tabla_RaicesCulturales,Tablas!F183,FALSE)</f>
        <v>0</v>
      </c>
      <c r="AH167" s="2897">
        <f>IF(AND(E167="Historia",Personalización!$E$16="Historia (Local)"),20&amp;" "&amp;Personalización!$E$16,IF(E167=Personalización!$E$15,VLOOKUP(E167,Tablas!$L$136:$M$137,2,FALSE),IF(E167=Personalización!$E$16,VLOOKUP(E167,Tablas!$N$136:$O$137,2,FALSE),0)))</f>
        <v>0</v>
      </c>
      <c r="AI167" s="2897" t="b">
        <f t="shared" si="45"/>
        <v>0</v>
      </c>
      <c r="AJ167" s="2897" t="b">
        <f t="shared" si="46"/>
        <v>0</v>
      </c>
      <c r="AK167" s="2897"/>
      <c r="AL167" s="2892" t="e">
        <f t="shared" si="47"/>
        <v>#N/A</v>
      </c>
      <c r="AM167" s="2892"/>
      <c r="AN167" s="2892" t="e">
        <f t="shared" si="48"/>
        <v>#N/A</v>
      </c>
      <c r="AO167" s="2892"/>
      <c r="AP167" s="2892" t="e">
        <f t="shared" si="49"/>
        <v>#N/A</v>
      </c>
      <c r="AQ167" s="1872"/>
      <c r="AR167" s="2892" t="e">
        <f t="shared" si="50"/>
        <v>#N/A</v>
      </c>
      <c r="AS167" s="1872"/>
      <c r="AT167" s="2892" t="e">
        <f t="shared" si="51"/>
        <v>#N/A</v>
      </c>
      <c r="AU167" s="1872" t="str">
        <f t="shared" si="37"/>
        <v/>
      </c>
      <c r="AV167" s="1872"/>
    </row>
    <row r="168" spans="1:48" ht="12" customHeight="1" x14ac:dyDescent="0.2">
      <c r="A168" s="31"/>
      <c r="B168" s="873" t="str">
        <f t="shared" si="53"/>
        <v>Creativas</v>
      </c>
      <c r="C168" s="3486"/>
      <c r="D168" s="3592"/>
      <c r="E168" s="3588" t="s">
        <v>816</v>
      </c>
      <c r="F168" s="3589"/>
      <c r="G168" s="3589"/>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888"/>
      <c r="AE168" s="289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5">
        <f>IF(AF$123,IF(OR(Region="",ClaseSocial="",Personalización!$AN$9),0,IF(OR(AND(AI168,AJ168),AND(NOT(AI168),NOT(AJ168))),LEFT(AG168,2)+LEFT(AH168,2),IF(AND(AI168,NOT(AJ168)),LEFT(AH168,2),0))),0)</f>
        <v>0</v>
      </c>
      <c r="AG168" s="2888">
        <f>HLOOKUP(Region&amp;ClaseSocial,Tabla_RaicesCulturales,Tablas!F184,FALSE)</f>
        <v>0</v>
      </c>
      <c r="AH168" s="2897">
        <f>IF(AND(E168="Historia",Personalización!$E$16="Historia (Local)"),20&amp;" "&amp;Personalización!$E$16,IF(E168=Personalización!$E$15,VLOOKUP(E168,Tablas!$L$136:$M$137,2,FALSE),IF(E168=Personalización!$E$16,VLOOKUP(E168,Tablas!$N$136:$O$137,2,FALSE),0)))</f>
        <v>0</v>
      </c>
      <c r="AI168" s="2897" t="b">
        <f t="shared" si="45"/>
        <v>0</v>
      </c>
      <c r="AJ168" s="2897" t="b">
        <f t="shared" si="46"/>
        <v>0</v>
      </c>
      <c r="AK168" s="2897"/>
      <c r="AL168" s="2892" t="e">
        <f t="shared" si="47"/>
        <v>#N/A</v>
      </c>
      <c r="AM168" s="2892"/>
      <c r="AN168" s="2892" t="e">
        <f t="shared" si="48"/>
        <v>#N/A</v>
      </c>
      <c r="AO168" s="2892"/>
      <c r="AP168" s="2892" t="e">
        <f t="shared" si="49"/>
        <v>#N/A</v>
      </c>
      <c r="AQ168" s="1872"/>
      <c r="AR168" s="2892" t="e">
        <f t="shared" si="50"/>
        <v>#N/A</v>
      </c>
      <c r="AS168" s="1872"/>
      <c r="AT168" s="2892" t="e">
        <f t="shared" si="51"/>
        <v>#N/A</v>
      </c>
      <c r="AU168" s="1872" t="str">
        <f t="shared" si="37"/>
        <v/>
      </c>
      <c r="AV168" s="1872"/>
    </row>
    <row r="169" spans="1:48" ht="12" customHeight="1" x14ac:dyDescent="0.2">
      <c r="A169" s="31"/>
      <c r="B169" s="873" t="str">
        <f t="shared" si="53"/>
        <v>Creativas</v>
      </c>
      <c r="C169" s="3486"/>
      <c r="D169" s="3592"/>
      <c r="E169" s="3590" t="s">
        <v>817</v>
      </c>
      <c r="F169" s="3591"/>
      <c r="G169" s="3591"/>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888"/>
      <c r="AE169" s="289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5">
        <f>IF(AF$123,IF(OR(Region="",ClaseSocial="",Personalización!$AN$9),0,IF(OR(AND(AI169,AJ169),AND(NOT(AI169),NOT(AJ169))),LEFT(AG169,2)+LEFT(AH169,2),IF(AND(AI169,NOT(AJ169)),LEFT(AH169,2),0))),0)</f>
        <v>0</v>
      </c>
      <c r="AG169" s="2888">
        <f>HLOOKUP(Region&amp;ClaseSocial,Tabla_RaicesCulturales,Tablas!F185,FALSE)</f>
        <v>0</v>
      </c>
      <c r="AH169" s="2897">
        <f>IF(AND(E169="Historia",Personalización!$E$16="Historia (Local)"),20&amp;" "&amp;Personalización!$E$16,IF(E169=Personalización!$E$15,VLOOKUP(E169,Tablas!$L$136:$M$137,2,FALSE),IF(E169=Personalización!$E$16,VLOOKUP(E169,Tablas!$N$136:$O$137,2,FALSE),0)))</f>
        <v>0</v>
      </c>
      <c r="AI169" s="2897" t="b">
        <f>OR(ISNUMBER(FIND("(",AG169)),ISNUMBER(FIND("(",AH169)))</f>
        <v>0</v>
      </c>
      <c r="AJ169" s="2897" t="b">
        <f>AND(NOT(I169=""),OR(ISNUMBER(SEARCH(I169,AG169)),ISNUMBER(SEARCH(I169,AH169))))</f>
        <v>0</v>
      </c>
      <c r="AK169" s="2897"/>
      <c r="AL169" s="2892" t="e">
        <f t="shared" si="47"/>
        <v>#N/A</v>
      </c>
      <c r="AM169" s="2892"/>
      <c r="AN169" s="2892" t="e">
        <f t="shared" si="48"/>
        <v>#N/A</v>
      </c>
      <c r="AO169" s="2892"/>
      <c r="AP169" s="2892" t="e">
        <f t="shared" si="49"/>
        <v>#N/A</v>
      </c>
      <c r="AQ169" s="1872"/>
      <c r="AR169" s="2892" t="e">
        <f t="shared" si="50"/>
        <v>#N/A</v>
      </c>
      <c r="AS169" s="1872"/>
      <c r="AT169" s="2892" t="e">
        <f t="shared" si="51"/>
        <v>#N/A</v>
      </c>
      <c r="AU169" s="1872" t="str">
        <f t="shared" si="37"/>
        <v/>
      </c>
      <c r="AV169" s="1872"/>
    </row>
    <row r="170" spans="1:48" ht="12" customHeight="1" x14ac:dyDescent="0.2">
      <c r="A170" s="31"/>
      <c r="B170" s="873" t="str">
        <f t="shared" si="53"/>
        <v>Creativas</v>
      </c>
      <c r="C170" s="3486"/>
      <c r="D170" s="3592"/>
      <c r="E170" s="3588" t="s">
        <v>818</v>
      </c>
      <c r="F170" s="3589"/>
      <c r="G170" s="3589"/>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888"/>
      <c r="AE170" s="289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5">
        <f>IF(AF$123,IF(OR(Region="",ClaseSocial="",Personalización!$AN$9),0,IF(OR(AND(AI170,AJ170),AND(NOT(AI170),NOT(AJ170))),LEFT(AG170,2)+LEFT(AH170,2),IF(AND(AI170,NOT(AJ170)),LEFT(AH170,2),0))),0)</f>
        <v>0</v>
      </c>
      <c r="AG170" s="2888">
        <f>HLOOKUP(Region&amp;ClaseSocial,Tabla_RaicesCulturales,Tablas!F186,FALSE)</f>
        <v>0</v>
      </c>
      <c r="AH170" s="2897">
        <f>IF(AND(E170="Historia",Personalización!$E$16="Historia (Local)"),20&amp;" "&amp;Personalización!$E$16,IF(E170=Personalización!$E$15,VLOOKUP(E170,Tablas!$L$136:$M$137,2,FALSE),IF(E170=Personalización!$E$16,VLOOKUP(E170,Tablas!$N$136:$O$137,2,FALSE),0)))</f>
        <v>0</v>
      </c>
      <c r="AI170" s="2897" t="b">
        <f>OR(ISNUMBER(FIND("(",AG170)),ISNUMBER(FIND("(",AH170)))</f>
        <v>0</v>
      </c>
      <c r="AJ170" s="2897" t="b">
        <f>AND(NOT(I170=""),OR(ISNUMBER(SEARCH(I170,AG170)),ISNUMBER(SEARCH(I170,AH170))))</f>
        <v>0</v>
      </c>
      <c r="AK170" s="2897"/>
      <c r="AL170" s="2892" t="e">
        <f t="shared" si="47"/>
        <v>#N/A</v>
      </c>
      <c r="AM170" s="2892"/>
      <c r="AN170" s="2892" t="e">
        <f t="shared" si="48"/>
        <v>#N/A</v>
      </c>
      <c r="AO170" s="2892"/>
      <c r="AP170" s="2892" t="e">
        <f t="shared" si="49"/>
        <v>#N/A</v>
      </c>
      <c r="AQ170" s="1872"/>
      <c r="AR170" s="2892" t="e">
        <f t="shared" si="50"/>
        <v>#N/A</v>
      </c>
      <c r="AS170" s="1872"/>
      <c r="AT170" s="2892" t="e">
        <f t="shared" si="51"/>
        <v>#N/A</v>
      </c>
      <c r="AU170" s="1872" t="str">
        <f t="shared" si="37"/>
        <v/>
      </c>
      <c r="AV170" s="1872"/>
    </row>
    <row r="171" spans="1:48" ht="12" customHeight="1" x14ac:dyDescent="0.2">
      <c r="A171" s="31"/>
      <c r="B171" s="873" t="str">
        <f t="shared" si="53"/>
        <v>Creativas</v>
      </c>
      <c r="C171" s="3486"/>
      <c r="D171" s="3592"/>
      <c r="E171" s="3590" t="s">
        <v>1477</v>
      </c>
      <c r="F171" s="3591"/>
      <c r="G171" s="3591"/>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888">
        <f>Tablas!$K$1790</f>
        <v>0</v>
      </c>
      <c r="AE171" s="289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5">
        <f>IF(AF$123,IF(OR(Region="",ClaseSocial="",Personalización!$AN$9),0,IF(OR(AND(AI171,AJ171),AND(NOT(AI171),NOT(AJ171))),LEFT(AG171,2)+LEFT(AH171,2),IF(AND(AI171,NOT(AJ171)),LEFT(AH171,2),0))),0)</f>
        <v>0</v>
      </c>
      <c r="AG171" s="2888">
        <f>HLOOKUP(Region&amp;ClaseSocial,Tabla_RaicesCulturales,Tablas!F187,FALSE)</f>
        <v>0</v>
      </c>
      <c r="AH171" s="2897">
        <f>IF(AND(E171="Historia",Personalización!$E$16="Historia (Local)"),20&amp;" "&amp;Personalización!$E$16,IF(E171=Personalización!$E$15,VLOOKUP(E171,Tablas!$L$136:$M$137,2,FALSE),IF(E171=Personalización!$E$16,VLOOKUP(E171,Tablas!$N$136:$O$137,2,FALSE),0)))</f>
        <v>0</v>
      </c>
      <c r="AI171" s="2897" t="b">
        <f t="shared" si="45"/>
        <v>0</v>
      </c>
      <c r="AJ171" s="2897" t="b">
        <f t="shared" si="46"/>
        <v>0</v>
      </c>
      <c r="AK171" s="2897"/>
      <c r="AL171" s="2892" t="e">
        <f t="shared" si="47"/>
        <v>#N/A</v>
      </c>
      <c r="AM171" s="2892"/>
      <c r="AN171" s="2892" t="e">
        <f t="shared" si="48"/>
        <v>#N/A</v>
      </c>
      <c r="AO171" s="2892"/>
      <c r="AP171" s="2892" t="e">
        <f t="shared" si="49"/>
        <v>#N/A</v>
      </c>
      <c r="AQ171" s="1872"/>
      <c r="AR171" s="2892" t="e">
        <f t="shared" si="50"/>
        <v>#N/A</v>
      </c>
      <c r="AS171" s="1872"/>
      <c r="AT171" s="2892" t="e">
        <f t="shared" si="51"/>
        <v>#N/A</v>
      </c>
      <c r="AU171" s="1872" t="str">
        <f t="shared" si="37"/>
        <v/>
      </c>
      <c r="AV171" s="1872"/>
    </row>
    <row r="172" spans="1:48" ht="12" customHeight="1" x14ac:dyDescent="0.2">
      <c r="A172" s="31"/>
      <c r="B172" s="873" t="str">
        <f t="shared" si="53"/>
        <v>Creativas</v>
      </c>
      <c r="C172" s="3486"/>
      <c r="D172" s="3592"/>
      <c r="E172" s="3588" t="s">
        <v>1479</v>
      </c>
      <c r="F172" s="3589"/>
      <c r="G172" s="3589"/>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888">
        <f>IF(Tablas!$G$376&gt;0,30,0)</f>
        <v>0</v>
      </c>
      <c r="AE172" s="289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05">
        <f>IF(AF$123,IF(OR(Region="",ClaseSocial="",Personalización!$AN$9),0,IF(OR(AND(AI172,AJ172),AND(NOT(AI172),NOT(AJ172))),LEFT(AG172,2)+LEFT(AH172,2),IF(AND(AI172,NOT(AJ172)),LEFT(AH172,2),0))),0)</f>
        <v>0</v>
      </c>
      <c r="AG172" s="2888">
        <f>HLOOKUP(Region&amp;ClaseSocial,Tabla_RaicesCulturales,Tablas!F188,FALSE)</f>
        <v>0</v>
      </c>
      <c r="AH172" s="2897">
        <f>IF(AND(E172="Historia",Personalización!$E$16="Historia (Local)"),20&amp;" "&amp;Personalización!$E$16,IF(E172=Personalización!$E$15,VLOOKUP(E172,Tablas!$L$136:$M$137,2,FALSE),IF(E172=Personalización!$E$16,VLOOKUP(E172,Tablas!$N$136:$O$137,2,FALSE),0)))</f>
        <v>0</v>
      </c>
      <c r="AI172" s="2897" t="b">
        <f t="shared" si="45"/>
        <v>0</v>
      </c>
      <c r="AJ172" s="2897" t="b">
        <f t="shared" si="46"/>
        <v>0</v>
      </c>
      <c r="AK172" s="2897"/>
      <c r="AL172" s="2892" t="e">
        <f t="shared" si="47"/>
        <v>#N/A</v>
      </c>
      <c r="AM172" s="2892"/>
      <c r="AN172" s="2892" t="e">
        <f t="shared" si="48"/>
        <v>#N/A</v>
      </c>
      <c r="AO172" s="2892"/>
      <c r="AP172" s="2892" t="e">
        <f t="shared" si="49"/>
        <v>#N/A</v>
      </c>
      <c r="AQ172" s="1872"/>
      <c r="AR172" s="2892" t="e">
        <f t="shared" si="50"/>
        <v>#N/A</v>
      </c>
      <c r="AS172" s="1872"/>
      <c r="AT172" s="2892" t="e">
        <f t="shared" si="51"/>
        <v>#N/A</v>
      </c>
      <c r="AU172" s="1872" t="str">
        <f t="shared" si="37"/>
        <v/>
      </c>
      <c r="AV172" s="1872"/>
    </row>
    <row r="173" spans="1:48" ht="12" customHeight="1" x14ac:dyDescent="0.2">
      <c r="A173" s="31"/>
      <c r="B173" s="873" t="str">
        <f t="shared" si="53"/>
        <v>Creativas</v>
      </c>
      <c r="C173" s="3486"/>
      <c r="D173" s="3592"/>
      <c r="E173" s="3590" t="s">
        <v>6373</v>
      </c>
      <c r="F173" s="3591"/>
      <c r="G173" s="3591"/>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888"/>
      <c r="AE173" s="289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5">
        <f>IF(AF$123,IF(OR(Region="",ClaseSocial="",Personalización!$AN$9),0,IF(OR(AND(AI173,AJ173),AND(NOT(AI173),NOT(AJ173))),LEFT(AG173,2)+LEFT(AH173,2),IF(AND(AI173,NOT(AJ173)),LEFT(AH173,2),0))),0)</f>
        <v>0</v>
      </c>
      <c r="AG173" s="2888">
        <f>HLOOKUP(Region&amp;ClaseSocial,Tabla_RaicesCulturales,Tablas!F189,FALSE)</f>
        <v>0</v>
      </c>
      <c r="AH173" s="2897">
        <f>IF(AND(E173="Historia",Personalización!$E$16="Historia (Local)"),20&amp;" "&amp;Personalización!$E$16,IF(E173=Personalización!$E$15,VLOOKUP(E173,Tablas!$L$136:$M$137,2,FALSE),IF(E173=Personalización!$E$16,VLOOKUP(E173,Tablas!$N$136:$O$137,2,FALSE),0)))</f>
        <v>0</v>
      </c>
      <c r="AI173" s="2897" t="b">
        <f t="shared" si="45"/>
        <v>0</v>
      </c>
      <c r="AJ173" s="2897" t="b">
        <f t="shared" si="46"/>
        <v>0</v>
      </c>
      <c r="AK173" s="2897"/>
      <c r="AL173" s="2892" t="e">
        <f t="shared" si="47"/>
        <v>#N/A</v>
      </c>
      <c r="AM173" s="2892"/>
      <c r="AN173" s="2892" t="e">
        <f t="shared" si="48"/>
        <v>#N/A</v>
      </c>
      <c r="AO173" s="2892"/>
      <c r="AP173" s="2892" t="e">
        <f t="shared" si="49"/>
        <v>#N/A</v>
      </c>
      <c r="AQ173" s="1872"/>
      <c r="AR173" s="2892" t="e">
        <f t="shared" si="50"/>
        <v>#N/A</v>
      </c>
      <c r="AS173" s="1872"/>
      <c r="AT173" s="2892" t="e">
        <f t="shared" si="51"/>
        <v>#N/A</v>
      </c>
      <c r="AU173" s="1872" t="str">
        <f t="shared" si="37"/>
        <v/>
      </c>
      <c r="AV173" s="1872"/>
    </row>
    <row r="174" spans="1:48" ht="12" customHeight="1" x14ac:dyDescent="0.2">
      <c r="A174" s="31"/>
      <c r="B174" s="873" t="str">
        <f t="shared" si="53"/>
        <v>Creativas</v>
      </c>
      <c r="C174" s="3486"/>
      <c r="D174" s="3592"/>
      <c r="E174" s="3588" t="s">
        <v>6374</v>
      </c>
      <c r="F174" s="3589"/>
      <c r="G174" s="3589"/>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888"/>
      <c r="AE174" s="289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5">
        <f>IF(AF$123,IF(OR(Region="",ClaseSocial="",Personalización!$AN$9),0,IF(OR(AND(AI174,AJ174),AND(NOT(AI174),NOT(AJ174))),LEFT(AG174,2)+LEFT(AH174,2),IF(AND(AI174,NOT(AJ174)),LEFT(AH174,2),0))),0)</f>
        <v>0</v>
      </c>
      <c r="AG174" s="2888">
        <f>HLOOKUP(Region&amp;ClaseSocial,Tabla_RaicesCulturales,Tablas!F190,FALSE)</f>
        <v>0</v>
      </c>
      <c r="AH174" s="2897">
        <f>IF(AND(E174="Historia",Personalización!$E$16="Historia (Local)"),20&amp;" "&amp;Personalización!$E$16,IF(E174=Personalización!$E$15,VLOOKUP(E174,Tablas!$L$136:$M$137,2,FALSE),IF(E174=Personalización!$E$16,VLOOKUP(E174,Tablas!$N$136:$O$137,2,FALSE),0)))</f>
        <v>0</v>
      </c>
      <c r="AI174" s="2897" t="b">
        <f t="shared" si="45"/>
        <v>0</v>
      </c>
      <c r="AJ174" s="2897" t="b">
        <f t="shared" si="46"/>
        <v>0</v>
      </c>
      <c r="AK174" s="2897"/>
      <c r="AL174" s="2892" t="e">
        <f t="shared" si="47"/>
        <v>#N/A</v>
      </c>
      <c r="AM174" s="2892"/>
      <c r="AN174" s="2892" t="e">
        <f t="shared" si="48"/>
        <v>#N/A</v>
      </c>
      <c r="AO174" s="2892"/>
      <c r="AP174" s="2892" t="e">
        <f t="shared" si="49"/>
        <v>#N/A</v>
      </c>
      <c r="AQ174" s="1872"/>
      <c r="AR174" s="2892" t="e">
        <f t="shared" si="50"/>
        <v>#N/A</v>
      </c>
      <c r="AS174" s="1872"/>
      <c r="AT174" s="2892" t="e">
        <f t="shared" si="51"/>
        <v>#N/A</v>
      </c>
      <c r="AU174" s="1872" t="str">
        <f t="shared" si="37"/>
        <v/>
      </c>
      <c r="AV174" s="1872"/>
    </row>
    <row r="175" spans="1:48" ht="12" customHeight="1" x14ac:dyDescent="0.2">
      <c r="A175" s="31"/>
      <c r="B175" s="873" t="str">
        <f t="shared" si="53"/>
        <v>Creativas</v>
      </c>
      <c r="C175" s="3486"/>
      <c r="D175" s="3592"/>
      <c r="E175" s="3590" t="s">
        <v>6375</v>
      </c>
      <c r="F175" s="3591"/>
      <c r="G175" s="3591"/>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888"/>
      <c r="AE175" s="289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5">
        <f>IF(AF$123,IF(OR(Region="",ClaseSocial="",Personalización!$AN$9),0,IF(OR(AND(AI175,AJ175),AND(NOT(AI175),NOT(AJ175))),LEFT(AG175,2)+LEFT(AH175,2),IF(AND(AI175,NOT(AJ175)),LEFT(AH175,2),0))),0)</f>
        <v>0</v>
      </c>
      <c r="AG175" s="2888">
        <f>HLOOKUP(Region&amp;ClaseSocial,Tabla_RaicesCulturales,Tablas!F191,FALSE)</f>
        <v>0</v>
      </c>
      <c r="AH175" s="2897">
        <f>IF(AND(E175="Historia",Personalización!$E$16="Historia (Local)"),20&amp;" "&amp;Personalización!$E$16,IF(E175=Personalización!$E$15,VLOOKUP(E175,Tablas!$L$136:$M$137,2,FALSE),IF(E175=Personalización!$E$16,VLOOKUP(E175,Tablas!$N$136:$O$137,2,FALSE),0)))</f>
        <v>0</v>
      </c>
      <c r="AI175" s="2897" t="b">
        <f t="shared" si="45"/>
        <v>0</v>
      </c>
      <c r="AJ175" s="2897" t="b">
        <f t="shared" si="46"/>
        <v>0</v>
      </c>
      <c r="AK175" s="2897"/>
      <c r="AL175" s="2892" t="e">
        <f t="shared" si="47"/>
        <v>#N/A</v>
      </c>
      <c r="AM175" s="2892"/>
      <c r="AN175" s="2892" t="e">
        <f t="shared" si="48"/>
        <v>#N/A</v>
      </c>
      <c r="AO175" s="2892"/>
      <c r="AP175" s="2892" t="e">
        <f t="shared" si="49"/>
        <v>#N/A</v>
      </c>
      <c r="AQ175" s="1872"/>
      <c r="AR175" s="2892" t="e">
        <f t="shared" si="50"/>
        <v>#N/A</v>
      </c>
      <c r="AS175" s="1872"/>
      <c r="AT175" s="2892" t="e">
        <f t="shared" si="51"/>
        <v>#N/A</v>
      </c>
      <c r="AU175" s="1872" t="str">
        <f t="shared" si="37"/>
        <v/>
      </c>
      <c r="AV175" s="1872"/>
    </row>
    <row r="176" spans="1:48" ht="12" customHeight="1" x14ac:dyDescent="0.2">
      <c r="A176" s="31"/>
      <c r="B176" s="873" t="str">
        <f t="shared" si="53"/>
        <v>Creativas</v>
      </c>
      <c r="C176" s="3486"/>
      <c r="D176" s="3592"/>
      <c r="E176" s="3588" t="s">
        <v>6376</v>
      </c>
      <c r="F176" s="3589"/>
      <c r="G176" s="3589"/>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888"/>
      <c r="AE176" s="289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5">
        <f>IF(AF$123,IF(OR(Region="",ClaseSocial="",Personalización!$AN$9),0,IF(OR(AND(AI176,AJ176),AND(NOT(AI176),NOT(AJ176))),LEFT(AG176,2)+LEFT(AH176,2),IF(AND(AI176,NOT(AJ176)),LEFT(AH176,2),0))),0)</f>
        <v>0</v>
      </c>
      <c r="AG176" s="2888">
        <f>HLOOKUP(Region&amp;ClaseSocial,Tabla_RaicesCulturales,Tablas!F192,FALSE)</f>
        <v>0</v>
      </c>
      <c r="AH176" s="2897">
        <f>IF(AND(E176="Historia",Personalización!$E$16="Historia (Local)"),20&amp;" "&amp;Personalización!$E$16,IF(E176=Personalización!$E$15,VLOOKUP(E176,Tablas!$L$136:$M$137,2,FALSE),IF(E176=Personalización!$E$16,VLOOKUP(E176,Tablas!$N$136:$O$137,2,FALSE),0)))</f>
        <v>0</v>
      </c>
      <c r="AI176" s="2897" t="b">
        <f t="shared" si="45"/>
        <v>0</v>
      </c>
      <c r="AJ176" s="2897" t="b">
        <f t="shared" si="46"/>
        <v>0</v>
      </c>
      <c r="AK176" s="2897"/>
      <c r="AL176" s="2892" t="e">
        <f t="shared" si="47"/>
        <v>#N/A</v>
      </c>
      <c r="AM176" s="2892"/>
      <c r="AN176" s="2892" t="e">
        <f t="shared" si="48"/>
        <v>#N/A</v>
      </c>
      <c r="AO176" s="2892"/>
      <c r="AP176" s="2892" t="e">
        <f t="shared" si="49"/>
        <v>#N/A</v>
      </c>
      <c r="AQ176" s="1872"/>
      <c r="AR176" s="2892" t="e">
        <f t="shared" si="50"/>
        <v>#N/A</v>
      </c>
      <c r="AS176" s="1872"/>
      <c r="AT176" s="2892" t="e">
        <f t="shared" si="51"/>
        <v>#N/A</v>
      </c>
      <c r="AU176" s="1872" t="str">
        <f t="shared" si="37"/>
        <v/>
      </c>
      <c r="AV176" s="1872"/>
    </row>
    <row r="177" spans="1:48" ht="12" customHeight="1" x14ac:dyDescent="0.2">
      <c r="A177" s="31"/>
      <c r="B177" s="873">
        <f>IF(OR(U177="FUE",U177="CON",U177="DES",U177="AGI"),1,IF(OR(U177="INT",U177="POD",U177="VOL",U177="PER"),2,0))</f>
        <v>0</v>
      </c>
      <c r="C177" s="3486"/>
      <c r="D177" s="2669"/>
      <c r="E177" s="3609"/>
      <c r="F177" s="3610"/>
      <c r="G177" s="3610"/>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888"/>
      <c r="AE177" s="2905"/>
      <c r="AF177" s="2905"/>
      <c r="AG177" s="2897"/>
      <c r="AH177" s="2897" t="s">
        <v>1459</v>
      </c>
      <c r="AI177" s="2897"/>
      <c r="AJ177" s="2897"/>
      <c r="AK177" s="2897"/>
      <c r="AL177" s="2892"/>
      <c r="AM177" s="2892"/>
      <c r="AN177" s="2892"/>
      <c r="AO177" s="2892"/>
      <c r="AP177" s="2892"/>
      <c r="AQ177" s="1872"/>
      <c r="AR177" s="1872"/>
      <c r="AS177" s="1872"/>
      <c r="AT177" s="1872"/>
      <c r="AU177" s="1872"/>
      <c r="AV177" s="1872"/>
    </row>
    <row r="178" spans="1:48" ht="12" customHeight="1" x14ac:dyDescent="0.2">
      <c r="A178" s="31"/>
      <c r="B178" s="873">
        <f>IF(OR(U178="FUE",U178="CON",U178="DES",U178="AGI"),1,IF(OR(U178="INT",U178="POD",U178="VOL",U178="PER"),2,0))</f>
        <v>0</v>
      </c>
      <c r="C178" s="3486"/>
      <c r="D178" s="2670"/>
      <c r="E178" s="3611"/>
      <c r="F178" s="3612"/>
      <c r="G178" s="3612"/>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888"/>
      <c r="AE178" s="2897"/>
      <c r="AF178" s="2905"/>
      <c r="AG178" s="2897"/>
      <c r="AH178" s="2897" t="s">
        <v>7284</v>
      </c>
      <c r="AI178" s="2897" t="s">
        <v>1407</v>
      </c>
      <c r="AJ178" s="2897"/>
      <c r="AK178" s="2897"/>
      <c r="AL178" s="2892"/>
      <c r="AM178" s="2892"/>
      <c r="AN178" s="2892"/>
      <c r="AO178" s="2892"/>
      <c r="AP178" s="2892"/>
      <c r="AQ178" s="1872"/>
      <c r="AR178" s="1872"/>
      <c r="AS178" s="1872"/>
      <c r="AT178" s="1872"/>
      <c r="AU178" s="1872"/>
      <c r="AV178" s="1872"/>
    </row>
    <row r="179" spans="1:48" ht="12" customHeight="1" x14ac:dyDescent="0.2">
      <c r="A179" s="10"/>
      <c r="B179" s="873">
        <f>IF(OR(U179="FUE",U179="CON",U179="DES",U179="AGI"),1,IF(OR(U179="INT",U179="POD",U179="VOL",U179="PER"),2,0))</f>
        <v>0</v>
      </c>
      <c r="C179" s="3486"/>
      <c r="D179" s="2671"/>
      <c r="E179" s="3613"/>
      <c r="F179" s="3614"/>
      <c r="G179" s="3614"/>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888"/>
      <c r="AE179" s="2897"/>
      <c r="AF179" s="2905"/>
      <c r="AG179" s="2897"/>
      <c r="AH179" s="2897" t="s">
        <v>7280</v>
      </c>
      <c r="AI179" s="2897" t="s">
        <v>1425</v>
      </c>
      <c r="AJ179" s="2897"/>
      <c r="AK179" s="2897"/>
      <c r="AL179" s="2892"/>
      <c r="AM179" s="2892"/>
      <c r="AN179" s="2892"/>
      <c r="AO179" s="2892"/>
      <c r="AP179" s="2892"/>
      <c r="AQ179" s="1872"/>
      <c r="AR179" s="1872"/>
      <c r="AS179" s="1872"/>
      <c r="AT179" s="1872"/>
      <c r="AU179" s="1872"/>
      <c r="AV179" s="1872"/>
    </row>
    <row r="180" spans="1:48" ht="12" customHeight="1" x14ac:dyDescent="0.2">
      <c r="A180" s="10"/>
      <c r="B180" s="873">
        <f>IF(OR(U180="FUE",U180="CON",U180="DES",U180="AGI"),1,IF(OR(U180="INT",U180="POD",U180="VOL",U180="PER"),2,0))</f>
        <v>0</v>
      </c>
      <c r="C180" s="3486"/>
      <c r="D180" s="2670"/>
      <c r="E180" s="3611"/>
      <c r="F180" s="3612"/>
      <c r="G180" s="3612"/>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888"/>
      <c r="AE180" s="2897"/>
      <c r="AF180" s="2905"/>
      <c r="AG180" s="2897"/>
      <c r="AH180" s="2897" t="s">
        <v>7285</v>
      </c>
      <c r="AI180" s="2897" t="s">
        <v>7267</v>
      </c>
      <c r="AJ180" s="2897"/>
      <c r="AK180" s="2897"/>
      <c r="AL180" s="2892"/>
      <c r="AM180" s="2892"/>
      <c r="AN180" s="2892"/>
      <c r="AO180" s="2892"/>
      <c r="AP180" s="2892"/>
      <c r="AQ180" s="1872"/>
      <c r="AR180" s="1872"/>
      <c r="AS180" s="1872"/>
      <c r="AT180" s="1872"/>
      <c r="AU180" s="1872"/>
      <c r="AV180" s="1872"/>
    </row>
    <row r="181" spans="1:48" ht="12" customHeight="1" x14ac:dyDescent="0.2">
      <c r="A181" s="10"/>
      <c r="B181" s="873">
        <f>IF(OR(U181="FUE",U181="CON",U181="DES",U181="AGI"),1,IF(OR(U181="INT",U181="POD",U181="VOL",U181="PER"),2,0))</f>
        <v>0</v>
      </c>
      <c r="C181" s="3486"/>
      <c r="D181" s="2672"/>
      <c r="E181" s="3634"/>
      <c r="F181" s="3635"/>
      <c r="G181" s="3635"/>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888"/>
      <c r="AE181" s="2897"/>
      <c r="AF181" s="2905"/>
      <c r="AG181" s="2897"/>
      <c r="AH181" s="2897" t="s">
        <v>7281</v>
      </c>
      <c r="AI181" s="2897" t="s">
        <v>1438</v>
      </c>
      <c r="AJ181" s="2897"/>
      <c r="AK181" s="2897"/>
      <c r="AL181" s="2892"/>
      <c r="AM181" s="2892"/>
      <c r="AN181" s="2892"/>
      <c r="AO181" s="2892"/>
      <c r="AP181" s="2892"/>
      <c r="AQ181" s="1872"/>
      <c r="AR181" s="1872"/>
      <c r="AS181" s="1872"/>
      <c r="AT181" s="1872"/>
      <c r="AU181" s="1872"/>
      <c r="AV181" s="1872"/>
    </row>
    <row r="182" spans="1:48" ht="12" customHeight="1" thickBot="1" x14ac:dyDescent="0.25">
      <c r="A182" s="10"/>
      <c r="B182" s="873"/>
      <c r="C182" s="3486"/>
      <c r="D182" s="3981" t="str">
        <f>IF($AF$123,"Raíces culturales ("&amp;IF(General!$I$26&lt;&gt;"",General!$I$26&amp;" ","#Región ")&amp;IF(General!$N$26&lt;&gt;"",General!$N$26,"#Clase social")&amp;") aplicadas:","")</f>
        <v/>
      </c>
      <c r="E182" s="3982"/>
      <c r="F182" s="3982"/>
      <c r="G182" s="3982"/>
      <c r="H182" s="3982"/>
      <c r="I182" s="3982"/>
      <c r="J182" s="3982"/>
      <c r="K182" s="3982"/>
      <c r="L182" s="3982"/>
      <c r="M182" s="3982"/>
      <c r="N182" s="3982"/>
      <c r="O182" s="3982"/>
      <c r="P182" s="3982"/>
      <c r="Q182" s="3982"/>
      <c r="R182" s="3982"/>
      <c r="S182" s="3982"/>
      <c r="T182" s="3980" t="s">
        <v>1544</v>
      </c>
      <c r="U182" s="3980"/>
      <c r="V182" s="3980"/>
      <c r="W182" s="3980"/>
      <c r="X182" s="3980"/>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1872" t="str">
        <f>LEFT(AA182,FIND("+",AA182)-2)</f>
        <v>1</v>
      </c>
      <c r="AE182" s="2897"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05"/>
      <c r="AG182" s="2897"/>
      <c r="AH182" s="2897" t="s">
        <v>1452</v>
      </c>
      <c r="AI182" s="2897" t="s">
        <v>1452</v>
      </c>
      <c r="AJ182" s="2897"/>
      <c r="AK182" s="2897"/>
      <c r="AL182" s="2892"/>
      <c r="AM182" s="2892"/>
      <c r="AN182" s="2892"/>
      <c r="AO182" s="2892"/>
      <c r="AP182" s="2892"/>
      <c r="AQ182" s="1872"/>
      <c r="AR182" s="1872"/>
      <c r="AS182" s="1872"/>
      <c r="AT182" s="1872"/>
      <c r="AU182" s="1872"/>
      <c r="AV182" s="1872"/>
    </row>
    <row r="183" spans="1:48" ht="12" customHeight="1" x14ac:dyDescent="0.2">
      <c r="A183" s="10"/>
      <c r="B183" s="873"/>
      <c r="C183" s="3486"/>
      <c r="D183" s="3628" t="str">
        <f>IF(AE182="","",LEFT(AE182,LEN(AE182)-2))</f>
        <v/>
      </c>
      <c r="E183" s="3629"/>
      <c r="F183" s="3629"/>
      <c r="G183" s="3629"/>
      <c r="H183" s="3629"/>
      <c r="I183" s="3629"/>
      <c r="J183" s="3629"/>
      <c r="K183" s="3629"/>
      <c r="L183" s="3629"/>
      <c r="M183" s="3629"/>
      <c r="N183" s="3629"/>
      <c r="O183" s="3629"/>
      <c r="P183" s="3629"/>
      <c r="Q183" s="3629"/>
      <c r="R183" s="3629"/>
      <c r="S183" s="3629"/>
      <c r="T183" s="3939" t="s">
        <v>1546</v>
      </c>
      <c r="U183" s="3939"/>
      <c r="V183" s="3939"/>
      <c r="W183" s="3939"/>
      <c r="X183" s="3939"/>
      <c r="Y183" s="82">
        <f>SUM($X126:$X181)</f>
        <v>0</v>
      </c>
      <c r="Z183" s="81" t="s">
        <v>1545</v>
      </c>
      <c r="AA183" s="530">
        <f>IF(Nivel_Total=0,5,Nivel_Total*5)</f>
        <v>5</v>
      </c>
      <c r="AB183" s="1875" t="str">
        <f>RIGHT(Y182,LEN(Y182)-FIND("+",Y182)-1)</f>
        <v>0</v>
      </c>
      <c r="AC183" s="899"/>
      <c r="AD183" s="1872" t="str">
        <f>RIGHT(AA182,LEN(AA182)-FIND("+",AA182)-1)</f>
        <v>1</v>
      </c>
      <c r="AE183" s="2897"/>
      <c r="AF183" s="2905"/>
      <c r="AG183" s="2897"/>
      <c r="AH183" s="2897" t="s">
        <v>7282</v>
      </c>
      <c r="AI183" s="2897" t="s">
        <v>1460</v>
      </c>
      <c r="AJ183" s="2897"/>
      <c r="AK183" s="2897"/>
      <c r="AL183" s="2892"/>
      <c r="AM183" s="2892"/>
      <c r="AN183" s="2892"/>
      <c r="AO183" s="2892"/>
      <c r="AP183" s="2892"/>
      <c r="AQ183" s="1872"/>
      <c r="AR183" s="1872"/>
      <c r="AS183" s="1872"/>
      <c r="AT183" s="1872"/>
      <c r="AU183" s="1872"/>
      <c r="AV183" s="1872"/>
    </row>
    <row r="184" spans="1:48" ht="12" customHeight="1" x14ac:dyDescent="0.2">
      <c r="A184" s="10"/>
      <c r="B184" s="873"/>
      <c r="C184" s="3486"/>
      <c r="D184" s="3630"/>
      <c r="E184" s="3631"/>
      <c r="F184" s="3631"/>
      <c r="G184" s="3631"/>
      <c r="H184" s="3631"/>
      <c r="I184" s="3631"/>
      <c r="J184" s="3631"/>
      <c r="K184" s="3631"/>
      <c r="L184" s="3631"/>
      <c r="M184" s="3631"/>
      <c r="N184" s="3631"/>
      <c r="O184" s="3631"/>
      <c r="P184" s="3631"/>
      <c r="Q184" s="3631"/>
      <c r="R184" s="3631"/>
      <c r="S184" s="3631"/>
      <c r="T184" s="3977" t="s">
        <v>1547</v>
      </c>
      <c r="U184" s="3977"/>
      <c r="V184" s="3977"/>
      <c r="W184" s="3977"/>
      <c r="X184" s="3977"/>
      <c r="Y184" s="83">
        <f>SUM($Y126:$Y181)</f>
        <v>0</v>
      </c>
      <c r="Z184" s="84" t="s">
        <v>1545</v>
      </c>
      <c r="AA184" s="531">
        <f>SUM(AF6:AF10)</f>
        <v>0</v>
      </c>
      <c r="AB184" s="1881"/>
      <c r="AC184" s="899"/>
      <c r="AD184" s="2888"/>
      <c r="AE184" s="2897"/>
      <c r="AF184" s="2905"/>
      <c r="AG184" s="2897"/>
      <c r="AH184" s="2897" t="s">
        <v>7283</v>
      </c>
      <c r="AI184" s="2897" t="s">
        <v>1473</v>
      </c>
      <c r="AJ184" s="2897"/>
      <c r="AK184" s="2897"/>
      <c r="AL184" s="2892"/>
      <c r="AM184" s="2892"/>
      <c r="AN184" s="2892"/>
      <c r="AO184" s="2892"/>
      <c r="AP184" s="2892"/>
      <c r="AQ184" s="1872"/>
      <c r="AR184" s="1872"/>
      <c r="AS184" s="1872"/>
      <c r="AT184" s="1872"/>
      <c r="AU184" s="1872"/>
      <c r="AV184" s="1872"/>
    </row>
    <row r="185" spans="1:48" ht="12" customHeight="1" x14ac:dyDescent="0.2">
      <c r="A185" s="10"/>
      <c r="B185" s="873"/>
      <c r="C185" s="3486"/>
      <c r="D185" s="3626" t="s">
        <v>1548</v>
      </c>
      <c r="E185" s="3597" t="str">
        <f>IF(Acumulacion="Si","Múltiplos de Acumulación","Múltiplos de Vida")</f>
        <v>Múltiplos de Vida</v>
      </c>
      <c r="F185" s="3598"/>
      <c r="G185" s="3598"/>
      <c r="H185" s="3598"/>
      <c r="I185" s="3599"/>
      <c r="J185" s="3605">
        <f>IF(Acumulacion="Si","X",IF(Categoría_1=0,0,VLOOKUP(Categoría_1,Tabla_Categorías,4,FALSE)))</f>
        <v>0</v>
      </c>
      <c r="K185" s="3607"/>
      <c r="L185" s="3605">
        <f>IF(Acumulacion="Si","X",IF(Categoría_2=0,0,VLOOKUP(Categoría_2,Tabla_Categorías,4,FALSE)))</f>
        <v>0</v>
      </c>
      <c r="M185" s="3607"/>
      <c r="N185" s="3605">
        <f>IF(Acumulacion="Si","X",IF(Categoría_3=0,0,VLOOKUP(Categoría_3,Tabla_Categorías,4,FALSE)))</f>
        <v>0</v>
      </c>
      <c r="O185" s="3607"/>
      <c r="P185" s="3605">
        <f>IF(Acumulacion="Si","X",IF(Categoría_4=0,0,VLOOKUP(Categoría_4,Tabla_Categorías,4,FALSE)))</f>
        <v>0</v>
      </c>
      <c r="Q185" s="3607"/>
      <c r="R185" s="3605">
        <f>IF(Acumulacion="Si","X",IF(Categoría_5=0,0,VLOOKUP(Categoría_5,Tabla_Categorías,4,FALSE)))</f>
        <v>0</v>
      </c>
      <c r="S185" s="3607"/>
      <c r="T185" s="3657">
        <f>IF(Acumulacion="Si",IF(Tablas!$S$1710&gt;0,Tablas!$S$1710,VLOOKUP(Tamaño,Tabla_CreaciónSeres,5)),IF(J185=0,0,TRUNC((K185/J185),0))+IF(L185=0,0,TRUNC((M185/L185),0))+IF(N185=0,0,TRUNC((O185/N185),0))+IF(P185=0,0,TRUNC((Q185/P185),0))+IF(R185=0,0,TRUNC((S185/R185),0)))</f>
        <v>0</v>
      </c>
      <c r="U185" s="3615">
        <f>20+CON*10+Bono_Con</f>
        <v>20</v>
      </c>
      <c r="V185" s="3615">
        <f>(HLOOKUP("PV",Bonos_Cat_Base,2,FALSE)+(10*Tablas!$G$357+20*Tablas!$G$358+30*Tablas!$G$359)*Nivel_Total)*IF(Acumulacion="Si",IF(Tablas!$S$1710&gt;0,Tablas!$S$1710,VLOOKUP(Tamaño,Tabla_CreaciónSeres,5)),1)</f>
        <v>0</v>
      </c>
      <c r="W185" s="3603">
        <f>IF(Acumulacion="Si",T185*(K185+M185+O185+Q185+S185),T185*CON)</f>
        <v>0</v>
      </c>
      <c r="X185" s="3649"/>
      <c r="Y185" s="3650"/>
      <c r="Z185" s="3653">
        <f>U185+W185+V185+X185</f>
        <v>20</v>
      </c>
      <c r="AA185" s="3654"/>
      <c r="AB185" s="1875"/>
      <c r="AC185" s="899"/>
      <c r="AD185" s="2888"/>
      <c r="AE185" s="2897"/>
      <c r="AF185" s="2905"/>
      <c r="AG185" s="2897"/>
      <c r="AH185" s="2897"/>
      <c r="AI185" s="2897"/>
      <c r="AJ185" s="2897"/>
      <c r="AK185" s="2897"/>
      <c r="AL185" s="2892"/>
      <c r="AM185" s="2892"/>
      <c r="AN185" s="2892"/>
      <c r="AO185" s="2892"/>
      <c r="AP185" s="2892"/>
      <c r="AQ185" s="1872"/>
      <c r="AR185" s="1872"/>
      <c r="AS185" s="1872"/>
      <c r="AT185" s="1872"/>
      <c r="AU185" s="1872"/>
      <c r="AV185" s="1872"/>
    </row>
    <row r="186" spans="1:48" ht="12" customHeight="1" thickBot="1" x14ac:dyDescent="0.25">
      <c r="A186" s="10"/>
      <c r="B186" s="873"/>
      <c r="C186" s="3486"/>
      <c r="D186" s="3627"/>
      <c r="E186" s="3600"/>
      <c r="F186" s="3601"/>
      <c r="G186" s="3601"/>
      <c r="H186" s="3601"/>
      <c r="I186" s="3602"/>
      <c r="J186" s="3606"/>
      <c r="K186" s="3608"/>
      <c r="L186" s="3606"/>
      <c r="M186" s="3608"/>
      <c r="N186" s="3606"/>
      <c r="O186" s="3608"/>
      <c r="P186" s="3606"/>
      <c r="Q186" s="3608"/>
      <c r="R186" s="3606"/>
      <c r="S186" s="3608"/>
      <c r="T186" s="3600"/>
      <c r="U186" s="3601"/>
      <c r="V186" s="3601"/>
      <c r="W186" s="3604"/>
      <c r="X186" s="3651"/>
      <c r="Y186" s="3652"/>
      <c r="Z186" s="3655"/>
      <c r="AA186" s="3656"/>
      <c r="AB186" s="1882"/>
      <c r="AC186" s="899"/>
      <c r="AD186" s="2888"/>
      <c r="AE186" s="2897"/>
      <c r="AF186" s="2905"/>
      <c r="AG186" s="2897"/>
      <c r="AH186" s="2897"/>
      <c r="AI186" s="2897"/>
      <c r="AJ186" s="2897"/>
      <c r="AK186" s="2897"/>
      <c r="AL186" s="2892"/>
      <c r="AM186" s="2892"/>
      <c r="AN186" s="2892"/>
      <c r="AO186" s="2892"/>
      <c r="AP186" s="2892"/>
      <c r="AQ186" s="1872"/>
      <c r="AR186" s="1872"/>
      <c r="AS186" s="1872"/>
      <c r="AT186" s="1872"/>
      <c r="AU186" s="1872"/>
      <c r="AV186" s="1872"/>
    </row>
    <row r="187" spans="1:48" ht="12" customHeight="1" x14ac:dyDescent="0.2">
      <c r="A187" s="10"/>
      <c r="B187" s="984"/>
      <c r="C187" s="3486"/>
      <c r="D187" s="3621" t="s">
        <v>10221</v>
      </c>
      <c r="E187" s="3621"/>
      <c r="F187" s="3621"/>
      <c r="G187" s="3621"/>
      <c r="H187" s="3621"/>
      <c r="I187" s="3622"/>
      <c r="J187" s="3616">
        <f>$T$5</f>
        <v>400</v>
      </c>
      <c r="K187" s="3618">
        <f>K185+SUM(K126:K181)</f>
        <v>0</v>
      </c>
      <c r="L187" s="3616">
        <f>$T$7</f>
        <v>0</v>
      </c>
      <c r="M187" s="3618">
        <f>(M185+SUM(M126:M181))*IF(Categoría_2=0,0,1)</f>
        <v>0</v>
      </c>
      <c r="N187" s="3616">
        <f>$T$9</f>
        <v>0</v>
      </c>
      <c r="O187" s="3618">
        <f>(O185+SUM(O126:O181))*IF(Categoría_4=0,0,1)</f>
        <v>0</v>
      </c>
      <c r="P187" s="3616">
        <f>$T$11</f>
        <v>0</v>
      </c>
      <c r="Q187" s="3618">
        <f>(Q185+SUM(Q126:Q181))*IF(Categoría_4=0,0,1)</f>
        <v>0</v>
      </c>
      <c r="R187" s="3616">
        <f>$T$13</f>
        <v>0</v>
      </c>
      <c r="S187" s="3618">
        <f>(S185+SUM(S126:S181))*IF(Categoría_5=0,0,1)</f>
        <v>0</v>
      </c>
      <c r="T187" s="3643"/>
      <c r="U187" s="3644"/>
      <c r="V187" s="3644"/>
      <c r="W187" s="3644"/>
      <c r="X187" s="3644"/>
      <c r="Y187" s="3644"/>
      <c r="Z187" s="3644"/>
      <c r="AA187" s="3645"/>
      <c r="AB187" s="1875"/>
      <c r="AC187" s="899"/>
      <c r="AD187" s="2888"/>
      <c r="AE187" s="2897"/>
      <c r="AF187" s="2905"/>
      <c r="AG187" s="2897"/>
      <c r="AH187" s="2897"/>
      <c r="AI187" s="2897"/>
      <c r="AJ187" s="2897"/>
      <c r="AK187" s="2897"/>
      <c r="AL187" s="2892"/>
      <c r="AM187" s="2892"/>
      <c r="AN187" s="2892"/>
      <c r="AO187" s="2892"/>
      <c r="AP187" s="2892"/>
      <c r="AQ187" s="1872"/>
      <c r="AR187" s="1872"/>
      <c r="AS187" s="1872"/>
      <c r="AT187" s="1872"/>
      <c r="AU187" s="1872"/>
      <c r="AV187" s="1872"/>
    </row>
    <row r="188" spans="1:48" ht="12" customHeight="1" thickBot="1" x14ac:dyDescent="0.25">
      <c r="A188" s="10"/>
      <c r="B188" s="984"/>
      <c r="C188" s="3487"/>
      <c r="D188" s="3624"/>
      <c r="E188" s="3624"/>
      <c r="F188" s="3624"/>
      <c r="G188" s="3624"/>
      <c r="H188" s="3624"/>
      <c r="I188" s="3625"/>
      <c r="J188" s="3617"/>
      <c r="K188" s="3619"/>
      <c r="L188" s="3617"/>
      <c r="M188" s="3619"/>
      <c r="N188" s="3617"/>
      <c r="O188" s="3619"/>
      <c r="P188" s="3617"/>
      <c r="Q188" s="3619"/>
      <c r="R188" s="3617"/>
      <c r="S188" s="3619"/>
      <c r="T188" s="3646"/>
      <c r="U188" s="3647"/>
      <c r="V188" s="3647"/>
      <c r="W188" s="3647"/>
      <c r="X188" s="3647"/>
      <c r="Y188" s="3647"/>
      <c r="Z188" s="3647"/>
      <c r="AA188" s="3648"/>
      <c r="AB188" s="1875"/>
      <c r="AC188" s="899"/>
      <c r="AD188" s="2888"/>
      <c r="AE188" s="2897"/>
      <c r="AF188" s="2905"/>
      <c r="AG188" s="2897"/>
      <c r="AH188" s="2897"/>
      <c r="AI188" s="2897"/>
      <c r="AJ188" s="2897"/>
      <c r="AK188" s="2897"/>
      <c r="AL188" s="2892"/>
      <c r="AM188" s="2892"/>
      <c r="AN188" s="2892"/>
      <c r="AO188" s="2892"/>
      <c r="AP188" s="2892"/>
      <c r="AQ188" s="1872"/>
      <c r="AR188" s="1872"/>
      <c r="AS188" s="1872"/>
      <c r="AT188" s="1872"/>
      <c r="AU188" s="1872"/>
      <c r="AV188" s="1872"/>
    </row>
    <row r="189" spans="1:48" ht="12" customHeight="1" x14ac:dyDescent="0.2">
      <c r="A189" s="10"/>
      <c r="B189" s="984"/>
      <c r="AB189" s="1875"/>
      <c r="AC189" s="899"/>
      <c r="AD189" s="2888"/>
      <c r="AE189" s="2897"/>
      <c r="AF189" s="2905"/>
      <c r="AG189" s="2897"/>
      <c r="AH189" s="2897"/>
      <c r="AI189" s="2897"/>
      <c r="AJ189" s="2897"/>
      <c r="AK189" s="2897"/>
      <c r="AL189" s="2892"/>
      <c r="AM189" s="2892"/>
      <c r="AN189" s="2892"/>
      <c r="AO189" s="2892"/>
      <c r="AP189" s="2892"/>
      <c r="AQ189" s="1872"/>
      <c r="AR189" s="1872"/>
      <c r="AS189" s="1872"/>
      <c r="AT189" s="1872"/>
      <c r="AU189" s="1872"/>
      <c r="AV189" s="1872"/>
    </row>
    <row r="190" spans="1:48" ht="12" customHeight="1" thickBot="1" x14ac:dyDescent="0.25">
      <c r="A190" s="10"/>
      <c r="B190" s="873"/>
      <c r="AB190" s="1875"/>
      <c r="AC190" s="899"/>
      <c r="AD190" s="2888"/>
      <c r="AE190" s="2897"/>
      <c r="AF190" s="2905"/>
      <c r="AG190" s="2897"/>
      <c r="AH190" s="2897"/>
      <c r="AI190" s="2897"/>
      <c r="AJ190" s="2897"/>
      <c r="AK190" s="2897"/>
      <c r="AL190" s="2892"/>
      <c r="AM190" s="2892"/>
      <c r="AN190" s="2892"/>
      <c r="AO190" s="2892"/>
      <c r="AP190" s="2892"/>
      <c r="AQ190" s="1872"/>
      <c r="AR190" s="1872"/>
      <c r="AS190" s="1872"/>
      <c r="AT190" s="1872"/>
      <c r="AU190" s="1872"/>
      <c r="AV190" s="1872"/>
    </row>
    <row r="191" spans="1:48" ht="12" customHeight="1" x14ac:dyDescent="0.2">
      <c r="A191" s="10"/>
      <c r="B191" s="873"/>
      <c r="C191" s="3620" t="s">
        <v>1549</v>
      </c>
      <c r="D191" s="3621"/>
      <c r="E191" s="3621"/>
      <c r="F191" s="3621"/>
      <c r="G191" s="3621"/>
      <c r="H191" s="3621"/>
      <c r="I191" s="3622"/>
      <c r="J191" s="3616">
        <f>$T$5</f>
        <v>400</v>
      </c>
      <c r="K191" s="3618">
        <f>M83+M101+M117+K187+Z7+W18</f>
        <v>0</v>
      </c>
      <c r="L191" s="3616">
        <f>$T$7</f>
        <v>0</v>
      </c>
      <c r="M191" s="3636">
        <f>IF(Categoría_2="",0,O83+O101+O117+M187-M83-M101-M117+AA7+Z9+X18)</f>
        <v>0</v>
      </c>
      <c r="N191" s="3616">
        <f>$T$9</f>
        <v>0</v>
      </c>
      <c r="O191" s="3636">
        <f>IF(Categoría_3="",0,Q83+Q101+Q117+O187-O83-O101-O117+AA9+Z11+Y18)</f>
        <v>0</v>
      </c>
      <c r="P191" s="3616">
        <f>$T$11</f>
        <v>0</v>
      </c>
      <c r="Q191" s="3636">
        <f>IF(Categoría_4="",0,S83+S101+S117+Q187-Q83-Q101-Q117+AA11+Z13+Z18)</f>
        <v>0</v>
      </c>
      <c r="R191" s="3616">
        <f>$T$13</f>
        <v>0</v>
      </c>
      <c r="S191" s="3641">
        <f>IF(Categoría_4="",0,U83+U101+U117+S187-S83-S101-S117+AA13+AA18)</f>
        <v>0</v>
      </c>
      <c r="T191" s="3643" t="str">
        <f>IF(AA191&gt;Z191,"Exceso de PDs gastados",IF(OR(K191&gt;J191,M191&gt;L191,O191&gt;N191,Q191&gt;P191,S191&gt;R191),"Límite por Categoría excedido",""))</f>
        <v/>
      </c>
      <c r="U191" s="3644"/>
      <c r="V191" s="3644"/>
      <c r="W191" s="3645"/>
      <c r="X191" s="3637" t="s">
        <v>3218</v>
      </c>
      <c r="Y191" s="3638"/>
      <c r="Z191" s="3919">
        <f>J191+L191+N191+P191+R191</f>
        <v>400</v>
      </c>
      <c r="AA191" s="3921">
        <f>K191+M191+O191+Q191+S191</f>
        <v>0</v>
      </c>
      <c r="AB191" s="1875"/>
      <c r="AC191" s="899"/>
      <c r="AD191" s="2888"/>
      <c r="AE191" s="2897"/>
      <c r="AF191" s="2905"/>
      <c r="AG191" s="2897"/>
      <c r="AH191" s="2897"/>
      <c r="AI191" s="2897"/>
      <c r="AJ191" s="2897"/>
      <c r="AK191" s="2897"/>
      <c r="AL191" s="2892"/>
      <c r="AM191" s="2892"/>
      <c r="AN191" s="2892"/>
      <c r="AO191" s="2892"/>
      <c r="AP191" s="2892"/>
      <c r="AQ191" s="1872"/>
      <c r="AR191" s="1872"/>
      <c r="AS191" s="1872"/>
      <c r="AT191" s="1872"/>
      <c r="AU191" s="1872"/>
      <c r="AV191" s="1872"/>
    </row>
    <row r="192" spans="1:48" ht="12" customHeight="1" thickBot="1" x14ac:dyDescent="0.25">
      <c r="A192" s="10"/>
      <c r="B192" s="873"/>
      <c r="C192" s="3623"/>
      <c r="D192" s="3624"/>
      <c r="E192" s="3624"/>
      <c r="F192" s="3624"/>
      <c r="G192" s="3624"/>
      <c r="H192" s="3624"/>
      <c r="I192" s="3625"/>
      <c r="J192" s="3617"/>
      <c r="K192" s="3619"/>
      <c r="L192" s="3617"/>
      <c r="M192" s="3619"/>
      <c r="N192" s="3617"/>
      <c r="O192" s="3619"/>
      <c r="P192" s="3617"/>
      <c r="Q192" s="3619"/>
      <c r="R192" s="3617"/>
      <c r="S192" s="3642"/>
      <c r="T192" s="3646"/>
      <c r="U192" s="3647"/>
      <c r="V192" s="3647"/>
      <c r="W192" s="3648"/>
      <c r="X192" s="3639"/>
      <c r="Y192" s="3640"/>
      <c r="Z192" s="3920"/>
      <c r="AA192" s="3922"/>
      <c r="AB192" s="1875"/>
      <c r="AC192" s="899"/>
      <c r="AD192" s="2888"/>
      <c r="AE192" s="2897"/>
      <c r="AF192" s="2905"/>
      <c r="AG192" s="2897"/>
      <c r="AH192" s="2897"/>
      <c r="AI192" s="2897"/>
      <c r="AJ192" s="2897"/>
      <c r="AK192" s="2897"/>
      <c r="AL192" s="2892"/>
      <c r="AM192" s="2892"/>
      <c r="AN192" s="2892"/>
      <c r="AO192" s="2892"/>
      <c r="AP192" s="2892"/>
      <c r="AQ192" s="1872"/>
      <c r="AR192" s="1872"/>
      <c r="AS192" s="1872"/>
      <c r="AT192" s="1872"/>
      <c r="AU192" s="1872"/>
      <c r="AV192" s="1872"/>
    </row>
    <row r="193" spans="1:48" ht="12" customHeight="1" thickBot="1" x14ac:dyDescent="0.25">
      <c r="A193" s="31"/>
      <c r="B193" s="873"/>
      <c r="AB193" s="1875"/>
      <c r="AC193" s="899"/>
      <c r="AD193" s="2888"/>
      <c r="AE193" s="2897"/>
      <c r="AF193" s="2905"/>
      <c r="AG193" s="2897"/>
      <c r="AH193" s="2897"/>
      <c r="AI193" s="2897"/>
      <c r="AJ193" s="2897"/>
      <c r="AK193" s="2897"/>
      <c r="AL193" s="2892"/>
      <c r="AM193" s="2892"/>
      <c r="AN193" s="2892"/>
      <c r="AO193" s="2892"/>
      <c r="AP193" s="2892"/>
      <c r="AQ193" s="1872"/>
      <c r="AR193" s="1872"/>
      <c r="AS193" s="1872"/>
      <c r="AT193" s="1872"/>
      <c r="AU193" s="1872"/>
      <c r="AV193" s="1872"/>
    </row>
    <row r="194" spans="1:48" ht="12" customHeight="1" x14ac:dyDescent="0.2">
      <c r="A194" s="31"/>
      <c r="B194" s="873"/>
      <c r="C194" s="3950" t="s">
        <v>9823</v>
      </c>
      <c r="D194" s="3953"/>
      <c r="E194" s="3954"/>
      <c r="F194" s="3954"/>
      <c r="G194" s="3954"/>
      <c r="H194" s="3954"/>
      <c r="I194" s="3954"/>
      <c r="J194" s="3954"/>
      <c r="K194" s="3954"/>
      <c r="L194" s="3954"/>
      <c r="M194" s="3954"/>
      <c r="N194" s="3954"/>
      <c r="O194" s="3954"/>
      <c r="P194" s="3954"/>
      <c r="Q194" s="3954"/>
      <c r="R194" s="3954"/>
      <c r="S194" s="3954"/>
      <c r="T194" s="3954"/>
      <c r="U194" s="3954"/>
      <c r="V194" s="3954"/>
      <c r="W194" s="3954"/>
      <c r="X194" s="3954"/>
      <c r="Y194" s="3954"/>
      <c r="Z194" s="3954"/>
      <c r="AA194" s="3955"/>
      <c r="AB194" s="1875"/>
      <c r="AC194" s="899"/>
      <c r="AD194" s="2888"/>
      <c r="AE194" s="2897"/>
      <c r="AF194" s="2905"/>
      <c r="AG194" s="2897"/>
      <c r="AH194" s="2897"/>
      <c r="AI194" s="2897"/>
      <c r="AJ194" s="2897"/>
      <c r="AK194" s="2897"/>
      <c r="AL194" s="2892"/>
      <c r="AM194" s="2892"/>
      <c r="AN194" s="2892"/>
      <c r="AO194" s="2892"/>
      <c r="AP194" s="2892"/>
      <c r="AQ194" s="1872"/>
      <c r="AR194" s="1872"/>
      <c r="AS194" s="1872"/>
      <c r="AT194" s="1872"/>
      <c r="AU194" s="1872"/>
      <c r="AV194" s="1872"/>
    </row>
    <row r="195" spans="1:48" ht="12" customHeight="1" x14ac:dyDescent="0.2">
      <c r="A195" s="31"/>
      <c r="B195" s="873"/>
      <c r="C195" s="3951"/>
      <c r="D195" s="3956"/>
      <c r="E195" s="3514"/>
      <c r="F195" s="3514"/>
      <c r="G195" s="3514"/>
      <c r="H195" s="3514"/>
      <c r="I195" s="3514"/>
      <c r="J195" s="3514"/>
      <c r="K195" s="3514"/>
      <c r="L195" s="3514"/>
      <c r="M195" s="3514"/>
      <c r="N195" s="3514"/>
      <c r="O195" s="3514"/>
      <c r="P195" s="3514"/>
      <c r="Q195" s="3514"/>
      <c r="R195" s="3514"/>
      <c r="S195" s="3514"/>
      <c r="T195" s="3514"/>
      <c r="U195" s="3514"/>
      <c r="V195" s="3514"/>
      <c r="W195" s="3514"/>
      <c r="X195" s="3514"/>
      <c r="Y195" s="3514"/>
      <c r="Z195" s="3514"/>
      <c r="AA195" s="3957"/>
      <c r="AB195" s="1875"/>
      <c r="AC195" s="899"/>
      <c r="AD195" s="2888"/>
      <c r="AE195" s="2897"/>
      <c r="AF195" s="2905"/>
      <c r="AG195" s="2897"/>
      <c r="AH195" s="2897"/>
      <c r="AI195" s="2897"/>
      <c r="AJ195" s="2897"/>
      <c r="AK195" s="2897"/>
      <c r="AL195" s="2892"/>
      <c r="AM195" s="2892"/>
      <c r="AN195" s="2892"/>
      <c r="AO195" s="2892"/>
      <c r="AP195" s="2892"/>
      <c r="AQ195" s="1872"/>
      <c r="AR195" s="1872"/>
      <c r="AS195" s="1872"/>
      <c r="AT195" s="1872"/>
      <c r="AU195" s="1872"/>
      <c r="AV195" s="1872"/>
    </row>
    <row r="196" spans="1:48" ht="12" customHeight="1" x14ac:dyDescent="0.2">
      <c r="A196" s="31"/>
      <c r="B196" s="873"/>
      <c r="C196" s="3951"/>
      <c r="D196" s="3956"/>
      <c r="E196" s="3514"/>
      <c r="F196" s="3514"/>
      <c r="G196" s="3514"/>
      <c r="H196" s="3514"/>
      <c r="I196" s="3514"/>
      <c r="J196" s="3514"/>
      <c r="K196" s="3514"/>
      <c r="L196" s="3514"/>
      <c r="M196" s="3514"/>
      <c r="N196" s="3514"/>
      <c r="O196" s="3514"/>
      <c r="P196" s="3514"/>
      <c r="Q196" s="3514"/>
      <c r="R196" s="3514"/>
      <c r="S196" s="3514"/>
      <c r="T196" s="3514"/>
      <c r="U196" s="3514"/>
      <c r="V196" s="3514"/>
      <c r="W196" s="3514"/>
      <c r="X196" s="3514"/>
      <c r="Y196" s="3514"/>
      <c r="Z196" s="3514"/>
      <c r="AA196" s="3957"/>
      <c r="AB196" s="1875"/>
      <c r="AC196" s="899"/>
      <c r="AD196" s="2888"/>
      <c r="AE196" s="2897"/>
      <c r="AF196" s="2905"/>
      <c r="AG196" s="2897"/>
      <c r="AH196" s="2897"/>
      <c r="AI196" s="2897"/>
      <c r="AJ196" s="2897"/>
      <c r="AK196" s="2897"/>
      <c r="AL196" s="2892"/>
      <c r="AM196" s="2892"/>
      <c r="AN196" s="2892"/>
      <c r="AO196" s="2892"/>
      <c r="AP196" s="2892"/>
      <c r="AQ196" s="1872"/>
      <c r="AR196" s="1872"/>
      <c r="AS196" s="1872"/>
      <c r="AT196" s="1872"/>
      <c r="AU196" s="1872"/>
      <c r="AV196" s="1872"/>
    </row>
    <row r="197" spans="1:48" ht="12" customHeight="1" thickBot="1" x14ac:dyDescent="0.25">
      <c r="A197" s="31"/>
      <c r="B197" s="873"/>
      <c r="C197" s="3952"/>
      <c r="D197" s="3958"/>
      <c r="E197" s="3959"/>
      <c r="F197" s="3959"/>
      <c r="G197" s="3959"/>
      <c r="H197" s="3959"/>
      <c r="I197" s="3959"/>
      <c r="J197" s="3959"/>
      <c r="K197" s="3959"/>
      <c r="L197" s="3959"/>
      <c r="M197" s="3959"/>
      <c r="N197" s="3959"/>
      <c r="O197" s="3959"/>
      <c r="P197" s="3959"/>
      <c r="Q197" s="3959"/>
      <c r="R197" s="3959"/>
      <c r="S197" s="3959"/>
      <c r="T197" s="3959"/>
      <c r="U197" s="3959"/>
      <c r="V197" s="3959"/>
      <c r="W197" s="3959"/>
      <c r="X197" s="3959"/>
      <c r="Y197" s="3959"/>
      <c r="Z197" s="3959"/>
      <c r="AA197" s="3960"/>
      <c r="AB197" s="1875"/>
      <c r="AC197" s="899"/>
      <c r="AD197" s="2888"/>
      <c r="AE197" s="2897"/>
      <c r="AF197" s="2905"/>
      <c r="AG197" s="2897"/>
      <c r="AH197" s="2897"/>
      <c r="AI197" s="2897"/>
      <c r="AJ197" s="2897"/>
      <c r="AK197" s="2897"/>
      <c r="AL197" s="2892"/>
      <c r="AM197" s="2892"/>
      <c r="AN197" s="2892"/>
      <c r="AO197" s="2892"/>
      <c r="AP197" s="2892"/>
      <c r="AQ197" s="1872"/>
      <c r="AR197" s="1872"/>
      <c r="AS197" s="1872"/>
      <c r="AT197" s="1872"/>
      <c r="AU197" s="1872"/>
      <c r="AV197" s="1872"/>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888"/>
      <c r="AE198" s="2897"/>
      <c r="AF198" s="2905"/>
      <c r="AG198" s="2897"/>
      <c r="AH198" s="2897"/>
      <c r="AI198" s="2897"/>
      <c r="AJ198" s="2897"/>
      <c r="AK198" s="2897"/>
      <c r="AL198" s="2892"/>
      <c r="AM198" s="2892"/>
      <c r="AN198" s="2892"/>
      <c r="AO198" s="2892"/>
      <c r="AP198" s="2892"/>
      <c r="AQ198" s="1872"/>
      <c r="AR198" s="1872"/>
      <c r="AS198" s="1872"/>
      <c r="AT198" s="1872"/>
      <c r="AU198" s="1872"/>
      <c r="AV198" s="1872"/>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888"/>
      <c r="AE199" s="2897"/>
      <c r="AF199" s="2905"/>
      <c r="AG199" s="2897"/>
      <c r="AH199" s="2897"/>
      <c r="AI199" s="2897"/>
      <c r="AJ199" s="2897"/>
      <c r="AK199" s="2897"/>
      <c r="AL199" s="2892"/>
      <c r="AM199" s="2892"/>
      <c r="AN199" s="2892"/>
      <c r="AO199" s="2892"/>
      <c r="AP199" s="2892"/>
      <c r="AQ199" s="1872"/>
      <c r="AR199" s="1872"/>
      <c r="AS199" s="1872"/>
      <c r="AT199" s="1872"/>
      <c r="AU199" s="1872"/>
      <c r="AV199" s="1872"/>
    </row>
  </sheetData>
  <sheetProtection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338" priority="597" stopIfTrue="1" operator="equal">
      <formula>"Tabla de Esquiva con Escudo"</formula>
    </cfRule>
  </conditionalFormatting>
  <conditionalFormatting sqref="K191">
    <cfRule type="cellIs" dxfId="1337" priority="598" stopIfTrue="1" operator="greaterThan">
      <formula>$J$191</formula>
    </cfRule>
  </conditionalFormatting>
  <conditionalFormatting sqref="Y184">
    <cfRule type="cellIs" dxfId="1336" priority="599" stopIfTrue="1" operator="notEqual">
      <formula>$AA$184</formula>
    </cfRule>
  </conditionalFormatting>
  <conditionalFormatting sqref="Y183">
    <cfRule type="cellIs" dxfId="1335" priority="600" stopIfTrue="1" operator="notEqual">
      <formula>$AA$183</formula>
    </cfRule>
  </conditionalFormatting>
  <conditionalFormatting sqref="Y182">
    <cfRule type="expression" dxfId="1334" priority="182" stopIfTrue="1">
      <formula>OR($AB$182&gt;$AD$182,$AB$183&gt;$AD$183)</formula>
    </cfRule>
    <cfRule type="expression" dxfId="1333" priority="601">
      <formula>OR($AB$182&lt;$AD$182,$AB$183&lt;$AD$183)</formula>
    </cfRule>
  </conditionalFormatting>
  <conditionalFormatting sqref="Y126:Y181">
    <cfRule type="cellIs" dxfId="1332" priority="602" stopIfTrue="1" operator="greaterThan">
      <formula>$AA$184/5</formula>
    </cfRule>
  </conditionalFormatting>
  <conditionalFormatting sqref="P7 P9 P11 P13">
    <cfRule type="expression" dxfId="1331" priority="648" stopIfTrue="1">
      <formula>$P$5=0</formula>
    </cfRule>
  </conditionalFormatting>
  <conditionalFormatting sqref="V41:V45">
    <cfRule type="expression" dxfId="1330" priority="1814" stopIfTrue="1">
      <formula>AND(NOT($V41="Armas improvisadas"),$Y41=0)</formula>
    </cfRule>
  </conditionalFormatting>
  <conditionalFormatting sqref="E40:K45 E75:K82">
    <cfRule type="expression" dxfId="1329" priority="1817">
      <formula>NOT(OR(L40=M40,$N40=$O40,$P40=$Q40,$R40=$S40,$T40=$U40))</formula>
    </cfRule>
  </conditionalFormatting>
  <conditionalFormatting sqref="Y40:AA45">
    <cfRule type="expression" dxfId="1328" priority="259" stopIfTrue="1">
      <formula>$V40=""</formula>
    </cfRule>
  </conditionalFormatting>
  <conditionalFormatting sqref="E113">
    <cfRule type="expression" dxfId="1327" priority="1929" stopIfTrue="1">
      <formula>NOT(OR(#REF!=#REF!,#REF!=#REF!,#REF!=#REF!,#REF!=#REF!,#REF!=#REF!))</formula>
    </cfRule>
  </conditionalFormatting>
  <conditionalFormatting sqref="E114">
    <cfRule type="expression" dxfId="1326" priority="2469" stopIfTrue="1">
      <formula>NOT(OR(#REF!=#REF!,#REF!=#REF!,#REF!=#REF!,#REF!=#REF!,#REF!=#REF!))</formula>
    </cfRule>
  </conditionalFormatting>
  <conditionalFormatting sqref="E115:E116">
    <cfRule type="expression" dxfId="1325" priority="2472" stopIfTrue="1">
      <formula>NOT(OR(M123=L123,O123=N123,Q123=P123,S123=R123,U123=T123))</formula>
    </cfRule>
  </conditionalFormatting>
  <conditionalFormatting sqref="E56:E74">
    <cfRule type="expression" dxfId="1324" priority="223">
      <formula>OR($J56="",$AF56&gt;1)</formula>
    </cfRule>
  </conditionalFormatting>
  <conditionalFormatting sqref="L185">
    <cfRule type="expression" dxfId="1323" priority="4272" stopIfTrue="1">
      <formula>Categoría_2=0</formula>
    </cfRule>
  </conditionalFormatting>
  <conditionalFormatting sqref="N185">
    <cfRule type="expression" dxfId="1322" priority="4342" stopIfTrue="1">
      <formula>Categoría_3=0</formula>
    </cfRule>
  </conditionalFormatting>
  <conditionalFormatting sqref="P185">
    <cfRule type="expression" dxfId="1321" priority="4412" stopIfTrue="1">
      <formula>Categoría_4=0</formula>
    </cfRule>
  </conditionalFormatting>
  <conditionalFormatting sqref="R185">
    <cfRule type="expression" dxfId="1320" priority="4482" stopIfTrue="1">
      <formula>Categoría_5=0</formula>
    </cfRule>
  </conditionalFormatting>
  <conditionalFormatting sqref="N83:O83">
    <cfRule type="expression" dxfId="1319" priority="4822" stopIfTrue="1">
      <formula>Categoría_2=0</formula>
    </cfRule>
  </conditionalFormatting>
  <conditionalFormatting sqref="P83:Q83">
    <cfRule type="expression" dxfId="1318" priority="4828" stopIfTrue="1">
      <formula>Categoría_3=0</formula>
    </cfRule>
  </conditionalFormatting>
  <conditionalFormatting sqref="R83">
    <cfRule type="expression" dxfId="1317" priority="4834" stopIfTrue="1">
      <formula>Categoría_4=0</formula>
    </cfRule>
  </conditionalFormatting>
  <conditionalFormatting sqref="T83 T101 T117">
    <cfRule type="expression" dxfId="1316" priority="4840" stopIfTrue="1">
      <formula>Categoría_5=0</formula>
    </cfRule>
  </conditionalFormatting>
  <conditionalFormatting sqref="S83">
    <cfRule type="expression" dxfId="1315" priority="4846" stopIfTrue="1">
      <formula>Categoría_4=0</formula>
    </cfRule>
  </conditionalFormatting>
  <conditionalFormatting sqref="V40">
    <cfRule type="expression" dxfId="1314" priority="222" stopIfTrue="1">
      <formula>AND(NOT($V40="Armas improvisadas"),$Y40=0)</formula>
    </cfRule>
  </conditionalFormatting>
  <conditionalFormatting sqref="L83:M84">
    <cfRule type="expression" dxfId="1313" priority="220" stopIfTrue="1">
      <formula>$N83&gt;0</formula>
    </cfRule>
  </conditionalFormatting>
  <conditionalFormatting sqref="L191:M191">
    <cfRule type="cellIs" dxfId="1312" priority="5173" stopIfTrue="1" operator="greaterThan">
      <formula>$L$191</formula>
    </cfRule>
    <cfRule type="expression" dxfId="1311" priority="5174" stopIfTrue="1">
      <formula>$P$7=0</formula>
    </cfRule>
  </conditionalFormatting>
  <conditionalFormatting sqref="N191:O191">
    <cfRule type="cellIs" dxfId="1310" priority="5175" stopIfTrue="1" operator="greaterThan">
      <formula>$N$191</formula>
    </cfRule>
    <cfRule type="expression" dxfId="1309" priority="5176" stopIfTrue="1">
      <formula>$P$9=0</formula>
    </cfRule>
  </conditionalFormatting>
  <conditionalFormatting sqref="P191:Q191">
    <cfRule type="cellIs" dxfId="1308" priority="5177" stopIfTrue="1" operator="greaterThan">
      <formula>$P$191</formula>
    </cfRule>
    <cfRule type="expression" dxfId="1307" priority="5178" stopIfTrue="1">
      <formula>$P$11=0</formula>
    </cfRule>
  </conditionalFormatting>
  <conditionalFormatting sqref="R191:S191">
    <cfRule type="cellIs" dxfId="1306" priority="5179" stopIfTrue="1" operator="greaterThan">
      <formula>$R$191</formula>
    </cfRule>
    <cfRule type="expression" dxfId="1305" priority="5180" stopIfTrue="1">
      <formula>$P$13=0</formula>
    </cfRule>
  </conditionalFormatting>
  <conditionalFormatting sqref="U83 U101 U117">
    <cfRule type="expression" dxfId="1304" priority="5182" stopIfTrue="1">
      <formula>$P$13=0</formula>
    </cfRule>
  </conditionalFormatting>
  <conditionalFormatting sqref="M191:M192">
    <cfRule type="expression" dxfId="1303" priority="5187">
      <formula>$M$191&gt;$T$7</formula>
    </cfRule>
  </conditionalFormatting>
  <conditionalFormatting sqref="Y7:Y14">
    <cfRule type="expression" dxfId="1302" priority="216" stopIfTrue="1">
      <formula>NOT($Y7=$Z7+$AA7)</formula>
    </cfRule>
  </conditionalFormatting>
  <conditionalFormatting sqref="N83:O84">
    <cfRule type="expression" dxfId="1301" priority="213" stopIfTrue="1">
      <formula>$P83&gt;0</formula>
    </cfRule>
  </conditionalFormatting>
  <conditionalFormatting sqref="P83:Q84">
    <cfRule type="expression" dxfId="1300" priority="212" stopIfTrue="1">
      <formula>$R83&gt;0</formula>
    </cfRule>
  </conditionalFormatting>
  <conditionalFormatting sqref="R83:S84">
    <cfRule type="expression" dxfId="1299" priority="211" stopIfTrue="1">
      <formula>$T83&gt;0</formula>
    </cfRule>
  </conditionalFormatting>
  <conditionalFormatting sqref="N101:O101">
    <cfRule type="expression" dxfId="1298" priority="205" stopIfTrue="1">
      <formula>Categoría_2=0</formula>
    </cfRule>
  </conditionalFormatting>
  <conditionalFormatting sqref="P101:Q101">
    <cfRule type="expression" dxfId="1297" priority="206" stopIfTrue="1">
      <formula>Categoría_3=0</formula>
    </cfRule>
  </conditionalFormatting>
  <conditionalFormatting sqref="R101">
    <cfRule type="expression" dxfId="1296" priority="207" stopIfTrue="1">
      <formula>Categoría_4=0</formula>
    </cfRule>
  </conditionalFormatting>
  <conditionalFormatting sqref="S101">
    <cfRule type="expression" dxfId="1295" priority="209" stopIfTrue="1">
      <formula>Categoría_4=0</formula>
    </cfRule>
  </conditionalFormatting>
  <conditionalFormatting sqref="L101:M102">
    <cfRule type="expression" dxfId="1294" priority="203" stopIfTrue="1">
      <formula>$N101&gt;0</formula>
    </cfRule>
  </conditionalFormatting>
  <conditionalFormatting sqref="N101:O102">
    <cfRule type="expression" dxfId="1293" priority="202" stopIfTrue="1">
      <formula>$P101&gt;0</formula>
    </cfRule>
  </conditionalFormatting>
  <conditionalFormatting sqref="P101:Q102">
    <cfRule type="expression" dxfId="1292" priority="201" stopIfTrue="1">
      <formula>$R101&gt;0</formula>
    </cfRule>
  </conditionalFormatting>
  <conditionalFormatting sqref="R101:S102">
    <cfRule type="expression" dxfId="1291" priority="200" stopIfTrue="1">
      <formula>$T101&gt;0</formula>
    </cfRule>
  </conditionalFormatting>
  <conditionalFormatting sqref="N117:O117">
    <cfRule type="expression" dxfId="1290" priority="195" stopIfTrue="1">
      <formula>Categoría_2=0</formula>
    </cfRule>
  </conditionalFormatting>
  <conditionalFormatting sqref="P117:Q117">
    <cfRule type="expression" dxfId="1289" priority="196" stopIfTrue="1">
      <formula>Categoría_3=0</formula>
    </cfRule>
  </conditionalFormatting>
  <conditionalFormatting sqref="R117">
    <cfRule type="expression" dxfId="1288" priority="197" stopIfTrue="1">
      <formula>Categoría_4=0</formula>
    </cfRule>
  </conditionalFormatting>
  <conditionalFormatting sqref="S117">
    <cfRule type="expression" dxfId="1287" priority="199" stopIfTrue="1">
      <formula>Categoría_4=0</formula>
    </cfRule>
  </conditionalFormatting>
  <conditionalFormatting sqref="L117:M118">
    <cfRule type="expression" dxfId="1286" priority="193" stopIfTrue="1">
      <formula>$N117&gt;0</formula>
    </cfRule>
  </conditionalFormatting>
  <conditionalFormatting sqref="N117:O118">
    <cfRule type="expression" dxfId="1285" priority="192" stopIfTrue="1">
      <formula>$P117&gt;0</formula>
    </cfRule>
  </conditionalFormatting>
  <conditionalFormatting sqref="P117:Q118">
    <cfRule type="expression" dxfId="1284" priority="191" stopIfTrue="1">
      <formula>$R117&gt;0</formula>
    </cfRule>
  </conditionalFormatting>
  <conditionalFormatting sqref="R117:S118">
    <cfRule type="expression" dxfId="1283" priority="190" stopIfTrue="1">
      <formula>$T117&gt;0</formula>
    </cfRule>
  </conditionalFormatting>
  <conditionalFormatting sqref="E46:K55">
    <cfRule type="expression" dxfId="1282" priority="183">
      <formula>$AG46</formula>
    </cfRule>
  </conditionalFormatting>
  <conditionalFormatting sqref="W126:W181">
    <cfRule type="cellIs" dxfId="1281" priority="181" stopIfTrue="1" operator="greaterThan">
      <formula>MAX(Nivel_Total,1)</formula>
    </cfRule>
  </conditionalFormatting>
  <conditionalFormatting sqref="X126:X181">
    <cfRule type="cellIs" dxfId="1280" priority="176" stopIfTrue="1" operator="greaterThan">
      <formula>$AA$183/5</formula>
    </cfRule>
  </conditionalFormatting>
  <conditionalFormatting sqref="E56:K74">
    <cfRule type="expression" dxfId="1279" priority="6919">
      <formula>NOT($AL56)</formula>
    </cfRule>
  </conditionalFormatting>
  <conditionalFormatting sqref="V56:AA74">
    <cfRule type="containsText" dxfId="1278" priority="162" operator="containsText" text="FALTAN REQUISITOS">
      <formula>NOT(ISERROR(SEARCH("FALTAN REQUISITOS",V56)))</formula>
    </cfRule>
    <cfRule type="containsText" dxfId="1277" priority="163" operator="containsText" text="ARTE MARCIAL REPETIDA">
      <formula>NOT(ISERROR(SEARCH("ARTE MARCIAL REPETIDA",V56)))</formula>
    </cfRule>
    <cfRule type="containsText" dxfId="1276" priority="164" operator="containsText" text="ARTE MARCIAL SIN PAGAR">
      <formula>NOT(ISERROR(SEARCH("ARTE MARCIAL SIN PAGAR",V56)))</formula>
    </cfRule>
  </conditionalFormatting>
  <conditionalFormatting sqref="X18:AA18">
    <cfRule type="expression" dxfId="1275" priority="157" stopIfTrue="1">
      <formula>$AA$16=$W$18</formula>
    </cfRule>
  </conditionalFormatting>
  <conditionalFormatting sqref="N22:N25 N27:N32 N39:N82">
    <cfRule type="expression" dxfId="1274" priority="146">
      <formula>N$19&lt;&gt;""</formula>
    </cfRule>
  </conditionalFormatting>
  <conditionalFormatting sqref="O22:O39 O56:O74">
    <cfRule type="expression" dxfId="1273" priority="95" stopIfTrue="1">
      <formula>N$19=""</formula>
    </cfRule>
  </conditionalFormatting>
  <conditionalFormatting sqref="L22:L25 L27:L55">
    <cfRule type="expression" dxfId="1272" priority="94">
      <formula>L$19&lt;&gt;""</formula>
    </cfRule>
  </conditionalFormatting>
  <conditionalFormatting sqref="M22:M55">
    <cfRule type="expression" dxfId="1271" priority="93" stopIfTrue="1">
      <formula>L$19=""</formula>
    </cfRule>
  </conditionalFormatting>
  <conditionalFormatting sqref="P22:P25 P27:P32 P39:P55">
    <cfRule type="expression" dxfId="1270" priority="92">
      <formula>P$19&lt;&gt;""</formula>
    </cfRule>
  </conditionalFormatting>
  <conditionalFormatting sqref="Q22:Q39">
    <cfRule type="expression" dxfId="1269" priority="91" stopIfTrue="1">
      <formula>P$19=""</formula>
    </cfRule>
  </conditionalFormatting>
  <conditionalFormatting sqref="R22:R25 R27:R32 R39:R55">
    <cfRule type="expression" dxfId="1268" priority="90">
      <formula>R$19&lt;&gt;""</formula>
    </cfRule>
  </conditionalFormatting>
  <conditionalFormatting sqref="S22:S39">
    <cfRule type="expression" dxfId="1267" priority="89" stopIfTrue="1">
      <formula>R$19=""</formula>
    </cfRule>
  </conditionalFormatting>
  <conditionalFormatting sqref="T22:T25 T27:T32 T39:T55">
    <cfRule type="expression" dxfId="1266" priority="88">
      <formula>T$19&lt;&gt;""</formula>
    </cfRule>
  </conditionalFormatting>
  <conditionalFormatting sqref="U22:U39">
    <cfRule type="expression" dxfId="1265" priority="87" stopIfTrue="1">
      <formula>T$19=""</formula>
    </cfRule>
  </conditionalFormatting>
  <conditionalFormatting sqref="L75:L82">
    <cfRule type="expression" dxfId="1264" priority="86">
      <formula>L$19&lt;&gt;""</formula>
    </cfRule>
  </conditionalFormatting>
  <conditionalFormatting sqref="M75:M82">
    <cfRule type="expression" dxfId="1263" priority="85" stopIfTrue="1">
      <formula>L$19=""</formula>
    </cfRule>
  </conditionalFormatting>
  <conditionalFormatting sqref="P75:P82">
    <cfRule type="expression" dxfId="1262" priority="84" stopIfTrue="1">
      <formula>P$19&lt;&gt;""</formula>
    </cfRule>
  </conditionalFormatting>
  <conditionalFormatting sqref="R75:R82">
    <cfRule type="expression" dxfId="1261" priority="82">
      <formula>R$19&lt;&gt;""</formula>
    </cfRule>
  </conditionalFormatting>
  <conditionalFormatting sqref="T75:T82">
    <cfRule type="expression" dxfId="1260" priority="80" stopIfTrue="1">
      <formula>T$19&lt;&gt;""</formula>
    </cfRule>
  </conditionalFormatting>
  <conditionalFormatting sqref="L90:L100">
    <cfRule type="expression" dxfId="1259" priority="78">
      <formula>L$87&lt;&gt;""</formula>
    </cfRule>
  </conditionalFormatting>
  <conditionalFormatting sqref="M90:M100">
    <cfRule type="expression" dxfId="1258" priority="77">
      <formula>L$87=""</formula>
    </cfRule>
  </conditionalFormatting>
  <conditionalFormatting sqref="N90:N100">
    <cfRule type="expression" dxfId="1257" priority="76">
      <formula>N$87&lt;&gt;""</formula>
    </cfRule>
  </conditionalFormatting>
  <conditionalFormatting sqref="O90:O100">
    <cfRule type="expression" dxfId="1256" priority="75">
      <formula>N$87=""</formula>
    </cfRule>
  </conditionalFormatting>
  <conditionalFormatting sqref="P90:P100">
    <cfRule type="expression" dxfId="1255" priority="74">
      <formula>P$87&lt;&gt;""</formula>
    </cfRule>
  </conditionalFormatting>
  <conditionalFormatting sqref="Q90:Q100">
    <cfRule type="expression" dxfId="1254" priority="73">
      <formula>P$87=""</formula>
    </cfRule>
  </conditionalFormatting>
  <conditionalFormatting sqref="R90:R100">
    <cfRule type="expression" dxfId="1253" priority="72">
      <formula>R$87&lt;&gt;""</formula>
    </cfRule>
  </conditionalFormatting>
  <conditionalFormatting sqref="S90:S100">
    <cfRule type="expression" dxfId="1252" priority="71">
      <formula>R$87=""</formula>
    </cfRule>
  </conditionalFormatting>
  <conditionalFormatting sqref="T90:T100">
    <cfRule type="expression" dxfId="1251" priority="70">
      <formula>T$87&lt;&gt;""</formula>
    </cfRule>
  </conditionalFormatting>
  <conditionalFormatting sqref="U90:U100">
    <cfRule type="expression" dxfId="1250" priority="69">
      <formula>T$87=""</formula>
    </cfRule>
  </conditionalFormatting>
  <conditionalFormatting sqref="L108:L116">
    <cfRule type="expression" dxfId="1249" priority="68" stopIfTrue="1">
      <formula>L$105&lt;&gt;""</formula>
    </cfRule>
  </conditionalFormatting>
  <conditionalFormatting sqref="M108:M116">
    <cfRule type="expression" dxfId="1248" priority="67">
      <formula>L$105=""</formula>
    </cfRule>
  </conditionalFormatting>
  <conditionalFormatting sqref="N108:N116">
    <cfRule type="expression" dxfId="1247" priority="66" stopIfTrue="1">
      <formula>N$105&lt;&gt;""</formula>
    </cfRule>
  </conditionalFormatting>
  <conditionalFormatting sqref="O108:O116">
    <cfRule type="expression" dxfId="1246" priority="65">
      <formula>N$105=""</formula>
    </cfRule>
  </conditionalFormatting>
  <conditionalFormatting sqref="P108:P116">
    <cfRule type="expression" dxfId="1245" priority="64" stopIfTrue="1">
      <formula>P$105&lt;&gt;""</formula>
    </cfRule>
  </conditionalFormatting>
  <conditionalFormatting sqref="Q108:Q116">
    <cfRule type="expression" dxfId="1244" priority="63">
      <formula>P$105=""</formula>
    </cfRule>
  </conditionalFormatting>
  <conditionalFormatting sqref="R108:R116">
    <cfRule type="expression" dxfId="1243" priority="62" stopIfTrue="1">
      <formula>R$105&lt;&gt;""</formula>
    </cfRule>
  </conditionalFormatting>
  <conditionalFormatting sqref="S108:S116">
    <cfRule type="expression" dxfId="1242" priority="61">
      <formula>R$105=""</formula>
    </cfRule>
  </conditionalFormatting>
  <conditionalFormatting sqref="T108:T116">
    <cfRule type="expression" dxfId="1241" priority="60" stopIfTrue="1">
      <formula>T$105&lt;&gt;""</formula>
    </cfRule>
  </conditionalFormatting>
  <conditionalFormatting sqref="U108:U116">
    <cfRule type="expression" dxfId="1240" priority="59">
      <formula>T$105=""</formula>
    </cfRule>
  </conditionalFormatting>
  <conditionalFormatting sqref="J126:J176">
    <cfRule type="expression" dxfId="1239" priority="58" stopIfTrue="1">
      <formula>J$123&lt;&gt;""</formula>
    </cfRule>
  </conditionalFormatting>
  <conditionalFormatting sqref="K126:K176">
    <cfRule type="expression" dxfId="1238" priority="57">
      <formula>J$123=""</formula>
    </cfRule>
  </conditionalFormatting>
  <conditionalFormatting sqref="L126:L176">
    <cfRule type="expression" dxfId="1237" priority="56" stopIfTrue="1">
      <formula>L$123&lt;&gt;""</formula>
    </cfRule>
  </conditionalFormatting>
  <conditionalFormatting sqref="M126:M176">
    <cfRule type="expression" dxfId="1236" priority="55">
      <formula>L$123=""</formula>
    </cfRule>
  </conditionalFormatting>
  <conditionalFormatting sqref="N126:N176">
    <cfRule type="expression" dxfId="1235" priority="54" stopIfTrue="1">
      <formula>N$123&lt;&gt;""</formula>
    </cfRule>
  </conditionalFormatting>
  <conditionalFormatting sqref="O126:O176">
    <cfRule type="expression" dxfId="1234" priority="53">
      <formula>N$123=""</formula>
    </cfRule>
  </conditionalFormatting>
  <conditionalFormatting sqref="P126:P176">
    <cfRule type="expression" dxfId="1233" priority="52" stopIfTrue="1">
      <formula>P$123&lt;&gt;""</formula>
    </cfRule>
  </conditionalFormatting>
  <conditionalFormatting sqref="Q126:Q176">
    <cfRule type="expression" dxfId="1232" priority="51">
      <formula>P$123=""</formula>
    </cfRule>
  </conditionalFormatting>
  <conditionalFormatting sqref="R126:R176">
    <cfRule type="expression" dxfId="1231" priority="50" stopIfTrue="1">
      <formula>R$123&lt;&gt;""</formula>
    </cfRule>
  </conditionalFormatting>
  <conditionalFormatting sqref="S126:S176">
    <cfRule type="expression" dxfId="1230" priority="49">
      <formula>R$123=""</formula>
    </cfRule>
  </conditionalFormatting>
  <conditionalFormatting sqref="O40:O45">
    <cfRule type="expression" dxfId="1229" priority="48" stopIfTrue="1">
      <formula>N$19=""</formula>
    </cfRule>
  </conditionalFormatting>
  <conditionalFormatting sqref="Q40:Q45">
    <cfRule type="expression" dxfId="1228" priority="47" stopIfTrue="1">
      <formula>P$19=""</formula>
    </cfRule>
  </conditionalFormatting>
  <conditionalFormatting sqref="S40:S45">
    <cfRule type="expression" dxfId="1227" priority="46" stopIfTrue="1">
      <formula>R$19=""</formula>
    </cfRule>
  </conditionalFormatting>
  <conditionalFormatting sqref="U40:U45">
    <cfRule type="expression" dxfId="1226" priority="45" stopIfTrue="1">
      <formula>T$19=""</formula>
    </cfRule>
  </conditionalFormatting>
  <conditionalFormatting sqref="O75:O82">
    <cfRule type="expression" dxfId="1225" priority="44" stopIfTrue="1">
      <formula>N$19=""</formula>
    </cfRule>
  </conditionalFormatting>
  <conditionalFormatting sqref="Q75:Q82">
    <cfRule type="expression" dxfId="1224" priority="43" stopIfTrue="1">
      <formula>P$19=""</formula>
    </cfRule>
  </conditionalFormatting>
  <conditionalFormatting sqref="S75:S82">
    <cfRule type="expression" dxfId="1223" priority="42" stopIfTrue="1">
      <formula>R$19=""</formula>
    </cfRule>
  </conditionalFormatting>
  <conditionalFormatting sqref="U75:U82">
    <cfRule type="expression" dxfId="1222" priority="41" stopIfTrue="1">
      <formula>T$19=""</formula>
    </cfRule>
  </conditionalFormatting>
  <conditionalFormatting sqref="N33:N38">
    <cfRule type="expression" dxfId="1221" priority="40">
      <formula>N$19&lt;&gt;""</formula>
    </cfRule>
  </conditionalFormatting>
  <conditionalFormatting sqref="P33:P38">
    <cfRule type="expression" dxfId="1220" priority="39">
      <formula>P$19&lt;&gt;""</formula>
    </cfRule>
  </conditionalFormatting>
  <conditionalFormatting sqref="R33:R38">
    <cfRule type="expression" dxfId="1219" priority="38">
      <formula>R$19&lt;&gt;""</formula>
    </cfRule>
  </conditionalFormatting>
  <conditionalFormatting sqref="T33:T38">
    <cfRule type="expression" dxfId="1218" priority="37">
      <formula>T$19&lt;&gt;""</formula>
    </cfRule>
  </conditionalFormatting>
  <conditionalFormatting sqref="O46:O55">
    <cfRule type="expression" dxfId="1217" priority="36" stopIfTrue="1">
      <formula>N$19=""</formula>
    </cfRule>
  </conditionalFormatting>
  <conditionalFormatting sqref="Q46:Q55">
    <cfRule type="expression" dxfId="1216" priority="35" stopIfTrue="1">
      <formula>P$19=""</formula>
    </cfRule>
  </conditionalFormatting>
  <conditionalFormatting sqref="S46:S55">
    <cfRule type="expression" dxfId="1215" priority="34" stopIfTrue="1">
      <formula>R$19=""</formula>
    </cfRule>
  </conditionalFormatting>
  <conditionalFormatting sqref="U46:U55">
    <cfRule type="expression" dxfId="1214" priority="33" stopIfTrue="1">
      <formula>T$19=""</formula>
    </cfRule>
  </conditionalFormatting>
  <conditionalFormatting sqref="AA126:AA128">
    <cfRule type="expression" dxfId="1213" priority="32" stopIfTrue="1">
      <formula>B1</formula>
    </cfRule>
  </conditionalFormatting>
  <conditionalFormatting sqref="AA129:AA132">
    <cfRule type="expression" dxfId="1212" priority="31" stopIfTrue="1">
      <formula>B4</formula>
    </cfRule>
  </conditionalFormatting>
  <conditionalFormatting sqref="AA133:AA180">
    <cfRule type="expression" dxfId="1211" priority="30" stopIfTrue="1">
      <formula>B8</formula>
    </cfRule>
  </conditionalFormatting>
  <conditionalFormatting sqref="AA181">
    <cfRule type="expression" dxfId="1210" priority="29" stopIfTrue="1">
      <formula>B56</formula>
    </cfRule>
  </conditionalFormatting>
  <conditionalFormatting sqref="AA126:AA176">
    <cfRule type="expression" dxfId="1209" priority="28" stopIfTrue="1">
      <formula>OR($AF126&gt;0,$AI126)</formula>
    </cfRule>
  </conditionalFormatting>
  <conditionalFormatting sqref="V75:AA77">
    <cfRule type="containsText" dxfId="1208" priority="27" operator="containsText" text="FALTAN REQUISITOS">
      <formula>NOT(ISERROR(SEARCH("FALTAN REQUISITOS",V75)))</formula>
    </cfRule>
  </conditionalFormatting>
  <conditionalFormatting sqref="K187">
    <cfRule type="cellIs" dxfId="1207" priority="17" stopIfTrue="1" operator="greaterThan">
      <formula>$J$191</formula>
    </cfRule>
  </conditionalFormatting>
  <conditionalFormatting sqref="M187">
    <cfRule type="cellIs" dxfId="1206" priority="16" stopIfTrue="1" operator="greaterThan">
      <formula>$J$191</formula>
    </cfRule>
  </conditionalFormatting>
  <conditionalFormatting sqref="O187">
    <cfRule type="cellIs" dxfId="1205" priority="15" stopIfTrue="1" operator="greaterThan">
      <formula>$J$191</formula>
    </cfRule>
  </conditionalFormatting>
  <conditionalFormatting sqref="Q187">
    <cfRule type="cellIs" dxfId="1204" priority="14" stopIfTrue="1" operator="greaterThan">
      <formula>$J$191</formula>
    </cfRule>
  </conditionalFormatting>
  <conditionalFormatting sqref="S187">
    <cfRule type="cellIs" dxfId="1203" priority="13" stopIfTrue="1" operator="greaterThan">
      <formula>$J$191</formula>
    </cfRule>
  </conditionalFormatting>
  <conditionalFormatting sqref="K187:K188 M187:M188 O187:O188 Q187:Q188 S187:S188">
    <cfRule type="cellIs" dxfId="1202" priority="12" operator="equal">
      <formula>0</formula>
    </cfRule>
  </conditionalFormatting>
  <conditionalFormatting sqref="O187">
    <cfRule type="cellIs" dxfId="1201" priority="11" stopIfTrue="1" operator="greaterThan">
      <formula>$J$191</formula>
    </cfRule>
  </conditionalFormatting>
  <conditionalFormatting sqref="Q187">
    <cfRule type="cellIs" dxfId="1200" priority="10" stopIfTrue="1" operator="greaterThan">
      <formula>$J$191</formula>
    </cfRule>
  </conditionalFormatting>
  <conditionalFormatting sqref="S187">
    <cfRule type="cellIs" dxfId="1199" priority="9" stopIfTrue="1" operator="greaterThan">
      <formula>$J$191</formula>
    </cfRule>
  </conditionalFormatting>
  <conditionalFormatting sqref="L187">
    <cfRule type="cellIs" dxfId="1198" priority="7" stopIfTrue="1" operator="greaterThan">
      <formula>$L$191</formula>
    </cfRule>
    <cfRule type="expression" dxfId="1197" priority="8" stopIfTrue="1">
      <formula>$P$7=0</formula>
    </cfRule>
  </conditionalFormatting>
  <conditionalFormatting sqref="N187">
    <cfRule type="cellIs" dxfId="1196" priority="5" stopIfTrue="1" operator="greaterThan">
      <formula>$N$191</formula>
    </cfRule>
    <cfRule type="expression" dxfId="1195" priority="6" stopIfTrue="1">
      <formula>$P$9=0</formula>
    </cfRule>
  </conditionalFormatting>
  <conditionalFormatting sqref="P187">
    <cfRule type="cellIs" dxfId="1194" priority="3" stopIfTrue="1" operator="greaterThan">
      <formula>$P$191</formula>
    </cfRule>
    <cfRule type="expression" dxfId="1193" priority="4" stopIfTrue="1">
      <formula>$P$11=0</formula>
    </cfRule>
  </conditionalFormatting>
  <conditionalFormatting sqref="R187">
    <cfRule type="cellIs" dxfId="1192" priority="1" stopIfTrue="1" operator="greaterThan">
      <formula>$R$191</formula>
    </cfRule>
    <cfRule type="expression" dxfId="1191"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Tablas!$AE$832:$AE$868</xm:f>
          </x14:formula1>
          <xm:sqref>E56:I74</xm:sqref>
        </x14:dataValidation>
        <x14:dataValidation type="list" allowBlank="1" showInputMessage="1" showErrorMessage="1">
          <x14:formula1>
            <xm:f>INDIRECT(Tablas!$BG$827)</xm:f>
          </x14:formula1>
          <xm:sqref>U56:U74</xm:sqref>
        </x14:dataValidation>
        <x14:dataValidation type="list" allowBlank="1" showInputMessage="1" showErrorMessage="1">
          <x14:formula1>
            <xm:f>INDIRECT(Tablas!$AM827)</xm:f>
          </x14:formula1>
          <xm:sqref>M56:M74</xm:sqref>
        </x14:dataValidation>
        <x14:dataValidation type="list" allowBlank="1" showInputMessage="1" showErrorMessage="1">
          <x14:formula1>
            <xm:f>INDIRECT(Tablas!$AR827)</xm:f>
          </x14:formula1>
          <xm:sqref>O56:O74</xm:sqref>
        </x14:dataValidation>
        <x14:dataValidation type="list" allowBlank="1" showInputMessage="1" showErrorMessage="1">
          <x14:formula1>
            <xm:f>INDIRECT(Tablas!$AW827)</xm:f>
          </x14:formula1>
          <xm:sqref>Q56:Q74</xm:sqref>
        </x14:dataValidation>
        <x14:dataValidation type="list" allowBlank="1" showInputMessage="1" showErrorMessage="1">
          <x14:formula1>
            <xm:f>INDIRECT(Tablas!$BB827)</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888" t="s">
        <v>8943</v>
      </c>
      <c r="AU1" s="1872"/>
      <c r="AV1" s="1872"/>
      <c r="AW1" s="1872"/>
      <c r="AX1" s="1872"/>
      <c r="AY1" s="1872"/>
      <c r="AZ1" s="2910"/>
      <c r="BA1" s="1872"/>
      <c r="BB1" s="1872"/>
      <c r="BC1" s="1872"/>
      <c r="BD1" s="1872"/>
      <c r="BE1" s="1872"/>
      <c r="BF1" s="1872"/>
      <c r="BG1" s="1872"/>
      <c r="BH1" s="1872"/>
      <c r="BI1" s="1872"/>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1872"/>
      <c r="AU2" s="1872"/>
      <c r="AV2" s="1872"/>
      <c r="AW2" s="1872"/>
      <c r="AX2" s="1872"/>
      <c r="AY2" s="1872"/>
      <c r="AZ2" s="2910"/>
      <c r="BA2" s="1872"/>
      <c r="BB2" s="1872"/>
      <c r="BC2" s="1872"/>
      <c r="BD2" s="1872"/>
      <c r="BE2" s="1872"/>
      <c r="BF2" s="1872"/>
      <c r="BG2" s="1872"/>
      <c r="BH2" s="1872"/>
      <c r="BI2" s="1872"/>
    </row>
    <row r="3" spans="1:61" ht="12" customHeight="1" thickBot="1" x14ac:dyDescent="0.25">
      <c r="A3" s="10"/>
      <c r="B3" s="1233"/>
      <c r="C3" s="3187"/>
      <c r="D3" s="3187"/>
      <c r="E3" s="3187"/>
      <c r="F3" s="3187"/>
      <c r="G3" s="3187"/>
      <c r="H3" s="3187"/>
      <c r="I3" s="7"/>
      <c r="J3" s="7"/>
      <c r="K3" s="7"/>
      <c r="L3" s="7"/>
      <c r="M3" s="7"/>
      <c r="N3" s="7"/>
      <c r="O3" s="7"/>
      <c r="P3" s="7"/>
      <c r="Q3" s="7"/>
      <c r="R3" s="7"/>
      <c r="S3" s="7"/>
      <c r="T3" s="7"/>
      <c r="U3" s="7"/>
      <c r="V3" s="7"/>
      <c r="W3" s="842"/>
      <c r="X3" s="1197"/>
      <c r="Y3" s="10"/>
      <c r="Z3" s="10"/>
      <c r="AA3" s="1196"/>
      <c r="AB3" s="3187"/>
      <c r="AC3" s="3187"/>
      <c r="AD3" s="3187"/>
      <c r="AE3" s="3187"/>
      <c r="AF3" s="3187"/>
      <c r="AG3" s="3187"/>
      <c r="AH3" s="7"/>
      <c r="AI3" s="7"/>
      <c r="AJ3" s="7"/>
      <c r="AK3" s="7"/>
      <c r="AL3" s="7"/>
      <c r="AM3" s="7"/>
      <c r="AN3" s="7"/>
      <c r="AO3" s="7"/>
      <c r="AP3" s="7"/>
      <c r="AQ3" s="8"/>
      <c r="AR3" s="1272"/>
      <c r="AS3" s="1218"/>
      <c r="AT3" s="1872"/>
      <c r="AU3" s="2892" t="s">
        <v>10163</v>
      </c>
      <c r="AV3" s="1872"/>
      <c r="AW3" s="1872"/>
      <c r="AX3" s="1872"/>
      <c r="AY3" s="1872"/>
      <c r="AZ3" s="1872"/>
      <c r="BA3" s="1872"/>
      <c r="BB3" s="1872"/>
      <c r="BC3" s="1872"/>
      <c r="BD3" s="1872"/>
      <c r="BE3" s="1872"/>
      <c r="BF3" s="1872"/>
      <c r="BG3" s="1872"/>
      <c r="BH3" s="1872"/>
      <c r="BI3" s="1872"/>
    </row>
    <row r="4" spans="1:61" ht="12" customHeight="1" thickBot="1" x14ac:dyDescent="0.25">
      <c r="A4" s="10"/>
      <c r="B4" s="1233"/>
      <c r="C4" s="3187"/>
      <c r="D4" s="3187"/>
      <c r="E4" s="3187"/>
      <c r="F4" s="3187"/>
      <c r="G4" s="3187"/>
      <c r="H4" s="3187"/>
      <c r="I4" s="10"/>
      <c r="J4" s="10"/>
      <c r="K4" s="3188" t="s">
        <v>1326</v>
      </c>
      <c r="L4" s="3188"/>
      <c r="M4" s="3189" t="str">
        <f>IF(OR(General!$F$22="",General!$F$22=0),"",General!$F$22)</f>
        <v/>
      </c>
      <c r="N4" s="3189"/>
      <c r="O4" s="3189"/>
      <c r="P4" s="3189"/>
      <c r="Q4" s="3189"/>
      <c r="R4" s="2469"/>
      <c r="S4" s="2469"/>
      <c r="T4" s="2469"/>
      <c r="U4" s="2469"/>
      <c r="V4" s="840"/>
      <c r="W4" s="11"/>
      <c r="X4" s="1197"/>
      <c r="Y4" s="10"/>
      <c r="Z4" s="10"/>
      <c r="AA4" s="1196"/>
      <c r="AB4" s="3187"/>
      <c r="AC4" s="3187"/>
      <c r="AD4" s="3187"/>
      <c r="AE4" s="3187"/>
      <c r="AF4" s="3187"/>
      <c r="AG4" s="3187"/>
      <c r="AH4" s="10"/>
      <c r="AI4" s="10"/>
      <c r="AJ4" s="3188" t="s">
        <v>1326</v>
      </c>
      <c r="AK4" s="3188"/>
      <c r="AL4" s="3189" t="str">
        <f>IF(OR(General!$F$22="",General!$F$22=0),"",General!$F$22)</f>
        <v/>
      </c>
      <c r="AM4" s="3189"/>
      <c r="AN4" s="3189"/>
      <c r="AO4" s="3189"/>
      <c r="AP4" s="3189"/>
      <c r="AQ4" s="11"/>
      <c r="AR4" s="1272"/>
      <c r="AS4" s="1218"/>
      <c r="AT4" s="1872"/>
      <c r="AU4" s="2892" t="s">
        <v>1978</v>
      </c>
      <c r="AV4" s="2892" t="s">
        <v>10164</v>
      </c>
      <c r="AW4" s="2892" t="s">
        <v>7480</v>
      </c>
      <c r="AX4" s="1872"/>
      <c r="AY4" s="2892" t="s">
        <v>2465</v>
      </c>
      <c r="AZ4" s="2892"/>
      <c r="BA4" s="1872"/>
      <c r="BB4" s="1872"/>
      <c r="BC4" s="1872"/>
      <c r="BD4" s="1872"/>
      <c r="BE4" s="1872"/>
      <c r="BF4" s="1872"/>
      <c r="BG4" s="1872"/>
      <c r="BH4" s="1872"/>
      <c r="BI4" s="1872"/>
    </row>
    <row r="5" spans="1:61" ht="12" customHeight="1" thickBot="1" x14ac:dyDescent="0.25">
      <c r="A5" s="10"/>
      <c r="B5" s="1233"/>
      <c r="C5" s="3187"/>
      <c r="D5" s="3187"/>
      <c r="E5" s="3187"/>
      <c r="F5" s="3187"/>
      <c r="G5" s="3187"/>
      <c r="H5" s="3187"/>
      <c r="I5" s="10"/>
      <c r="J5" s="10"/>
      <c r="K5" s="3181" t="s">
        <v>1327</v>
      </c>
      <c r="L5" s="3181"/>
      <c r="M5" s="3002" t="str">
        <f>PDs!$J$8</f>
        <v/>
      </c>
      <c r="N5" s="3002"/>
      <c r="O5" s="3002"/>
      <c r="P5" s="2467" t="s">
        <v>1328</v>
      </c>
      <c r="Q5" s="2455" t="str">
        <f>Principal!$O$6</f>
        <v>0</v>
      </c>
      <c r="R5" s="2470"/>
      <c r="S5" s="2470"/>
      <c r="T5" s="2467" t="s">
        <v>8946</v>
      </c>
      <c r="U5" s="2471" t="str">
        <f>IF(Arma_Desarrollada="","Ninguna",Arma_Desarrollada)</f>
        <v>Desarmado</v>
      </c>
      <c r="V5" s="10"/>
      <c r="W5" s="12"/>
      <c r="X5" s="1197"/>
      <c r="Y5" s="10"/>
      <c r="Z5" s="10"/>
      <c r="AA5" s="1196"/>
      <c r="AB5" s="3187"/>
      <c r="AC5" s="3187"/>
      <c r="AD5" s="3187"/>
      <c r="AE5" s="3187"/>
      <c r="AF5" s="3187"/>
      <c r="AG5" s="3187"/>
      <c r="AH5" s="10"/>
      <c r="AI5" s="10"/>
      <c r="AJ5" s="3181" t="s">
        <v>1327</v>
      </c>
      <c r="AK5" s="3181"/>
      <c r="AL5" s="3002" t="str">
        <f>PDs!$J$8</f>
        <v/>
      </c>
      <c r="AM5" s="3002"/>
      <c r="AN5" s="3002"/>
      <c r="AO5" s="2467" t="s">
        <v>1328</v>
      </c>
      <c r="AP5" s="2455" t="str">
        <f>Principal!$O$6</f>
        <v>0</v>
      </c>
      <c r="AQ5" s="12"/>
      <c r="AR5" s="1272"/>
      <c r="AS5" s="1218"/>
      <c r="AT5" s="1872"/>
      <c r="AU5" s="2892">
        <f>IF(OR(Principal!$P$16="",Principal!$P$16&gt;4),0,IF(Principal!$P$16=0,-120,-10*2^(4-Principal!$P$16)))</f>
        <v>0</v>
      </c>
      <c r="AV5" s="2892">
        <f>IF(OR(Incansable,Ki!H59="-"),0,IF(Tablas!$G$534&gt;0,IF(OR(Tablas!$G$335&gt;0,Ki!$P$57="-"),1,2),IF(AND(Tablas!$G$335&gt;0,Ki!$P$57="-"),1/3,IF(OR(Tablas!$G$335&gt;0,Ki!$P$57="-"),1/2,1))))</f>
        <v>1</v>
      </c>
      <c r="AW5" s="2892">
        <f>TRUNC(AU5*AV5)</f>
        <v>0</v>
      </c>
      <c r="AX5" s="1872"/>
      <c r="AY5" s="2892">
        <f>IF(AND(Tablas!G536&gt;0,Principal!P11&lt;&gt;"",Principal!$P$11&lt;AY6/3),-30,0)</f>
        <v>0</v>
      </c>
      <c r="AZ5" s="2892"/>
      <c r="BA5" s="1872"/>
      <c r="BB5" s="1872"/>
      <c r="BC5" s="1872"/>
      <c r="BD5" s="1872"/>
      <c r="BE5" s="1872"/>
      <c r="BF5" s="1872"/>
      <c r="BG5" s="1872"/>
      <c r="BH5" s="1872"/>
      <c r="BI5" s="1872"/>
    </row>
    <row r="6" spans="1:61" ht="12" customHeight="1" thickBot="1" x14ac:dyDescent="0.25">
      <c r="A6" s="10"/>
      <c r="B6" s="1233"/>
      <c r="C6" s="3187"/>
      <c r="D6" s="3187"/>
      <c r="E6" s="3187"/>
      <c r="F6" s="3187"/>
      <c r="G6" s="3187"/>
      <c r="H6" s="3187"/>
      <c r="I6" s="10"/>
      <c r="J6" s="10"/>
      <c r="K6" s="3182" t="s">
        <v>1550</v>
      </c>
      <c r="L6" s="3182"/>
      <c r="M6" s="3182"/>
      <c r="N6" s="3182"/>
      <c r="O6" s="3182"/>
      <c r="P6" s="3182"/>
      <c r="Q6" s="3182"/>
      <c r="R6" s="10"/>
      <c r="S6" s="10"/>
      <c r="T6" s="10"/>
      <c r="U6" s="4068"/>
      <c r="V6" s="4068"/>
      <c r="W6" s="12"/>
      <c r="X6" s="1197"/>
      <c r="Y6" s="10"/>
      <c r="Z6" s="10"/>
      <c r="AA6" s="1196"/>
      <c r="AB6" s="3187"/>
      <c r="AC6" s="3187"/>
      <c r="AD6" s="3187"/>
      <c r="AE6" s="3187"/>
      <c r="AF6" s="3187"/>
      <c r="AG6" s="3187"/>
      <c r="AH6" s="10"/>
      <c r="AI6" s="10"/>
      <c r="AJ6" s="3182" t="s">
        <v>1551</v>
      </c>
      <c r="AK6" s="3182"/>
      <c r="AL6" s="3182"/>
      <c r="AM6" s="3182"/>
      <c r="AN6" s="3182"/>
      <c r="AO6" s="3182"/>
      <c r="AP6" s="3182"/>
      <c r="AQ6" s="12"/>
      <c r="AR6" s="1272"/>
      <c r="AS6" s="1218"/>
      <c r="AT6" s="1872"/>
      <c r="AU6" s="1872"/>
      <c r="AV6" s="1872"/>
      <c r="AW6" s="3840" t="s">
        <v>10215</v>
      </c>
      <c r="AX6" s="3840"/>
      <c r="AY6" s="1872">
        <f>20+Principal!AQ12*10+IF(Principal!AQ12&lt;1,0,VLOOKUP(Principal!AQ12,Tablas!$C$14:$D$33,2))+PDs!V185+IF(Acumulacion="Si",PDs!T185*(PDs!K185+PDs!M185+PDs!O185+PDs!Q185+PDs!S185),PDs!T185*Principal!AQ12)+PDs!X185</f>
        <v>20</v>
      </c>
      <c r="AZ6" s="2910"/>
      <c r="BA6" s="1872"/>
      <c r="BB6" s="1872"/>
      <c r="BC6" s="1872"/>
      <c r="BD6" s="1872"/>
      <c r="BE6" s="1872"/>
      <c r="BF6" s="1872"/>
      <c r="BG6" s="1872"/>
      <c r="BH6" s="1872"/>
      <c r="BI6" s="1872"/>
    </row>
    <row r="7" spans="1:61" ht="12" customHeight="1" thickBot="1" x14ac:dyDescent="0.25">
      <c r="A7" s="10"/>
      <c r="B7" s="1233"/>
      <c r="C7" s="3187"/>
      <c r="D7" s="3187"/>
      <c r="E7" s="3187"/>
      <c r="F7" s="3187"/>
      <c r="G7" s="3187"/>
      <c r="H7" s="3187"/>
      <c r="I7" s="10"/>
      <c r="J7" s="10"/>
      <c r="K7" s="3182"/>
      <c r="L7" s="3182"/>
      <c r="M7" s="3182"/>
      <c r="N7" s="3182"/>
      <c r="O7" s="3182"/>
      <c r="P7" s="3182"/>
      <c r="Q7" s="3182"/>
      <c r="R7" s="10"/>
      <c r="S7" s="10"/>
      <c r="T7" s="10"/>
      <c r="U7" s="4068"/>
      <c r="V7" s="4068"/>
      <c r="W7" s="12"/>
      <c r="X7" s="1197"/>
      <c r="Y7" s="10"/>
      <c r="Z7" s="10"/>
      <c r="AA7" s="1196"/>
      <c r="AB7" s="3187"/>
      <c r="AC7" s="3187"/>
      <c r="AD7" s="3187"/>
      <c r="AE7" s="3187"/>
      <c r="AF7" s="3187"/>
      <c r="AG7" s="3187"/>
      <c r="AH7" s="10"/>
      <c r="AI7" s="10"/>
      <c r="AJ7" s="3182"/>
      <c r="AK7" s="3182"/>
      <c r="AL7" s="3182"/>
      <c r="AM7" s="3182"/>
      <c r="AN7" s="3182"/>
      <c r="AO7" s="3182"/>
      <c r="AP7" s="3182"/>
      <c r="AQ7" s="12"/>
      <c r="AR7" s="1272"/>
      <c r="AS7" s="1218"/>
      <c r="AT7" s="1872"/>
      <c r="AU7" s="1872"/>
      <c r="AV7" s="2888"/>
      <c r="AW7" s="2892" t="s">
        <v>10216</v>
      </c>
      <c r="AX7" s="2911"/>
      <c r="AY7" s="1872"/>
      <c r="AZ7" s="2910"/>
      <c r="BA7" s="1872"/>
      <c r="BB7" s="1872"/>
      <c r="BC7" s="1872"/>
      <c r="BD7" s="1872"/>
      <c r="BE7" s="1872"/>
      <c r="BF7" s="1872"/>
      <c r="BG7" s="1872"/>
      <c r="BH7" s="1872"/>
      <c r="BI7" s="1872"/>
    </row>
    <row r="8" spans="1:61" ht="12" customHeight="1" thickBot="1" x14ac:dyDescent="0.25">
      <c r="A8" s="10"/>
      <c r="B8" s="1233"/>
      <c r="C8" s="3187"/>
      <c r="D8" s="3187"/>
      <c r="E8" s="3187"/>
      <c r="F8" s="3187"/>
      <c r="G8" s="3187"/>
      <c r="H8" s="3187"/>
      <c r="I8" s="13"/>
      <c r="J8" s="13"/>
      <c r="K8" s="13"/>
      <c r="L8" s="13"/>
      <c r="M8" s="13"/>
      <c r="N8" s="13"/>
      <c r="O8" s="13"/>
      <c r="P8" s="13"/>
      <c r="Q8" s="13"/>
      <c r="R8" s="13"/>
      <c r="S8" s="13"/>
      <c r="T8" s="13"/>
      <c r="U8" s="13"/>
      <c r="V8" s="13"/>
      <c r="W8" s="1961" t="s">
        <v>9837</v>
      </c>
      <c r="X8" s="1197"/>
      <c r="Y8" s="10"/>
      <c r="Z8" s="10"/>
      <c r="AA8" s="1196"/>
      <c r="AB8" s="3187"/>
      <c r="AC8" s="3187"/>
      <c r="AD8" s="3187"/>
      <c r="AE8" s="3187"/>
      <c r="AF8" s="3187"/>
      <c r="AG8" s="3187"/>
      <c r="AH8" s="13"/>
      <c r="AI8" s="13"/>
      <c r="AJ8" s="13"/>
      <c r="AK8" s="13"/>
      <c r="AL8" s="13"/>
      <c r="AM8" s="13"/>
      <c r="AN8" s="13"/>
      <c r="AO8" s="13"/>
      <c r="AP8" s="13"/>
      <c r="AQ8" s="14"/>
      <c r="AR8" s="1272"/>
      <c r="AS8" s="1218"/>
      <c r="AT8" s="1872"/>
      <c r="AU8" s="1872"/>
      <c r="AV8" s="1872"/>
      <c r="AW8" s="1872"/>
      <c r="AX8" s="1872"/>
      <c r="AY8" s="1872"/>
      <c r="AZ8" s="2910"/>
      <c r="BA8" s="1872"/>
      <c r="BB8" s="1872"/>
      <c r="BC8" s="1872"/>
      <c r="BD8" s="1872"/>
      <c r="BE8" s="1872"/>
      <c r="BF8" s="1872"/>
      <c r="BG8" s="1872"/>
      <c r="BH8" s="1872"/>
      <c r="BI8" s="1872"/>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1872"/>
      <c r="AU9" s="1872"/>
      <c r="AV9" s="1872"/>
      <c r="AW9" s="2912" t="s">
        <v>7416</v>
      </c>
      <c r="AX9" s="2912"/>
      <c r="AY9" s="2912">
        <f t="shared" ref="AY9:BE9" si="0">IF(AY12&gt;AY13,AY12+TRUNC(AY13/2),AY13+TRUNC(AY12/2))+TRUNC(AY14/2)</f>
        <v>0</v>
      </c>
      <c r="AZ9" s="2912">
        <f t="shared" si="0"/>
        <v>0</v>
      </c>
      <c r="BA9" s="2912">
        <f t="shared" si="0"/>
        <v>0</v>
      </c>
      <c r="BB9" s="2912">
        <f t="shared" si="0"/>
        <v>0</v>
      </c>
      <c r="BC9" s="2912">
        <f t="shared" si="0"/>
        <v>0</v>
      </c>
      <c r="BD9" s="2912">
        <f t="shared" si="0"/>
        <v>0</v>
      </c>
      <c r="BE9" s="2912">
        <f t="shared" si="0"/>
        <v>0</v>
      </c>
      <c r="BF9" s="1872"/>
      <c r="BG9" s="1872"/>
      <c r="BH9" s="1872"/>
      <c r="BI9" s="1872"/>
    </row>
    <row r="10" spans="1:61" ht="12" customHeight="1" thickBot="1" x14ac:dyDescent="0.25">
      <c r="A10" s="10"/>
      <c r="B10" s="1233"/>
      <c r="C10" s="4053" t="s">
        <v>1552</v>
      </c>
      <c r="D10" s="4054"/>
      <c r="E10" s="4054"/>
      <c r="F10" s="4054"/>
      <c r="G10" s="4054"/>
      <c r="H10" s="4054"/>
      <c r="I10" s="4054"/>
      <c r="J10" s="4054"/>
      <c r="K10" s="4054"/>
      <c r="L10" s="4054"/>
      <c r="M10" s="4054"/>
      <c r="N10" s="4054"/>
      <c r="O10" s="4054"/>
      <c r="P10" s="4054"/>
      <c r="Q10" s="4054"/>
      <c r="R10" s="4054"/>
      <c r="S10" s="4055"/>
      <c r="U10" s="3197" t="s">
        <v>8881</v>
      </c>
      <c r="V10" s="3198"/>
      <c r="W10" s="3199"/>
      <c r="X10" s="1197"/>
      <c r="Y10" s="10"/>
      <c r="Z10" s="10"/>
      <c r="AA10" s="1196"/>
      <c r="AB10" s="4006" t="s">
        <v>1401</v>
      </c>
      <c r="AC10" s="4013" t="s">
        <v>9499</v>
      </c>
      <c r="AD10" s="4014"/>
      <c r="AE10" s="3999" t="s">
        <v>9500</v>
      </c>
      <c r="AF10" s="4000"/>
      <c r="AG10" s="612"/>
      <c r="AH10" s="3324" t="s">
        <v>1505</v>
      </c>
      <c r="AI10" s="3324"/>
      <c r="AJ10" s="3324"/>
      <c r="AK10" s="3324"/>
      <c r="AL10" s="3998" t="s">
        <v>1553</v>
      </c>
      <c r="AM10" s="3998"/>
      <c r="AN10" s="3998"/>
      <c r="AO10" s="3998"/>
      <c r="AP10" s="3998"/>
      <c r="AQ10" s="3998"/>
      <c r="AR10" s="1272"/>
      <c r="AS10" s="1218"/>
      <c r="AT10" s="2910"/>
      <c r="AU10" s="2910"/>
      <c r="AV10" s="1872"/>
      <c r="AW10" s="2912" t="s">
        <v>1564</v>
      </c>
      <c r="AX10" s="2910"/>
      <c r="AY10" s="2910">
        <f t="array" ref="AY10">IF(AY17&gt;LARGE(IF($AX$17:$AX$27="Natural",AY$17:AY$27,0),1),AY17+TRUNC(LARGE(IF($AX$17:$AX$27="Natural",AY$17:AY$27,0),1)/2),LARGE(IF($AX$17:$AX$27="Natural",AY$17:AY$27,0),1)+TRUNC(AY17/2))+TRUNC(LARGE(IF($AX$17:$AX$27="Natural",AY$17:AY$27,0),2)/2)</f>
        <v>0</v>
      </c>
      <c r="AZ10" s="2910">
        <f t="array" ref="AZ10">IF(AZ17&gt;LARGE(IF($AX$17:$AX$27="Natural",AZ$17:AZ$27,0),1),AZ17+TRUNC(LARGE(IF($AX$17:$AX$27="Natural",AZ$17:AZ$27,0),1)/2),LARGE(IF($AX$17:$AX$27="Natural",AZ$17:AZ$27,0),1)+TRUNC(AZ17/2))+TRUNC(LARGE(IF($AX$17:$AX$27="Natural",AZ$17:AZ$27,0),2)/2)</f>
        <v>0</v>
      </c>
      <c r="BA10" s="2910">
        <f t="array" ref="BA10">IF(BA17&gt;LARGE(IF($AX$17:$AX$27="Natural",BA$17:BA$27,0),1),BA17+TRUNC(LARGE(IF($AX$17:$AX$27="Natural",BA$17:BA$27,0),1)/2),LARGE(IF($AX$17:$AX$27="Natural",BA$17:BA$27,0),1)+TRUNC(BA17/2))+TRUNC(LARGE(IF($AX$17:$AX$27="Natural",BA$17:BA$27,0),2)/2)</f>
        <v>0</v>
      </c>
      <c r="BB10" s="2910">
        <f t="array" ref="BB10">IF(BB17&gt;LARGE(IF($AX$17:$AX$27="Natural",BB$17:BB$27,0),1),BB17+TRUNC(LARGE(IF($AX$17:$AX$27="Natural",BB$17:BB$27,0),1)/2),LARGE(IF($AX$17:$AX$27="Natural",BB$17:BB$27,0),1)+TRUNC(BB17/2))+TRUNC(LARGE(IF($AX$17:$AX$27="Natural",BB$17:BB$27,0),2)/2)</f>
        <v>0</v>
      </c>
      <c r="BC10" s="2910">
        <f t="array" ref="BC10">IF(BC17&gt;LARGE(IF($AX$17:$AX$27="Natural",BC$17:BC$27,0),1),BC17+TRUNC(LARGE(IF($AX$17:$AX$27="Natural",BC$17:BC$27,0),1)/2),LARGE(IF($AX$17:$AX$27="Natural",BC$17:BC$27,0),1)+TRUNC(BC17/2))+TRUNC(LARGE(IF($AX$17:$AX$27="Natural",BC$17:BC$27,0),2)/2)</f>
        <v>0</v>
      </c>
      <c r="BD10" s="2910">
        <f t="array" ref="BD10">IF(BD17&gt;LARGE(IF($AX$17:$AX$27="Natural",BD$17:BD$27,0),1),BD17+TRUNC(LARGE(IF($AX$17:$AX$27="Natural",BD$17:BD$27,0),1)/2),LARGE(IF($AX$17:$AX$27="Natural",BD$17:BD$27,0),1)+TRUNC(BD17/2))+TRUNC(LARGE(IF($AX$17:$AX$27="Natural",BD$17:BD$27,0),2)/2)</f>
        <v>0</v>
      </c>
      <c r="BE10" s="2910">
        <f t="array" ref="BE10">IF(BE17&gt;LARGE(IF($AX$17:$AX$27="Natural",BE$17:BE$27,0),1),BE17+TRUNC(LARGE(IF($AX$17:$AX$27="Natural",BE$17:BE$27,0),1)/2),LARGE(IF($AX$17:$AX$27="Natural",BE$17:BE$27,0),1)+TRUNC(BE17/2))+TRUNC(LARGE(IF($AX$17:$AX$27="Natural",BE$17:BE$27,0),2)/2)</f>
        <v>0</v>
      </c>
      <c r="BF10" s="1872"/>
      <c r="BG10" s="1872"/>
      <c r="BH10" s="1872"/>
      <c r="BI10" s="1872"/>
    </row>
    <row r="11" spans="1:61" ht="12" customHeight="1" thickBot="1" x14ac:dyDescent="0.25">
      <c r="A11" s="10"/>
      <c r="B11" s="1233"/>
      <c r="C11" s="4057" t="s">
        <v>1552</v>
      </c>
      <c r="D11" s="4058"/>
      <c r="E11" s="4058"/>
      <c r="F11" s="4059" t="s">
        <v>1331</v>
      </c>
      <c r="G11" s="4059"/>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7154</v>
      </c>
      <c r="U11" s="1555" t="s">
        <v>1570</v>
      </c>
      <c r="V11" s="1858" t="s">
        <v>1571</v>
      </c>
      <c r="W11" s="1612" t="s">
        <v>7480</v>
      </c>
      <c r="X11" s="614"/>
      <c r="Y11" s="10"/>
      <c r="Z11" s="10"/>
      <c r="AA11" s="1196"/>
      <c r="AB11" s="4007"/>
      <c r="AC11" s="4015"/>
      <c r="AD11" s="4016"/>
      <c r="AE11" s="4001"/>
      <c r="AF11" s="4002"/>
      <c r="AH11" s="3995" t="str">
        <f>IF(PDs!$E40=0,"",PDs!$E40)</f>
        <v/>
      </c>
      <c r="AI11" s="3995"/>
      <c r="AJ11" s="3995"/>
      <c r="AK11" s="3995"/>
      <c r="AL11" s="3996" t="str">
        <f>IF(PDs!$AD40=0,"",PDs!$V40&amp;" ")&amp;IF(PDs!$AD40=0,"",IF(PDs!$Y40=0,"",PDs!$Y40))</f>
        <v xml:space="preserve"> </v>
      </c>
      <c r="AM11" s="3996"/>
      <c r="AN11" s="3996"/>
      <c r="AO11" s="3996"/>
      <c r="AP11" s="3996"/>
      <c r="AQ11" s="3996"/>
      <c r="AR11" s="1272"/>
      <c r="AS11" s="1218"/>
      <c r="AT11" s="2910"/>
      <c r="AU11" s="2910"/>
      <c r="AV11" s="1872"/>
      <c r="AW11" s="1872"/>
      <c r="AX11" s="1872"/>
      <c r="AY11" s="1872"/>
      <c r="AZ11" s="1872"/>
      <c r="BA11" s="1872"/>
      <c r="BB11" s="1872"/>
      <c r="BC11" s="1872"/>
      <c r="BD11" s="1872"/>
      <c r="BE11" s="1872"/>
      <c r="BF11" s="1872"/>
      <c r="BG11" s="1872"/>
      <c r="BH11" s="1872"/>
      <c r="BI11" s="1872"/>
    </row>
    <row r="12" spans="1:61" ht="12" customHeight="1" thickBot="1" x14ac:dyDescent="0.25">
      <c r="A12" s="10"/>
      <c r="B12" s="1233"/>
      <c r="C12" s="4064"/>
      <c r="D12" s="4065"/>
      <c r="E12" s="4065"/>
      <c r="F12" s="4066" t="str">
        <f>IF(C12=0,"",VLOOKUP(C12,Tabla_Armaduras,7,FALSE))</f>
        <v/>
      </c>
      <c r="G12" s="4067"/>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56"/>
      <c r="V12" s="4052"/>
      <c r="W12" s="4031">
        <f>U12/100*V12</f>
        <v>0</v>
      </c>
      <c r="X12" s="614"/>
      <c r="Y12" s="10"/>
      <c r="Z12" s="10"/>
      <c r="AA12" s="1196"/>
      <c r="AB12" s="4007"/>
      <c r="AC12" s="4003" t="s">
        <v>9501</v>
      </c>
      <c r="AD12" s="4005"/>
      <c r="AE12" s="4003" t="s">
        <v>9502</v>
      </c>
      <c r="AF12" s="4004"/>
      <c r="AH12" s="4017" t="str">
        <f>IF(PDs!$E41=0,"",PDs!$E41)</f>
        <v/>
      </c>
      <c r="AI12" s="4017"/>
      <c r="AJ12" s="4017"/>
      <c r="AK12" s="4017"/>
      <c r="AL12" s="3997" t="str">
        <f>IF(PDs!$AD41=0,"",PDs!$V41&amp;" ")&amp;IF(PDs!$AD41=0,"",IF(PDs!$Y41=0,"",PDs!$Y41))</f>
        <v xml:space="preserve"> </v>
      </c>
      <c r="AM12" s="3997"/>
      <c r="AN12" s="3997"/>
      <c r="AO12" s="3997"/>
      <c r="AP12" s="3997"/>
      <c r="AQ12" s="3997"/>
      <c r="AR12" s="1272"/>
      <c r="AS12" s="1218"/>
      <c r="AT12" s="2910"/>
      <c r="AU12" s="2910"/>
      <c r="AV12" s="1872"/>
      <c r="AW12" s="2912" t="s">
        <v>9838</v>
      </c>
      <c r="AX12" s="2912"/>
      <c r="AY12" s="2910">
        <f t="array" ref="AY12">LARGE(IF($AX$18:$AX$27="Dura",AY$18:AY$27,0),1)</f>
        <v>0</v>
      </c>
      <c r="AZ12" s="2910">
        <f t="array" ref="AZ12">LARGE(IF($AX$18:$AX$27="Dura",AZ$18:AZ$27,0),1)</f>
        <v>0</v>
      </c>
      <c r="BA12" s="2910">
        <f t="array" ref="BA12">LARGE(IF($AX$18:$AX$27="Dura",BA$18:BA$27,0),1)</f>
        <v>0</v>
      </c>
      <c r="BB12" s="2910">
        <f t="array" ref="BB12">LARGE(IF($AX$18:$AX$27="Dura",BB$18:BB$27,0),1)</f>
        <v>0</v>
      </c>
      <c r="BC12" s="2910">
        <f t="array" ref="BC12">LARGE(IF($AX$18:$AX$27="Dura",BC$18:BC$27,0),1)</f>
        <v>0</v>
      </c>
      <c r="BD12" s="2910">
        <f t="array" ref="BD12">LARGE(IF($AX$18:$AX$27="Dura",BD$18:BD$27,0),1)</f>
        <v>0</v>
      </c>
      <c r="BE12" s="2910">
        <f t="array" ref="BE12">LARGE(IF($AX$18:$AX$27="Dura",BE$18:BE$27,0),1)</f>
        <v>0</v>
      </c>
      <c r="BF12" s="1872"/>
      <c r="BG12" s="1872"/>
      <c r="BH12" s="1872"/>
      <c r="BI12" s="1872"/>
    </row>
    <row r="13" spans="1:61" ht="12" customHeight="1" thickBot="1" x14ac:dyDescent="0.25">
      <c r="A13" s="10"/>
      <c r="B13" s="1233"/>
      <c r="C13" s="4060"/>
      <c r="D13" s="4061"/>
      <c r="E13" s="4061"/>
      <c r="F13" s="4062" t="str">
        <f>IF(C13=0,"",VLOOKUP(C13,Tabla_Armaduras,7,FALSE))</f>
        <v/>
      </c>
      <c r="G13" s="4063"/>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56"/>
      <c r="V13" s="4052"/>
      <c r="W13" s="4032"/>
      <c r="X13" s="614"/>
      <c r="Y13" s="10"/>
      <c r="Z13" s="10"/>
      <c r="AA13" s="1196"/>
      <c r="AB13" s="4007"/>
      <c r="AC13" s="4003"/>
      <c r="AD13" s="4005"/>
      <c r="AE13" s="4003"/>
      <c r="AF13" s="4004"/>
      <c r="AH13" s="4017" t="str">
        <f>IF(PDs!$E42=0,"",PDs!$E42)</f>
        <v/>
      </c>
      <c r="AI13" s="4017"/>
      <c r="AJ13" s="4017"/>
      <c r="AK13" s="4017"/>
      <c r="AL13" s="3997" t="str">
        <f>IF(PDs!$AD42=0,"",PDs!$V42&amp;" ")&amp;IF(PDs!$AD42=0,"",IF(PDs!$Y42=0,"",PDs!$Y42))</f>
        <v xml:space="preserve"> </v>
      </c>
      <c r="AM13" s="3997"/>
      <c r="AN13" s="3997"/>
      <c r="AO13" s="3997"/>
      <c r="AP13" s="3997"/>
      <c r="AQ13" s="3997"/>
      <c r="AR13" s="1272"/>
      <c r="AS13" s="1218"/>
      <c r="AT13" s="2910"/>
      <c r="AU13" s="2910"/>
      <c r="AV13" s="1872"/>
      <c r="AW13" s="2912" t="s">
        <v>9841</v>
      </c>
      <c r="AX13" s="2912"/>
      <c r="AY13" s="2910">
        <f t="array" ref="AY13">LARGE(IF($AX$18:$AX$27&lt;&gt;"Dura",AY$18:AY$27,0),1)</f>
        <v>0</v>
      </c>
      <c r="AZ13" s="2910">
        <f t="array" ref="AZ13">LARGE(IF($AX$18:$AX$27&lt;&gt;"Dura",AZ$18:AZ$27,0),1)</f>
        <v>0</v>
      </c>
      <c r="BA13" s="2910">
        <f t="array" ref="BA13">LARGE(IF($AX$18:$AX$27&lt;&gt;"Dura",BA$18:BA$27,0),1)</f>
        <v>0</v>
      </c>
      <c r="BB13" s="2910">
        <f t="array" ref="BB13">LARGE(IF($AX$18:$AX$27&lt;&gt;"Dura",BB$18:BB$27,0),1)</f>
        <v>0</v>
      </c>
      <c r="BC13" s="2910">
        <f t="array" ref="BC13">LARGE(IF($AX$18:$AX$27&lt;&gt;"Dura",BC$18:BC$27,0),1)</f>
        <v>0</v>
      </c>
      <c r="BD13" s="2910">
        <f t="array" ref="BD13">LARGE(IF($AX$18:$AX$27&lt;&gt;"Dura",BD$18:BD$27,0),1)</f>
        <v>0</v>
      </c>
      <c r="BE13" s="2910">
        <f t="array" ref="BE13">LARGE(IF($AX$18:$AX$27&lt;&gt;"Dura",BE$18:BE$27,0),1)</f>
        <v>0</v>
      </c>
      <c r="BF13" s="1872"/>
      <c r="BG13" s="1872"/>
      <c r="BH13" s="1872"/>
      <c r="BI13" s="1872"/>
    </row>
    <row r="14" spans="1:61" ht="12" customHeight="1" thickBot="1" x14ac:dyDescent="0.25">
      <c r="A14" s="10"/>
      <c r="B14" s="1233"/>
      <c r="C14" s="4109"/>
      <c r="D14" s="4110"/>
      <c r="E14" s="4110"/>
      <c r="F14" s="4101" t="str">
        <f>IF(C14=0,"",VLOOKUP(C14,Tabla_Armaduras,7,FALSE))</f>
        <v/>
      </c>
      <c r="G14" s="4101"/>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56"/>
      <c r="V14" s="4052"/>
      <c r="W14" s="4031">
        <f>U14/100*V14</f>
        <v>0</v>
      </c>
      <c r="X14" s="614"/>
      <c r="Y14" s="10"/>
      <c r="Z14" s="10"/>
      <c r="AA14" s="1196"/>
      <c r="AB14" s="4007"/>
      <c r="AC14" s="2132" t="s">
        <v>1421</v>
      </c>
      <c r="AD14" s="2402"/>
      <c r="AE14" s="2132" t="s">
        <v>1421</v>
      </c>
      <c r="AF14" s="2522"/>
      <c r="AH14" s="4017" t="str">
        <f>IF(PDs!$E43=0,"",PDs!$E43)</f>
        <v/>
      </c>
      <c r="AI14" s="4017"/>
      <c r="AJ14" s="4017"/>
      <c r="AK14" s="4017"/>
      <c r="AL14" s="3997" t="str">
        <f>IF(PDs!$AD43=0,"",PDs!$V43&amp;" ")&amp;IF(PDs!$AD43=0,"",IF(PDs!$Y43=0,"",PDs!$Y43))</f>
        <v xml:space="preserve"> </v>
      </c>
      <c r="AM14" s="3997"/>
      <c r="AN14" s="3997"/>
      <c r="AO14" s="3997"/>
      <c r="AP14" s="3997"/>
      <c r="AQ14" s="3997"/>
      <c r="AR14" s="1272"/>
      <c r="AS14" s="1218"/>
      <c r="AT14" s="2910"/>
      <c r="AU14" s="2910"/>
      <c r="AV14" s="1872"/>
      <c r="AW14" s="2912" t="s">
        <v>9840</v>
      </c>
      <c r="AX14" s="2912"/>
      <c r="AY14" s="2910">
        <f t="array" ref="AY14">LARGE(IF($AX$18:$AX$27&lt;&gt;"Dura",AY$18:AY$27,0),2)</f>
        <v>0</v>
      </c>
      <c r="AZ14" s="2910">
        <f t="array" ref="AZ14">LARGE(IF($AX$18:$AX$27&lt;&gt;"Dura",AZ$18:AZ$27,0),2)</f>
        <v>0</v>
      </c>
      <c r="BA14" s="2910">
        <f t="array" ref="BA14">LARGE(IF($AX$18:$AX$27&lt;&gt;"Dura",BA$18:BA$27,0),2)</f>
        <v>0</v>
      </c>
      <c r="BB14" s="2910">
        <f t="array" ref="BB14">LARGE(IF($AX$18:$AX$27&lt;&gt;"Dura",BB$18:BB$27,0),2)</f>
        <v>0</v>
      </c>
      <c r="BC14" s="2910">
        <f t="array" ref="BC14">LARGE(IF($AX$18:$AX$27&lt;&gt;"Dura",BC$18:BC$27,0),2)</f>
        <v>0</v>
      </c>
      <c r="BD14" s="2910">
        <f t="array" ref="BD14">LARGE(IF($AX$18:$AX$27&lt;&gt;"Dura",BD$18:BD$27,0),2)</f>
        <v>0</v>
      </c>
      <c r="BE14" s="2910">
        <f t="array" ref="BE14">LARGE(IF($AX$18:$AX$27&lt;&gt;"Dura",BE$18:BE$27,0),2)</f>
        <v>0</v>
      </c>
      <c r="BF14" s="1872"/>
      <c r="BG14" s="1872"/>
      <c r="BH14" s="1872"/>
      <c r="BI14" s="1872"/>
    </row>
    <row r="15" spans="1:61" ht="12" customHeight="1" thickBot="1" x14ac:dyDescent="0.25">
      <c r="A15" s="10"/>
      <c r="B15" s="1233"/>
      <c r="C15" s="4104"/>
      <c r="D15" s="4105"/>
      <c r="E15" s="4106"/>
      <c r="F15" s="4077" t="s">
        <v>1564</v>
      </c>
      <c r="G15" s="4077"/>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56"/>
      <c r="V15" s="4052"/>
      <c r="W15" s="4032"/>
      <c r="X15" s="614"/>
      <c r="Y15" s="10"/>
      <c r="Z15" s="10"/>
      <c r="AA15" s="1196"/>
      <c r="AB15" s="4007"/>
      <c r="AC15" s="4011" t="s">
        <v>1352</v>
      </c>
      <c r="AD15" s="4029">
        <f>AW5+AD14+AY5</f>
        <v>0</v>
      </c>
      <c r="AE15" s="4011" t="s">
        <v>1352</v>
      </c>
      <c r="AF15" s="4009">
        <f>S16+AF14</f>
        <v>0</v>
      </c>
      <c r="AH15" s="4017" t="str">
        <f>IF(PDs!$E44=0,"",PDs!$E44)</f>
        <v/>
      </c>
      <c r="AI15" s="4017"/>
      <c r="AJ15" s="4017"/>
      <c r="AK15" s="4017"/>
      <c r="AL15" s="3997" t="str">
        <f>IF(PDs!$AD44=0,"",PDs!$V44&amp;" ")&amp;IF(PDs!$AD44=0,"",IF(PDs!$Y44=0,"",PDs!$Y44))</f>
        <v xml:space="preserve"> </v>
      </c>
      <c r="AM15" s="3997"/>
      <c r="AN15" s="3997"/>
      <c r="AO15" s="3997"/>
      <c r="AP15" s="3997"/>
      <c r="AQ15" s="3997"/>
      <c r="AR15" s="1272"/>
      <c r="AS15" s="1218"/>
      <c r="AT15" s="2910"/>
      <c r="AU15" s="2910"/>
      <c r="AV15" s="1872"/>
      <c r="AW15" s="2910" t="s">
        <v>7418</v>
      </c>
      <c r="AX15" s="2910"/>
      <c r="AY15" s="2910"/>
      <c r="AZ15" s="2910"/>
      <c r="BA15" s="2910"/>
      <c r="BB15" s="2910"/>
      <c r="BC15" s="2910"/>
      <c r="BD15" s="2910"/>
      <c r="BE15" s="2910"/>
      <c r="BF15" s="1872"/>
      <c r="BG15" s="1872"/>
      <c r="BH15" s="1872"/>
      <c r="BI15" s="1872"/>
    </row>
    <row r="16" spans="1:61" ht="12" customHeight="1" thickBot="1" x14ac:dyDescent="0.25">
      <c r="A16" s="10"/>
      <c r="B16" s="1233"/>
      <c r="C16" s="4078" t="s">
        <v>1565</v>
      </c>
      <c r="D16" s="4079"/>
      <c r="E16" s="4082">
        <f>MAX(0,R12+R13+R14-MAX(0,TRUNC((LlevarArmadura_final-H16)/50,0)))</f>
        <v>0</v>
      </c>
      <c r="F16" s="4084" t="s">
        <v>1566</v>
      </c>
      <c r="G16" s="4084"/>
      <c r="H16" s="1904">
        <f>SUM(BF17:BF20)</f>
        <v>0</v>
      </c>
      <c r="I16" s="4085">
        <f t="shared" ref="I16:O16" si="2">AY$9</f>
        <v>0</v>
      </c>
      <c r="J16" s="4071">
        <f t="shared" si="2"/>
        <v>0</v>
      </c>
      <c r="K16" s="4071">
        <f t="shared" si="2"/>
        <v>0</v>
      </c>
      <c r="L16" s="4071">
        <f t="shared" si="2"/>
        <v>0</v>
      </c>
      <c r="M16" s="4071">
        <f t="shared" si="2"/>
        <v>0</v>
      </c>
      <c r="N16" s="4071">
        <f t="shared" si="2"/>
        <v>0</v>
      </c>
      <c r="O16" s="4072">
        <f t="shared" si="2"/>
        <v>0</v>
      </c>
      <c r="P16" s="4074" t="s">
        <v>8556</v>
      </c>
      <c r="Q16" s="4075"/>
      <c r="R16" s="4075"/>
      <c r="S16" s="1235">
        <f>IF(H16=0,0,MIN(LlevarArmadura_final-H16,0))</f>
        <v>0</v>
      </c>
      <c r="U16" s="4056"/>
      <c r="V16" s="4052"/>
      <c r="W16" s="4031">
        <f>U16/100*V16</f>
        <v>0</v>
      </c>
      <c r="X16" s="614"/>
      <c r="Y16" s="10"/>
      <c r="Z16" s="10"/>
      <c r="AA16" s="1196"/>
      <c r="AB16" s="4008"/>
      <c r="AC16" s="4012"/>
      <c r="AD16" s="4030"/>
      <c r="AE16" s="4012"/>
      <c r="AF16" s="4010"/>
      <c r="AH16" s="4027" t="str">
        <f>IF(PDs!$E45=0,"",PDs!$E45)</f>
        <v/>
      </c>
      <c r="AI16" s="4027"/>
      <c r="AJ16" s="4027"/>
      <c r="AK16" s="4027"/>
      <c r="AL16" s="4028" t="str">
        <f>IF(PDs!$AD45=0,"",PDs!$V45&amp;" ")&amp;IF(PDs!$AD45=0,"",IF(PDs!$Y45=0,"",PDs!$Y45))</f>
        <v xml:space="preserve"> </v>
      </c>
      <c r="AM16" s="4028"/>
      <c r="AN16" s="4028"/>
      <c r="AO16" s="4028"/>
      <c r="AP16" s="4028"/>
      <c r="AQ16" s="4028"/>
      <c r="AR16" s="1272"/>
      <c r="AS16" s="1218"/>
      <c r="AT16" s="2910"/>
      <c r="AU16" s="2910"/>
      <c r="AV16" s="1872"/>
      <c r="AW16" s="2910"/>
      <c r="AX16" s="2910" t="s">
        <v>9839</v>
      </c>
      <c r="AY16" s="2910" t="str">
        <f t="shared" ref="AY16:BE16" si="3">I11</f>
        <v>FIL</v>
      </c>
      <c r="AZ16" s="2910" t="str">
        <f t="shared" si="3"/>
        <v>CON</v>
      </c>
      <c r="BA16" s="2910" t="str">
        <f t="shared" si="3"/>
        <v>PEN</v>
      </c>
      <c r="BB16" s="2910" t="str">
        <f t="shared" si="3"/>
        <v>CAL</v>
      </c>
      <c r="BC16" s="2910" t="str">
        <f t="shared" si="3"/>
        <v>ELE</v>
      </c>
      <c r="BD16" s="2910" t="str">
        <f t="shared" si="3"/>
        <v>FRI</v>
      </c>
      <c r="BE16" s="2910" t="str">
        <f t="shared" si="3"/>
        <v>ENE</v>
      </c>
      <c r="BF16" s="1872" t="s">
        <v>10275</v>
      </c>
      <c r="BG16" s="1872" t="s">
        <v>10276</v>
      </c>
      <c r="BH16" s="1872"/>
      <c r="BI16" s="1872"/>
    </row>
    <row r="17" spans="1:61" ht="12" customHeight="1" thickBot="1" x14ac:dyDescent="0.25">
      <c r="A17" s="10"/>
      <c r="B17" s="1405"/>
      <c r="C17" s="4080"/>
      <c r="D17" s="4081"/>
      <c r="E17" s="4083"/>
      <c r="F17" s="4108" t="s">
        <v>1567</v>
      </c>
      <c r="G17" s="4108"/>
      <c r="H17" s="481">
        <f>SUM(BG18:BG20)</f>
        <v>0</v>
      </c>
      <c r="I17" s="4086"/>
      <c r="J17" s="3640"/>
      <c r="K17" s="3640"/>
      <c r="L17" s="3640"/>
      <c r="M17" s="3640"/>
      <c r="N17" s="3640"/>
      <c r="O17" s="4073"/>
      <c r="P17" s="4107" t="s">
        <v>8550</v>
      </c>
      <c r="Q17" s="3262"/>
      <c r="R17" s="3262"/>
      <c r="S17" s="1394">
        <f>MIN(MAX(LlevarArmadura_final-H16,0)+H17,0)+MAX(MIN(-20*IF(OR(C12=0,AX18="Natural"),0,1)-20*IF(OR(C13=0,AX19="Natural"),0,1)-20*IF(OR(C14=0,AX20="Natural"),0,1)+20,0),-40)</f>
        <v>0</v>
      </c>
      <c r="U17" s="4102"/>
      <c r="V17" s="4103"/>
      <c r="W17" s="4032"/>
      <c r="X17" s="1197"/>
      <c r="Y17" s="10"/>
      <c r="Z17" s="10"/>
      <c r="AA17" s="1196"/>
      <c r="AM17" s="23"/>
      <c r="AN17" s="23"/>
      <c r="AO17" s="23"/>
      <c r="AP17" s="23"/>
      <c r="AQ17" s="23"/>
      <c r="AR17" s="1272"/>
      <c r="AS17" s="1218"/>
      <c r="AT17" s="2910" t="s">
        <v>9774</v>
      </c>
      <c r="AU17" s="2910"/>
      <c r="AV17" s="1872"/>
      <c r="AW17" s="1872" t="s">
        <v>9842</v>
      </c>
      <c r="AX17" s="1872" t="s">
        <v>9843</v>
      </c>
      <c r="AY17" s="2888">
        <f>IF($C15=0,0,$H15/5+VLOOKUP($C15,Tabla_Yelmos,Tablas!H$1,FALSE))</f>
        <v>0</v>
      </c>
      <c r="AZ17" s="2888">
        <f>IF($C15=0,0,$H15/5+VLOOKUP($C15,Tabla_Yelmos,Tablas!I$1,FALSE))</f>
        <v>0</v>
      </c>
      <c r="BA17" s="2888">
        <f>IF($C15=0,0,$H15/5+VLOOKUP($C15,Tabla_Yelmos,Tablas!J$1,FALSE))</f>
        <v>0</v>
      </c>
      <c r="BB17" s="2888">
        <f>IF($C15=0,0,$H15/5+VLOOKUP($C15,Tabla_Yelmos,Tablas!K$1,FALSE))</f>
        <v>0</v>
      </c>
      <c r="BC17" s="2888">
        <f>IF($C15=0,0,$H15/5+VLOOKUP($C15,Tabla_Yelmos,Tablas!L$1,FALSE))</f>
        <v>0</v>
      </c>
      <c r="BD17" s="2888">
        <f>IF($C15=0,0,$H15/5+VLOOKUP($C15,Tabla_Yelmos,Tablas!M$1,FALSE))</f>
        <v>0</v>
      </c>
      <c r="BE17" s="2888">
        <f>IF($C15=0,0,IF(S15="Si",$H15/5,0)+VLOOKUP($C15,Tabla_Yelmos,Tablas!N$1,FALSE))</f>
        <v>0</v>
      </c>
      <c r="BF17" s="1872">
        <f>IFERROR(MAX(0,VLOOKUP(C15,Tabla_Yelmos,2,FALSE)-H15),0)</f>
        <v>0</v>
      </c>
      <c r="BG17" s="1872"/>
      <c r="BH17" s="1872"/>
      <c r="BI17" s="1872"/>
    </row>
    <row r="18" spans="1:61" ht="12" customHeight="1" thickBot="1" x14ac:dyDescent="0.25">
      <c r="A18" s="10"/>
      <c r="B18" s="1233"/>
      <c r="C18" s="4076" t="str">
        <f>IF(COUNTIF(AY21:BE27,"&gt;0")&gt;0,"Armaduras especiales aplicadas:","")</f>
        <v/>
      </c>
      <c r="D18" s="4076"/>
      <c r="E18" s="4076"/>
      <c r="F18" s="4076"/>
      <c r="G18" s="4076"/>
      <c r="H18" s="4111" t="str">
        <f>BF23&amp;BG23&amp;BF24&amp;BG24&amp;BF25&amp;BG25&amp;BF26&amp;BG26&amp;BF27</f>
        <v/>
      </c>
      <c r="I18" s="4111"/>
      <c r="J18" s="4111"/>
      <c r="K18" s="4111"/>
      <c r="L18" s="4111"/>
      <c r="M18" s="4111"/>
      <c r="N18" s="4111"/>
      <c r="O18" s="4111"/>
      <c r="P18" s="4111"/>
      <c r="Q18" s="4111"/>
      <c r="R18" s="4111"/>
      <c r="S18" s="4111"/>
      <c r="T18" s="37"/>
      <c r="X18" s="1197"/>
      <c r="Y18" s="10"/>
      <c r="Z18" s="10"/>
      <c r="AA18" s="1196"/>
      <c r="AB18" s="3324" t="s">
        <v>1506</v>
      </c>
      <c r="AC18" s="3324"/>
      <c r="AD18" s="3324"/>
      <c r="AE18" s="3324"/>
      <c r="AF18" s="3324"/>
      <c r="AG18" s="3324"/>
      <c r="AH18" s="3998" t="s">
        <v>1553</v>
      </c>
      <c r="AI18" s="3998"/>
      <c r="AJ18" s="3998"/>
      <c r="AK18" s="3998"/>
      <c r="AL18" s="3998"/>
      <c r="AM18" s="3998"/>
      <c r="AN18" s="3998"/>
      <c r="AO18" s="3998"/>
      <c r="AP18" s="3998"/>
      <c r="AQ18" s="3998"/>
      <c r="AR18" s="1272"/>
      <c r="AS18" s="1218"/>
      <c r="AT18" s="3988">
        <f>HA_final-PDs!$X$22-IF(C20="Desarmado",IF(C21="Conocida",0,60),0)+MIN(PDs!$X$22+F24,50)+BonoMaestro_HA-IF(Tablas!$H$527&lt;&gt;0,IF(Arma_Desarrollada="Desarmado",0,30),0)</f>
        <v>0</v>
      </c>
      <c r="AU18" s="3988"/>
      <c r="AV18" s="1872"/>
      <c r="AW18" s="2910" t="s">
        <v>7398</v>
      </c>
      <c r="AX18" s="2910">
        <f>IF(C12=0,0,VLOOKUP($C12,Tabla_Armaduras,8,FALSE))</f>
        <v>0</v>
      </c>
      <c r="AY18" s="2910">
        <f t="shared" ref="AY18:BE18" si="4">I$12</f>
        <v>0</v>
      </c>
      <c r="AZ18" s="2910">
        <f t="shared" si="4"/>
        <v>0</v>
      </c>
      <c r="BA18" s="2910">
        <f t="shared" si="4"/>
        <v>0</v>
      </c>
      <c r="BB18" s="2910">
        <f t="shared" si="4"/>
        <v>0</v>
      </c>
      <c r="BC18" s="2910">
        <f t="shared" si="4"/>
        <v>0</v>
      </c>
      <c r="BD18" s="2910">
        <f t="shared" si="4"/>
        <v>0</v>
      </c>
      <c r="BE18" s="2910">
        <f t="shared" si="4"/>
        <v>0</v>
      </c>
      <c r="BF18" s="1872">
        <f>IFERROR(MAX(0,VLOOKUP(C12,Tabla_Armaduras,2,FALSE)-H12),0)</f>
        <v>0</v>
      </c>
      <c r="BG18" s="1872">
        <f>IFERROR(MIN(0,VLOOKUP(C12,Tabla_Armaduras,3,FALSE)+H12),0)</f>
        <v>0</v>
      </c>
      <c r="BH18" s="1872"/>
      <c r="BI18" s="1872"/>
    </row>
    <row r="19" spans="1:61" ht="12" customHeight="1" thickBot="1" x14ac:dyDescent="0.25">
      <c r="A19" s="10"/>
      <c r="B19" s="1233"/>
      <c r="X19" s="614"/>
      <c r="Y19" s="10"/>
      <c r="Z19" s="10"/>
      <c r="AA19" s="1196"/>
      <c r="AB19" s="3987" t="str">
        <f>IF(PDs!$E46="","",PDs!$E46&amp;IF(AND(PDs!AD46=1,PDs!M46/PDs!L46+PDs!O46/PDs!N46+PDs!Q46/PDs!P46+PDs!S46/PDs!R46+PDs!U46/PDs!T46&gt;1)," ("&amp;PDs!M46/PDs!L46+PDs!O46/PDs!N46+PDs!Q46/PDs!P46+PDs!S46/PDs!R46+PDs!U46/PDs!T46&amp;")",""))</f>
        <v/>
      </c>
      <c r="AC19" s="3987"/>
      <c r="AD19" s="3987"/>
      <c r="AE19" s="3987"/>
      <c r="AF19" s="3987"/>
      <c r="AG19" s="3987"/>
      <c r="AH19" s="3992" t="str">
        <f>IF(PDs!$V46=0,"",PDs!$V46)</f>
        <v/>
      </c>
      <c r="AI19" s="3992"/>
      <c r="AJ19" s="3992"/>
      <c r="AK19" s="3992"/>
      <c r="AL19" s="3992"/>
      <c r="AM19" s="3992"/>
      <c r="AN19" s="3992"/>
      <c r="AO19" s="3992"/>
      <c r="AP19" s="3992"/>
      <c r="AQ19" s="3992"/>
      <c r="AR19" s="1272"/>
      <c r="AS19" s="1218"/>
      <c r="AT19" s="2910" t="s">
        <v>8495</v>
      </c>
      <c r="AU19" s="2910"/>
      <c r="AV19" s="1872"/>
      <c r="AW19" s="2910" t="s">
        <v>7399</v>
      </c>
      <c r="AX19" s="2910">
        <f>IF(C13=0,0,VLOOKUP($C13,Tabla_Armaduras,8,FALSE))</f>
        <v>0</v>
      </c>
      <c r="AY19" s="2910">
        <f t="shared" ref="AY19:BE19" si="5">I$13</f>
        <v>0</v>
      </c>
      <c r="AZ19" s="2910">
        <f t="shared" si="5"/>
        <v>0</v>
      </c>
      <c r="BA19" s="2910">
        <f t="shared" si="5"/>
        <v>0</v>
      </c>
      <c r="BB19" s="2910">
        <f t="shared" si="5"/>
        <v>0</v>
      </c>
      <c r="BC19" s="2910">
        <f t="shared" si="5"/>
        <v>0</v>
      </c>
      <c r="BD19" s="2910">
        <f t="shared" si="5"/>
        <v>0</v>
      </c>
      <c r="BE19" s="2910">
        <f t="shared" si="5"/>
        <v>0</v>
      </c>
      <c r="BF19" s="1872">
        <f>IFERROR(MAX(0,VLOOKUP(C13,Tabla_Armaduras,2,FALSE)-H13),0)</f>
        <v>0</v>
      </c>
      <c r="BG19" s="1872">
        <f>IFERROR(MIN(0,VLOOKUP(C13,Tabla_Armaduras,3,FALSE)+H13),0)</f>
        <v>0</v>
      </c>
      <c r="BH19" s="1872"/>
      <c r="BI19" s="1872"/>
    </row>
    <row r="20" spans="1:61" ht="12" customHeight="1" thickBot="1" x14ac:dyDescent="0.25">
      <c r="A20" s="10"/>
      <c r="B20" s="1233"/>
      <c r="C20" s="4087" t="str">
        <f>IF(COUNTA(PDs!$E$56:$E$74)&gt;0,"Artes Marciales","Desarmado")</f>
        <v>Desarmado</v>
      </c>
      <c r="D20" s="4088"/>
      <c r="E20" s="4089"/>
      <c r="F20" s="4089"/>
      <c r="G20" s="4089"/>
      <c r="H20" s="1925" t="s">
        <v>1396</v>
      </c>
      <c r="I20" s="1926" t="s">
        <v>1568</v>
      </c>
      <c r="J20" s="4047" t="s">
        <v>1569</v>
      </c>
      <c r="K20" s="4047"/>
      <c r="L20" s="1927" t="s">
        <v>1570</v>
      </c>
      <c r="N20" s="4018" t="s">
        <v>8854</v>
      </c>
      <c r="O20" s="4019"/>
      <c r="P20" s="4020"/>
      <c r="R20" s="2998" t="s">
        <v>8900</v>
      </c>
      <c r="S20" s="2999"/>
      <c r="T20" s="2999"/>
      <c r="U20" s="2999"/>
      <c r="V20" s="2999"/>
      <c r="W20" s="3000"/>
      <c r="X20" s="614"/>
      <c r="Y20" s="10"/>
      <c r="Z20" s="10"/>
      <c r="AA20" s="1196"/>
      <c r="AB20" s="3987" t="str">
        <f>IF(PDs!$E47="","",PDs!$E47&amp;IF(AND(PDs!AD47=1,PDs!M47/PDs!L47+PDs!O47/PDs!N47+PDs!Q47/PDs!P47+PDs!S47/PDs!R47+PDs!U47/PDs!T47&gt;1)," ("&amp;PDs!M47/PDs!L47+PDs!O47/PDs!N47+PDs!Q47/PDs!P47+PDs!S47/PDs!R47+PDs!U47/PDs!T47&amp;")",""))</f>
        <v/>
      </c>
      <c r="AC20" s="3993"/>
      <c r="AD20" s="3993"/>
      <c r="AE20" s="3993"/>
      <c r="AF20" s="3993"/>
      <c r="AG20" s="3994"/>
      <c r="AH20" s="3992" t="str">
        <f>IF(PDs!$V47=0,"",PDs!$V47)</f>
        <v/>
      </c>
      <c r="AI20" s="3992"/>
      <c r="AJ20" s="3992"/>
      <c r="AK20" s="3992"/>
      <c r="AL20" s="3992"/>
      <c r="AM20" s="3992"/>
      <c r="AN20" s="3992"/>
      <c r="AO20" s="3992"/>
      <c r="AP20" s="3992"/>
      <c r="AQ20" s="3992"/>
      <c r="AR20" s="1272"/>
      <c r="AS20" s="1218"/>
      <c r="AT20" s="3988">
        <f>HP_final-PDs!$X$23-IF(C20="Desarmado",IF(C21="Conocida",0,60),0)+MIN(PDs!$X$23+H24,50)+BonoMaestro_HD-IF(Tablas!$H$527&lt;&gt;0,IF(Arma_Desarrollada="Desarmado",0,30),0)</f>
        <v>0</v>
      </c>
      <c r="AU20" s="3988"/>
      <c r="AV20" s="1872"/>
      <c r="AW20" s="2910" t="s">
        <v>7400</v>
      </c>
      <c r="AX20" s="2910">
        <f>IF(C14=0,0,VLOOKUP($C14,Tabla_Armaduras,8,FALSE))</f>
        <v>0</v>
      </c>
      <c r="AY20" s="2910">
        <f t="shared" ref="AY20:BE20" si="6">I$14</f>
        <v>0</v>
      </c>
      <c r="AZ20" s="2910">
        <f t="shared" si="6"/>
        <v>0</v>
      </c>
      <c r="BA20" s="2910">
        <f t="shared" si="6"/>
        <v>0</v>
      </c>
      <c r="BB20" s="2910">
        <f t="shared" si="6"/>
        <v>0</v>
      </c>
      <c r="BC20" s="2910">
        <f t="shared" si="6"/>
        <v>0</v>
      </c>
      <c r="BD20" s="2910">
        <f t="shared" si="6"/>
        <v>0</v>
      </c>
      <c r="BE20" s="2910">
        <f t="shared" si="6"/>
        <v>0</v>
      </c>
      <c r="BF20" s="1872">
        <f>IFERROR(MAX(0,VLOOKUP(C14,Tabla_Armaduras,2,FALSE)-H14),0)</f>
        <v>0</v>
      </c>
      <c r="BG20" s="1872">
        <f>IFERROR(MIN(0,VLOOKUP(C14,Tabla_Armaduras,3,FALSE)+H14),0)</f>
        <v>0</v>
      </c>
      <c r="BH20" s="1872"/>
      <c r="BI20" s="1872"/>
    </row>
    <row r="21" spans="1:61" ht="12" customHeight="1" x14ac:dyDescent="0.2">
      <c r="A21" s="10"/>
      <c r="B21" s="1233"/>
      <c r="C21" s="4069" t="str">
        <f>IF(C20="Artes Marciales","Conocida",VLOOKUP(C20,Tabla_ArmasyEscudos,9,FALSE))</f>
        <v>Conocida</v>
      </c>
      <c r="D21" s="4070"/>
      <c r="E21" s="4091" t="str">
        <f>IF(OR(Tablas!$O$917&gt;0,Tablas!$P$917&gt;0),"B.Maestro: "&amp;IF(Tablas!$O$917&gt;0,Tablas!$O$917&amp;"HA","")&amp;IF(AND(Tablas!$O$917&gt;0,Tablas!$P$917&gt;0),", ","")&amp;IF(Tablas!$P$917,Tablas!$P$917&amp;"HD",""),"")</f>
        <v/>
      </c>
      <c r="F21" s="4092"/>
      <c r="G21" s="4093"/>
      <c r="H21" s="3298">
        <f>Turno_Nat_final+Combate!D24+Personalización!Y7+IFERROR(VLOOKUP(E20,Tabla_EquipoArtesMarciales,3,FALSE),0)+MIN(0,I23)</f>
        <v>40</v>
      </c>
      <c r="I21" s="4090">
        <f>MAX(HA_SinArmas+Personalización!Y8+IFERROR(VLOOKUP(E20,Tabla_EquipoArtesMarciales,4,FALSE),0))</f>
        <v>0</v>
      </c>
      <c r="J21" s="4051">
        <f>MAX(HP_SinArmas,HE_SinArmas)+Personalización!Y9+IFERROR(VLOOKUP(E20,Tabla_EquipoArtesMarciales,4,FALSE),0)</f>
        <v>0</v>
      </c>
      <c r="K21" s="4072" t="str">
        <f>IF(HP_SinArmas&gt;=HE_SinArmas,"Par","Esq")</f>
        <v>Par</v>
      </c>
      <c r="L21" s="4113">
        <f>MAX(0,IF(C20="Desarmado",VLOOKUP(Tamaño,Tabla_CreaciónSeres,7,TRUE)+Bono_Fue,ArtesM_Daño)+L24+Personalización!Y10)</f>
        <v>5</v>
      </c>
      <c r="N21" s="4033" t="str">
        <f>IF(AU63,AU62,"")&amp;IF(AV64,", ","")&amp;IF(AV63,AV62,"")&amp;IF(AW64,", ","")&amp;IF(AW63,AW62,"")&amp;IF(AX64,", ","")&amp;IF(AX63,AX62,"")&amp;IF(AY64,", ","")&amp;IF(AY63,AY62,"")&amp;IF(AZ64,", ","")&amp;IF(AZ63,AZ62,"")</f>
        <v/>
      </c>
      <c r="O21" s="4034"/>
      <c r="P21" s="4035"/>
      <c r="R21" s="4097" t="s">
        <v>8901</v>
      </c>
      <c r="S21" s="4098"/>
      <c r="T21" s="4098"/>
      <c r="U21" s="4098" t="s">
        <v>8902</v>
      </c>
      <c r="V21" s="4098"/>
      <c r="W21" s="4112"/>
      <c r="X21" s="614"/>
      <c r="Y21" s="10"/>
      <c r="Z21" s="10"/>
      <c r="AA21" s="1196"/>
      <c r="AB21" s="3987" t="str">
        <f>IF(PDs!$E48="","",PDs!$E48&amp;IF(AND(PDs!AD48=1,PDs!M48/PDs!L48+PDs!O48/PDs!N48+PDs!Q48/PDs!P48+PDs!S48/PDs!R48+PDs!U48/PDs!T48&gt;1)," ("&amp;PDs!M48/PDs!L48+PDs!O48/PDs!N48+PDs!Q48/PDs!P48+PDs!S48/PDs!R48+PDs!U48/PDs!T48&amp;")",""))</f>
        <v/>
      </c>
      <c r="AC21" s="3993"/>
      <c r="AD21" s="3993"/>
      <c r="AE21" s="3993"/>
      <c r="AF21" s="3993"/>
      <c r="AG21" s="3994"/>
      <c r="AH21" s="3992" t="str">
        <f>IF(PDs!$V48=0,"",PDs!$V48)</f>
        <v/>
      </c>
      <c r="AI21" s="3992"/>
      <c r="AJ21" s="3992"/>
      <c r="AK21" s="3992"/>
      <c r="AL21" s="3992"/>
      <c r="AM21" s="3992"/>
      <c r="AN21" s="3992"/>
      <c r="AO21" s="3992"/>
      <c r="AP21" s="3992"/>
      <c r="AQ21" s="3992"/>
      <c r="AR21" s="1272"/>
      <c r="AS21" s="1218"/>
      <c r="AT21" s="2910" t="s">
        <v>8496</v>
      </c>
      <c r="AU21" s="2910"/>
      <c r="AV21" s="1872"/>
      <c r="AW21" s="2910" t="s">
        <v>7401</v>
      </c>
      <c r="AX21" s="2910" t="s">
        <v>1978</v>
      </c>
      <c r="AY21" s="2910">
        <f>2*Tablas!$G$330</f>
        <v>0</v>
      </c>
      <c r="AZ21" s="2910">
        <f>2*Tablas!$G$330</f>
        <v>0</v>
      </c>
      <c r="BA21" s="2910">
        <f>2*Tablas!$G$330</f>
        <v>0</v>
      </c>
      <c r="BB21" s="2910">
        <f>2*Tablas!$G$330</f>
        <v>0</v>
      </c>
      <c r="BC21" s="2910">
        <f>2*Tablas!$G$330</f>
        <v>0</v>
      </c>
      <c r="BD21" s="2910">
        <f>2*Tablas!$G$330</f>
        <v>0</v>
      </c>
      <c r="BE21" s="2910">
        <f>4*Tablas!G331</f>
        <v>0</v>
      </c>
      <c r="BF21" s="1872"/>
      <c r="BG21" s="1872"/>
      <c r="BH21" s="1872"/>
      <c r="BI21" s="1872">
        <f>COUNTIF(BF23:BF27,"?*")</f>
        <v>0</v>
      </c>
    </row>
    <row r="22" spans="1:61" ht="12" customHeight="1" thickBot="1" x14ac:dyDescent="0.25">
      <c r="A22" s="10"/>
      <c r="B22" s="1233"/>
      <c r="C22" s="480" t="s">
        <v>1572</v>
      </c>
      <c r="D22" s="78" t="s">
        <v>1573</v>
      </c>
      <c r="E22" s="81" t="s">
        <v>1561</v>
      </c>
      <c r="F22" s="81" t="s">
        <v>1574</v>
      </c>
      <c r="G22" s="81" t="s">
        <v>1562</v>
      </c>
      <c r="H22" s="4048"/>
      <c r="I22" s="4048"/>
      <c r="J22" s="4051"/>
      <c r="K22" s="4072"/>
      <c r="L22" s="4114"/>
      <c r="N22" s="4036"/>
      <c r="O22" s="4037"/>
      <c r="P22" s="4038"/>
      <c r="R22" s="4099"/>
      <c r="S22" s="4100"/>
      <c r="T22" s="4100"/>
      <c r="U22" s="4094"/>
      <c r="V22" s="4095"/>
      <c r="W22" s="4096"/>
      <c r="X22" s="614"/>
      <c r="Y22" s="10"/>
      <c r="Z22" s="10"/>
      <c r="AA22" s="1196"/>
      <c r="AB22" s="3987" t="str">
        <f>IF(PDs!$E49="","",PDs!$E49&amp;IF(AND(PDs!AD49=1,PDs!M49/PDs!L49+PDs!O49/PDs!N49+PDs!Q49/PDs!P49+PDs!S49/PDs!R49+PDs!U49/PDs!T49&gt;1)," ("&amp;PDs!M49/PDs!L49+PDs!O49/PDs!N49+PDs!Q49/PDs!P49+PDs!S49/PDs!R49+PDs!U49/PDs!T49&amp;")",""))</f>
        <v/>
      </c>
      <c r="AC22" s="3993"/>
      <c r="AD22" s="3993"/>
      <c r="AE22" s="3993"/>
      <c r="AF22" s="3993"/>
      <c r="AG22" s="3994"/>
      <c r="AH22" s="3992" t="str">
        <f>IF(PDs!$V49=0,"",PDs!$V49)</f>
        <v/>
      </c>
      <c r="AI22" s="3992"/>
      <c r="AJ22" s="3992"/>
      <c r="AK22" s="3992"/>
      <c r="AL22" s="3992"/>
      <c r="AM22" s="3992"/>
      <c r="AN22" s="3992"/>
      <c r="AO22" s="3992"/>
      <c r="AP22" s="3992"/>
      <c r="AQ22" s="3992"/>
      <c r="AR22" s="1272"/>
      <c r="AS22" s="1218"/>
      <c r="AT22" s="3988">
        <f>HE_final-PDs!$X$24+MIN(PDs!$X$24+J24,50)+BonoMaestro_HD</f>
        <v>0</v>
      </c>
      <c r="AU22" s="3988"/>
      <c r="AV22" s="1872"/>
      <c r="AW22" s="2910" t="s">
        <v>7402</v>
      </c>
      <c r="AX22" s="2910" t="s">
        <v>1978</v>
      </c>
      <c r="AY22" s="2910">
        <f>Tablas!S$1479</f>
        <v>0</v>
      </c>
      <c r="AZ22" s="2910">
        <f>Tablas!S$1480</f>
        <v>0</v>
      </c>
      <c r="BA22" s="2910">
        <f>Tablas!S$1481</f>
        <v>0</v>
      </c>
      <c r="BB22" s="2910">
        <f>Tablas!S$1482</f>
        <v>0</v>
      </c>
      <c r="BC22" s="2910">
        <f>Tablas!S$1483</f>
        <v>0</v>
      </c>
      <c r="BD22" s="2910">
        <f>Tablas!S$1484</f>
        <v>0</v>
      </c>
      <c r="BE22" s="2910">
        <f>Tablas!S$1485</f>
        <v>0</v>
      </c>
      <c r="BF22" s="1872"/>
      <c r="BG22" s="1872"/>
      <c r="BH22" s="1872"/>
      <c r="BI22" s="1872"/>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Naturales",VLOOKUP(Tamaño,Tabla_CreaciónSeres,10),0)+IF(Tabla_Desvío,DES,0)+Tablas!$L$917)</f>
        <v>0</v>
      </c>
      <c r="F23" s="1565">
        <f>IF(FUE=0,0,-2+VLOOKUP(FUE,Tabla_Fuerza,2)+IF(Extensióndelauraalarma,5,0)+IF($E$20="Armas Naturales",VLOOKUP(Tamaño,Tabla_CreaciónSeres,9),0)+IF(Ojos_de_la_Muerte,5,0)+Tablas!$M$917)</f>
        <v>0</v>
      </c>
      <c r="G23" s="1565">
        <f>Presencia_final*IF(OR(Extrusióndepresencia,Extrusióndevacío),2,1)</f>
        <v>20</v>
      </c>
      <c r="H23" s="1406" t="str">
        <f>IF(AND(E20&lt;&gt;"Sin equipo",E20&lt;&gt;""),"Calidad:","")</f>
        <v/>
      </c>
      <c r="I23" s="1846"/>
      <c r="J23" s="4118" t="str">
        <f>IF(OR(I23=0,E20=""),"","TA defensor:")</f>
        <v/>
      </c>
      <c r="K23" s="4118"/>
      <c r="L23" s="1576" t="str">
        <f>IF(J23="TA defensor:",I23/(-5),"")</f>
        <v/>
      </c>
      <c r="N23" s="3197" t="s">
        <v>8704</v>
      </c>
      <c r="O23" s="3198"/>
      <c r="P23" s="3199"/>
      <c r="R23" s="4139"/>
      <c r="S23" s="4132"/>
      <c r="T23" s="4132"/>
      <c r="U23" s="4131"/>
      <c r="V23" s="4132"/>
      <c r="W23" s="4133"/>
      <c r="X23" s="614"/>
      <c r="Y23" s="10"/>
      <c r="Z23" s="10"/>
      <c r="AA23" s="1196"/>
      <c r="AB23" s="3987" t="str">
        <f>IF(PDs!$E50="","",PDs!$E50&amp;IF(AND(PDs!AD50=1,PDs!M50/PDs!L50+PDs!O50/PDs!N50+PDs!Q50/PDs!P50+PDs!S50/PDs!R50+PDs!U50/PDs!T50&gt;1)," ("&amp;PDs!M50/PDs!L50+PDs!O50/PDs!N50+PDs!Q50/PDs!P50+PDs!S50/PDs!R50+PDs!U50/PDs!T50&amp;")",""))</f>
        <v/>
      </c>
      <c r="AC23" s="3993"/>
      <c r="AD23" s="3993"/>
      <c r="AE23" s="3993"/>
      <c r="AF23" s="3993"/>
      <c r="AG23" s="3994"/>
      <c r="AH23" s="3992" t="str">
        <f>IF(PDs!$V50=0,"",PDs!$V50)</f>
        <v/>
      </c>
      <c r="AI23" s="3992"/>
      <c r="AJ23" s="3992"/>
      <c r="AK23" s="3992"/>
      <c r="AL23" s="3992"/>
      <c r="AM23" s="3992"/>
      <c r="AN23" s="3992"/>
      <c r="AO23" s="3992"/>
      <c r="AP23" s="3992"/>
      <c r="AQ23" s="3992"/>
      <c r="AR23" s="1272"/>
      <c r="AS23" s="1218"/>
      <c r="AT23" s="2910" t="s">
        <v>9775</v>
      </c>
      <c r="AU23" s="2910"/>
      <c r="AV23" s="1872"/>
      <c r="AW23" s="2910" t="s">
        <v>7404</v>
      </c>
      <c r="AX23" s="2910" t="s">
        <v>1978</v>
      </c>
      <c r="AY23" s="2910">
        <f t="shared" ref="AY23:BE23" si="7">IF(Acumulacion="Si",VLOOKUP(Tamaño,Tabla_CreaciónSeres,6),0)</f>
        <v>0</v>
      </c>
      <c r="AZ23" s="2910">
        <f t="shared" si="7"/>
        <v>0</v>
      </c>
      <c r="BA23" s="2910">
        <f t="shared" si="7"/>
        <v>0</v>
      </c>
      <c r="BB23" s="2910">
        <f t="shared" si="7"/>
        <v>0</v>
      </c>
      <c r="BC23" s="2910">
        <f t="shared" si="7"/>
        <v>0</v>
      </c>
      <c r="BD23" s="2910">
        <f t="shared" si="7"/>
        <v>0</v>
      </c>
      <c r="BE23" s="2910">
        <f t="shared" si="7"/>
        <v>0</v>
      </c>
      <c r="BF23" s="1872" t="str">
        <f>IF(COUNTIF(AY21:BE23,"&gt;0")&gt;0,"Armadura natural","")</f>
        <v/>
      </c>
      <c r="BG23" s="1872" t="str">
        <f>IF(AND(BF23&lt;&gt;"",COUNTIF(BF24:BF27,"?*")&gt;0),", ","")</f>
        <v/>
      </c>
      <c r="BH23" s="1872"/>
      <c r="BI23" s="1872"/>
    </row>
    <row r="24" spans="1:61" ht="12" customHeight="1" thickBot="1" x14ac:dyDescent="0.25">
      <c r="A24" s="10"/>
      <c r="B24" s="1233"/>
      <c r="C24" s="3236" t="s">
        <v>1575</v>
      </c>
      <c r="D24" s="4121">
        <f>Tablas!$K$917</f>
        <v>0</v>
      </c>
      <c r="E24" s="4123" t="s">
        <v>1576</v>
      </c>
      <c r="F24" s="4121">
        <f>MIN(Tablas!$H$917,50)</f>
        <v>0</v>
      </c>
      <c r="G24" s="4123" t="s">
        <v>1577</v>
      </c>
      <c r="H24" s="4127">
        <f>MIN(Tablas!$J$917,50)</f>
        <v>0</v>
      </c>
      <c r="I24" s="4119" t="s">
        <v>1578</v>
      </c>
      <c r="J24" s="4127">
        <f>MIN(Tablas!$I$917,50)</f>
        <v>0</v>
      </c>
      <c r="K24" s="4119" t="s">
        <v>1579</v>
      </c>
      <c r="L24" s="4125">
        <f>IF(Extensióndelauraalarma,10,0)+IF(DañoIncrementado,10,0)+IF($C$20="Artes Marciales",Tablas!F917,0)+Tablas!$K$1751+IFERROR(VLOOKUP(E20,Tabla_EquipoArtesMarciales,2,FALSE)+I23*2,0)</f>
        <v>0</v>
      </c>
      <c r="N24" s="4033" t="str">
        <f>IF(AU58,AU57,"")&amp;IF(AV59,", ","")&amp;IF(AV58,AV57,"")&amp;IF(AW59,", ","")&amp;IF(AW58,AW57,"")&amp;IF(AX59,", ","")&amp;IF(AX58,AX57,"")&amp;IF(AX57="CON"," (+10 Daño armas CON)","")</f>
        <v/>
      </c>
      <c r="O24" s="4034"/>
      <c r="P24" s="4035"/>
      <c r="R24" s="4099"/>
      <c r="S24" s="4100"/>
      <c r="T24" s="4100"/>
      <c r="U24" s="4134"/>
      <c r="V24" s="4100"/>
      <c r="W24" s="4135"/>
      <c r="X24" s="614"/>
      <c r="Y24" s="10"/>
      <c r="Z24" s="10"/>
      <c r="AA24" s="1196"/>
      <c r="AB24" s="3987" t="str">
        <f>IF(PDs!$E51="","",PDs!$E51&amp;IF(AND(PDs!AD51=1,PDs!M51/PDs!L51+PDs!O51/PDs!N51+PDs!Q51/PDs!P51+PDs!S51/PDs!R51+PDs!U51/PDs!T51&gt;1)," ("&amp;PDs!M51/PDs!L51+PDs!O51/PDs!N51+PDs!Q51/PDs!P51+PDs!S51/PDs!R51+PDs!U51/PDs!T51&amp;")",""))</f>
        <v/>
      </c>
      <c r="AC24" s="3993"/>
      <c r="AD24" s="3993"/>
      <c r="AE24" s="3993"/>
      <c r="AF24" s="3993"/>
      <c r="AG24" s="3994"/>
      <c r="AH24" s="3992" t="str">
        <f>IF(PDs!$V51=0,"",PDs!$V51)</f>
        <v/>
      </c>
      <c r="AI24" s="3992"/>
      <c r="AJ24" s="3992"/>
      <c r="AK24" s="3992"/>
      <c r="AL24" s="3992"/>
      <c r="AM24" s="3992"/>
      <c r="AN24" s="3992"/>
      <c r="AO24" s="3992"/>
      <c r="AP24" s="3992"/>
      <c r="AQ24" s="3992"/>
      <c r="AR24" s="1272"/>
      <c r="AS24" s="1218"/>
      <c r="AT24" s="3988">
        <f>MAX(HP_SinArmas,HE_SinArmas)</f>
        <v>0</v>
      </c>
      <c r="AU24" s="3988"/>
      <c r="AV24" s="1872"/>
      <c r="AW24" s="2910" t="s">
        <v>7403</v>
      </c>
      <c r="AX24" s="2910" t="s">
        <v>1978</v>
      </c>
      <c r="AY24" s="2910">
        <f>MAX(3*Tablas!$Y$905,6*Tablas!$Y$906)</f>
        <v>0</v>
      </c>
      <c r="AZ24" s="2910">
        <f>MAX(3*Tablas!$Y$905,6*Tablas!$Y$906)</f>
        <v>0</v>
      </c>
      <c r="BA24" s="2910">
        <f>MAX(3*Tablas!$Y$905,6*Tablas!$Y$906)</f>
        <v>0</v>
      </c>
      <c r="BB24" s="2910">
        <f>MAX(3*Tablas!$Y$905,6*Tablas!$Y$906)</f>
        <v>0</v>
      </c>
      <c r="BC24" s="2910">
        <f>MAX(3*Tablas!$Y$905,6*Tablas!$Y$906)</f>
        <v>0</v>
      </c>
      <c r="BD24" s="2910">
        <f>MAX(3*Tablas!$Y$905,6*Tablas!$Y$906)</f>
        <v>0</v>
      </c>
      <c r="BE24" s="2910">
        <f>MAX(3*Tablas!$Y$905,6*Tablas!$Y$906)</f>
        <v>0</v>
      </c>
      <c r="BF24" s="1872" t="str">
        <f>IF(COUNTIF(AY24:BE24,"&gt;0")&gt;0,"Rex frame","")</f>
        <v/>
      </c>
      <c r="BG24" s="1872" t="str">
        <f>IF(AND(BF24&lt;&gt;"",COUNTIF(BF25:BF27,"?*")&gt;0),", ","")</f>
        <v/>
      </c>
      <c r="BH24" s="1872"/>
      <c r="BI24" s="1872"/>
    </row>
    <row r="25" spans="1:61" ht="12" customHeight="1" thickBot="1" x14ac:dyDescent="0.25">
      <c r="A25" s="10"/>
      <c r="B25" s="1233"/>
      <c r="C25" s="3237"/>
      <c r="D25" s="4122"/>
      <c r="E25" s="4120"/>
      <c r="F25" s="4122"/>
      <c r="G25" s="4120"/>
      <c r="H25" s="4122"/>
      <c r="I25" s="4120"/>
      <c r="J25" s="4128"/>
      <c r="K25" s="4124"/>
      <c r="L25" s="4126"/>
      <c r="M25" s="37"/>
      <c r="N25" s="4036"/>
      <c r="O25" s="4037"/>
      <c r="P25" s="4038"/>
      <c r="R25" s="4140"/>
      <c r="S25" s="4137"/>
      <c r="T25" s="4137"/>
      <c r="U25" s="4136"/>
      <c r="V25" s="4137"/>
      <c r="W25" s="4138"/>
      <c r="X25" s="1197"/>
      <c r="Y25" s="10"/>
      <c r="Z25" s="10"/>
      <c r="AA25" s="1196"/>
      <c r="AB25" s="3987" t="str">
        <f>IF(PDs!$E52="","",PDs!$E52&amp;IF(AND(PDs!AD52=1,PDs!M52/PDs!L52+PDs!O52/PDs!N52+PDs!Q52/PDs!P52+PDs!S52/PDs!R52+PDs!U52/PDs!T52&gt;1)," ("&amp;PDs!M52/PDs!L52+PDs!O52/PDs!N52+PDs!Q52/PDs!P52+PDs!S52/PDs!R52+PDs!U52/PDs!T52&amp;")",""))</f>
        <v/>
      </c>
      <c r="AC25" s="3993"/>
      <c r="AD25" s="3993"/>
      <c r="AE25" s="3993"/>
      <c r="AF25" s="3993"/>
      <c r="AG25" s="3994"/>
      <c r="AH25" s="3992" t="str">
        <f>IF(PDs!$V52=0,"",PDs!$V52)</f>
        <v/>
      </c>
      <c r="AI25" s="3992"/>
      <c r="AJ25" s="3992"/>
      <c r="AK25" s="3992"/>
      <c r="AL25" s="3992"/>
      <c r="AM25" s="3992"/>
      <c r="AN25" s="3992"/>
      <c r="AO25" s="3992"/>
      <c r="AP25" s="3992"/>
      <c r="AQ25" s="3992"/>
      <c r="AR25" s="1272"/>
      <c r="AS25" s="1218"/>
      <c r="AT25" s="2910"/>
      <c r="AU25" s="2910"/>
      <c r="AV25" s="1872"/>
      <c r="AW25" s="2910" t="s">
        <v>7393</v>
      </c>
      <c r="AX25" s="2910" t="s">
        <v>1978</v>
      </c>
      <c r="AY25" s="2913">
        <f>'Tablas psiquica'!$AH$23</f>
        <v>0</v>
      </c>
      <c r="AZ25" s="2913">
        <f>'Tablas psiquica'!$AH$23</f>
        <v>0</v>
      </c>
      <c r="BA25" s="2913">
        <f>'Tablas psiquica'!$AH$23</f>
        <v>0</v>
      </c>
      <c r="BB25" s="2913">
        <f>'Tablas psiquica'!$AH$23</f>
        <v>0</v>
      </c>
      <c r="BC25" s="2913">
        <f>'Tablas psiquica'!$AH$23</f>
        <v>0</v>
      </c>
      <c r="BD25" s="2913">
        <f>'Tablas psiquica'!$AH$23</f>
        <v>0</v>
      </c>
      <c r="BE25" s="2913">
        <v>0</v>
      </c>
      <c r="BF25" s="1872" t="str">
        <f>IF(COUNTIF(AY25:BE25,"&gt;0")&gt;0,"Armadura telequinética","")</f>
        <v/>
      </c>
      <c r="BG25" s="1872" t="str">
        <f>IF(AND(BF25&lt;&gt;"",COUNTIF(BF26:BF27,"?*")&gt;0),", ","")</f>
        <v/>
      </c>
      <c r="BH25" s="1872"/>
      <c r="BI25" s="1872"/>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3987" t="str">
        <f>IF(PDs!$E53="","",PDs!$E53&amp;IF(AND(PDs!AD53=1,PDs!M53/PDs!L53+PDs!O53/PDs!N53+PDs!Q53/PDs!P53+PDs!S53/PDs!R53+PDs!U53/PDs!T53&gt;1)," ("&amp;PDs!M53/PDs!L53+PDs!O53/PDs!N53+PDs!Q53/PDs!P53+PDs!S53/PDs!R53+PDs!U53/PDs!T53&amp;")",""))</f>
        <v/>
      </c>
      <c r="AC26" s="3993"/>
      <c r="AD26" s="3993"/>
      <c r="AE26" s="3993"/>
      <c r="AF26" s="3993"/>
      <c r="AG26" s="3994"/>
      <c r="AH26" s="3992" t="str">
        <f>IF(PDs!$V53=0,"",PDs!$V53)</f>
        <v/>
      </c>
      <c r="AI26" s="3992"/>
      <c r="AJ26" s="3992"/>
      <c r="AK26" s="3992"/>
      <c r="AL26" s="3992"/>
      <c r="AM26" s="3992"/>
      <c r="AN26" s="3992"/>
      <c r="AO26" s="3992"/>
      <c r="AP26" s="3992"/>
      <c r="AQ26" s="3992"/>
      <c r="AR26" s="1272"/>
      <c r="AS26" s="1218"/>
      <c r="AT26" s="2910"/>
      <c r="AU26" s="2910"/>
      <c r="AV26" s="1872"/>
      <c r="AW26" s="2912" t="s">
        <v>1456</v>
      </c>
      <c r="AX26" s="2910" t="s">
        <v>1978</v>
      </c>
      <c r="AY26" s="2912">
        <f>IF(Nephilim="Nephilim Turak",1)+IF(Raza="Turak",IF(COUNTIF(Cercanía_Dragón,"Escamas de metal")&gt;0,3,2),0)</f>
        <v>0</v>
      </c>
      <c r="AZ26" s="2912">
        <f>IF(Nephilim="Nephilim Turak",1)+IF(Raza="Turak",IF(COUNTIF(Cercanía_Dragón,"Escamas de metal")&gt;0,3,2),0)</f>
        <v>0</v>
      </c>
      <c r="BA26" s="2912">
        <f>IF(Nephilim="Nephilim Turak",1)+IF(Raza="Turak",IF(COUNTIF(Cercanía_Dragón,"Escamas de metal")&gt;0,3,2),0)</f>
        <v>0</v>
      </c>
      <c r="BB26" s="2912">
        <f>IF(Nephilim="Nephilim Turak",1)+IF(Raza="Turak",IF(COUNTIF(Cercanía_Dragón,"Escamas de metal")&gt;0,3,2),0)</f>
        <v>0</v>
      </c>
      <c r="BC26" s="2912">
        <v>0</v>
      </c>
      <c r="BD26" s="2912">
        <v>0</v>
      </c>
      <c r="BE26" s="2912">
        <v>0</v>
      </c>
      <c r="BF26" s="1872" t="str">
        <f>IF(COUNTIF(AY26:BE26,"&gt;0")&gt;0,"Armadura Turak","")</f>
        <v/>
      </c>
      <c r="BG26" s="1872" t="str">
        <f>IF(AND(BF26&lt;&gt;"",COUNTIF(BF27,"?*")&gt;0),", ","")</f>
        <v/>
      </c>
      <c r="BH26" s="1872"/>
      <c r="BI26" s="1872"/>
    </row>
    <row r="27" spans="1:61" ht="12" customHeight="1" thickBot="1" x14ac:dyDescent="0.25">
      <c r="A27" s="10"/>
      <c r="B27" s="1233"/>
      <c r="C27" s="1575" t="s">
        <v>8884</v>
      </c>
      <c r="D27" s="1570" t="str">
        <f>E28&amp;IF(COUNTIF($R$22:$T$25,C27&amp;" "&amp;E28)&gt;0,IFERROR(" y"&amp;MID(VLOOKUP(C27&amp;" "&amp;E28,$R$22:$W$25,4,FALSE),SEARCH(".",VLOOKUP(C27&amp;" "&amp;E28,$R$22:$W$25,4,FALSE))+1,100),""),"")</f>
        <v/>
      </c>
      <c r="E27" s="1570"/>
      <c r="F27" s="1570"/>
      <c r="G27" s="1570"/>
      <c r="H27" s="1570"/>
      <c r="I27" s="1570"/>
      <c r="J27" s="1570"/>
      <c r="K27" s="1570"/>
      <c r="L27" s="1608" t="s">
        <v>8898</v>
      </c>
      <c r="M27" s="790"/>
      <c r="N27" s="1575" t="s">
        <v>8883</v>
      </c>
      <c r="O27" s="1570" t="str">
        <f>P28&amp;IF(COUNTIF($R$22:$T$25,N27&amp;" "&amp;P28)&gt;0,IFERROR(" y"&amp;MID(VLOOKUP(N27&amp;" "&amp;P28,$R$22:$W$25,4,FALSE),SEARCH(".",VLOOKUP(N27&amp;" "&amp;P28,$R$22:$W$25,4,FALSE))+1,100),""),"")</f>
        <v/>
      </c>
      <c r="P27" s="1570"/>
      <c r="Q27" s="1570"/>
      <c r="R27" s="1570"/>
      <c r="S27" s="1570"/>
      <c r="T27" s="1570"/>
      <c r="U27" s="1570"/>
      <c r="V27" s="1570"/>
      <c r="W27" s="1608" t="s">
        <v>8898</v>
      </c>
      <c r="X27" s="614"/>
      <c r="Y27" s="10"/>
      <c r="Z27" s="10"/>
      <c r="AA27" s="1196"/>
      <c r="AB27" s="3987" t="str">
        <f>IF(PDs!$E54="","",PDs!$E54&amp;IF(AND(PDs!AD54=1,PDs!M54/PDs!L54+PDs!O54/PDs!N54+PDs!Q54/PDs!P54+PDs!S54/PDs!R54+PDs!U54/PDs!T54&gt;1)," ("&amp;PDs!M54/PDs!L54+PDs!O54/PDs!N54+PDs!Q54/PDs!P54+PDs!S54/PDs!R54+PDs!U54/PDs!T54&amp;")",""))</f>
        <v/>
      </c>
      <c r="AC27" s="3993"/>
      <c r="AD27" s="3993"/>
      <c r="AE27" s="3993"/>
      <c r="AF27" s="3993"/>
      <c r="AG27" s="3994"/>
      <c r="AH27" s="3992" t="str">
        <f>IF(PDs!$V54=0,"",PDs!$V54)</f>
        <v/>
      </c>
      <c r="AI27" s="3992"/>
      <c r="AJ27" s="3992"/>
      <c r="AK27" s="3992"/>
      <c r="AL27" s="3992"/>
      <c r="AM27" s="3992"/>
      <c r="AN27" s="3992"/>
      <c r="AO27" s="3992"/>
      <c r="AP27" s="3992"/>
      <c r="AQ27" s="3992"/>
      <c r="AR27" s="1272"/>
      <c r="AS27" s="1218"/>
      <c r="AT27" s="2910"/>
      <c r="AU27" s="2910"/>
      <c r="AV27" s="1872"/>
      <c r="AW27" s="2912" t="s">
        <v>2856</v>
      </c>
      <c r="AX27" s="2910" t="s">
        <v>1978</v>
      </c>
      <c r="AY27" s="2912">
        <v>0</v>
      </c>
      <c r="AZ27" s="2910">
        <v>0</v>
      </c>
      <c r="BA27" s="2910">
        <v>0</v>
      </c>
      <c r="BB27" s="2910">
        <v>0</v>
      </c>
      <c r="BC27" s="2910">
        <v>0</v>
      </c>
      <c r="BD27" s="2910">
        <v>0</v>
      </c>
      <c r="BE27" s="2910">
        <f>MAX(IF(ArmaduradeEnergia,2,0),IF(ArmaduraArcana,4,0))</f>
        <v>0</v>
      </c>
      <c r="BF27" s="1872" t="str">
        <f>IF(BE27&gt;0,"Armadura de Energía por Ki","")</f>
        <v/>
      </c>
      <c r="BG27" s="1872"/>
      <c r="BH27" s="1872"/>
      <c r="BI27" s="1872"/>
    </row>
    <row r="28" spans="1:61" ht="12" customHeight="1" thickBot="1" x14ac:dyDescent="0.25">
      <c r="A28" s="10"/>
      <c r="B28" s="1233"/>
      <c r="C28" s="4041" t="s">
        <v>8872</v>
      </c>
      <c r="D28" s="4042"/>
      <c r="E28" s="4044"/>
      <c r="F28" s="4045"/>
      <c r="G28" s="4046"/>
      <c r="H28" s="1925" t="s">
        <v>1396</v>
      </c>
      <c r="I28" s="1926" t="s">
        <v>1568</v>
      </c>
      <c r="J28" s="4047" t="s">
        <v>1569</v>
      </c>
      <c r="K28" s="4047"/>
      <c r="L28" s="1927" t="s">
        <v>1570</v>
      </c>
      <c r="M28" s="1607" t="str">
        <f>IF(C28=INDEX(Lista_ManosArma,2),Lista_A2Manos,Lista_A1Mano)</f>
        <v>Tablas!$AB$640:$AB$756</v>
      </c>
      <c r="N28" s="4041" t="s">
        <v>8872</v>
      </c>
      <c r="O28" s="4042"/>
      <c r="P28" s="4044"/>
      <c r="Q28" s="4045"/>
      <c r="R28" s="4046"/>
      <c r="S28" s="1925" t="s">
        <v>1396</v>
      </c>
      <c r="T28" s="1926" t="s">
        <v>1568</v>
      </c>
      <c r="U28" s="4047" t="s">
        <v>1569</v>
      </c>
      <c r="V28" s="4047"/>
      <c r="W28" s="1927" t="s">
        <v>1570</v>
      </c>
      <c r="X28" s="1607" t="str">
        <f>IF(N28=INDEX(Lista_ManosArma,2),Lista_A2Manos,Lista_A1Mano)</f>
        <v>Tablas!$AB$640:$AB$756</v>
      </c>
      <c r="Y28" s="10"/>
      <c r="Z28" s="10"/>
      <c r="AA28" s="1196"/>
      <c r="AB28" s="4141" t="str">
        <f>IF(PDs!$E55="","",PDs!$E55&amp;IF(AND(PDs!AD55=1,PDs!M55/PDs!L55+PDs!O55/PDs!N55+PDs!Q55/PDs!P55+PDs!S55/PDs!R55+PDs!U55/PDs!T55&gt;1)," ("&amp;PDs!M55/PDs!L55+PDs!O55/PDs!N55+PDs!Q55/PDs!P55+PDs!S55/PDs!R55+PDs!U55/PDs!T55&amp;")",""))</f>
        <v/>
      </c>
      <c r="AC28" s="4142"/>
      <c r="AD28" s="4142"/>
      <c r="AE28" s="4142"/>
      <c r="AF28" s="4142"/>
      <c r="AG28" s="4143"/>
      <c r="AH28" s="4043" t="str">
        <f>IF(PDs!$V55=0,"",PDs!$V55)</f>
        <v/>
      </c>
      <c r="AI28" s="4043"/>
      <c r="AJ28" s="4043"/>
      <c r="AK28" s="4043"/>
      <c r="AL28" s="4043"/>
      <c r="AM28" s="4043"/>
      <c r="AN28" s="4043"/>
      <c r="AO28" s="4043"/>
      <c r="AP28" s="4043"/>
      <c r="AQ28" s="4043"/>
      <c r="AR28" s="1272"/>
      <c r="AS28" s="1218"/>
      <c r="AT28" s="1872"/>
      <c r="AU28" s="1872"/>
      <c r="AV28" s="1872"/>
      <c r="AW28" s="1872"/>
      <c r="AX28" s="1872"/>
      <c r="AY28" s="1872"/>
      <c r="AZ28" s="1872"/>
      <c r="BA28" s="1872"/>
      <c r="BB28" s="1872"/>
      <c r="BC28" s="1872"/>
      <c r="BD28" s="1872"/>
      <c r="BE28" s="1872"/>
      <c r="BF28" s="1872"/>
      <c r="BG28" s="1872"/>
      <c r="BH28" s="1872"/>
      <c r="BI28" s="1872"/>
    </row>
    <row r="29" spans="1:61" ht="12" customHeight="1" thickBot="1" x14ac:dyDescent="0.25">
      <c r="A29" s="10"/>
      <c r="B29" s="1233"/>
      <c r="C29" s="4039" t="str">
        <f>IF(E28=0,"",VLOOKUP(E28,Tabla_ArmasyEscudos,9,FALSE))</f>
        <v/>
      </c>
      <c r="D29" s="4040"/>
      <c r="E29" s="1928" t="s">
        <v>1580</v>
      </c>
      <c r="F29" s="4115" t="s">
        <v>1581</v>
      </c>
      <c r="G29" s="4116"/>
      <c r="H29" s="4117">
        <f>IFERROR(INDEX(Tabla_Combate,$AT$41,LEFT(C27,LEN(C27)-1)),0)</f>
        <v>0</v>
      </c>
      <c r="I29" s="4048">
        <f>IFERROR(INDEX(Tabla_Combate,$AT$42,LEFT(C27,LEN(C27)-1)),0)</f>
        <v>0</v>
      </c>
      <c r="J29" s="4050">
        <f>IF(K29="-",0,IF(K29="Par",INDEX(Tabla_Combate,$AT$43,LEFT(C27,LEN(C27)-1)),INDEX(Tabla_Combate,$AT$44,LEFT(C27,LEN(C27)-1))))</f>
        <v>0</v>
      </c>
      <c r="K29" s="3298" t="str">
        <f>IFERROR(IF(INDEX(Tabla_Combate,$AT$43,LEFT(C27,LEN(C27)-1))&gt;INDEX(Tabla_Combate,$AT$44,LEFT(C27,LEN(C27)-1)),"Par","Esq"),"-")</f>
        <v>-</v>
      </c>
      <c r="L29" s="4113">
        <f>IFERROR(INDEX(Tabla_Combate,$AT$45,LEFT(C27,LEN(C27)-1)),0)</f>
        <v>0</v>
      </c>
      <c r="M29" s="790"/>
      <c r="N29" s="4039" t="str">
        <f>IF(P28=0,"",VLOOKUP(P28,Tabla_ArmasyEscudos,9,FALSE))</f>
        <v/>
      </c>
      <c r="O29" s="4040"/>
      <c r="P29" s="1928" t="s">
        <v>1580</v>
      </c>
      <c r="Q29" s="4115" t="s">
        <v>1581</v>
      </c>
      <c r="R29" s="4116"/>
      <c r="S29" s="4117">
        <f>IFERROR(INDEX(Tabla_Combate,$AT$41,LEFT(N27,LEN(N27)-1)),0)</f>
        <v>0</v>
      </c>
      <c r="T29" s="4048">
        <f>IFERROR(INDEX(Tabla_Combate,$AT$42,LEFT(N27,LEN(N27)-1)),0)</f>
        <v>0</v>
      </c>
      <c r="U29" s="4050">
        <f>IF(V29="-",0,IF(V29="Par",INDEX(Tabla_Combate,$AT$43,LEFT(N27,LEN(N27)-1)),INDEX(Tabla_Combate,$AT$44,LEFT(N27,LEN(N27)-1))))</f>
        <v>0</v>
      </c>
      <c r="V29" s="3298" t="str">
        <f>IFERROR(IF(INDEX(Tabla_Combate,$AT$43,LEFT(N27,LEN(N27)-1))&gt;INDEX(Tabla_Combate,$AT$44,LEFT(N27,LEN(N27)-1)),"Par","Esq"),"-")</f>
        <v>-</v>
      </c>
      <c r="W29" s="4113">
        <f>IFERROR(INDEX(Tabla_Combate,$AT$45,LEFT(N27,LEN(N27)-1)),0)</f>
        <v>0</v>
      </c>
      <c r="X29" s="790"/>
      <c r="Y29" s="10"/>
      <c r="Z29" s="10"/>
      <c r="AA29" s="1196"/>
      <c r="AM29" s="23"/>
      <c r="AN29" s="23"/>
      <c r="AO29" s="23"/>
      <c r="AP29" s="23"/>
      <c r="AQ29" s="23"/>
      <c r="AR29" s="1272"/>
      <c r="AS29" s="1218"/>
      <c r="AT29" s="1872"/>
      <c r="AU29" s="1872"/>
      <c r="AV29" s="2888" t="s">
        <v>2115</v>
      </c>
      <c r="AW29" s="2888">
        <v>1</v>
      </c>
      <c r="AX29" s="2888">
        <v>2</v>
      </c>
      <c r="AY29" s="2888">
        <v>3</v>
      </c>
      <c r="AZ29" s="2888">
        <v>4</v>
      </c>
      <c r="BA29" s="2888">
        <v>5</v>
      </c>
      <c r="BB29" s="2888">
        <v>6</v>
      </c>
      <c r="BC29" s="2888">
        <v>7</v>
      </c>
      <c r="BD29" s="2888">
        <v>8</v>
      </c>
      <c r="BE29" s="2888">
        <v>9</v>
      </c>
      <c r="BF29" s="2888">
        <v>10</v>
      </c>
      <c r="BG29" s="1872"/>
      <c r="BH29" s="1872"/>
      <c r="BI29" s="1872"/>
    </row>
    <row r="30" spans="1:61" ht="12" customHeight="1" thickBot="1" x14ac:dyDescent="0.25">
      <c r="A30" s="10"/>
      <c r="B30" s="1233"/>
      <c r="C30" s="1123" t="s">
        <v>1572</v>
      </c>
      <c r="D30" s="81" t="s">
        <v>1573</v>
      </c>
      <c r="E30" s="81" t="s">
        <v>1561</v>
      </c>
      <c r="F30" s="81" t="s">
        <v>1574</v>
      </c>
      <c r="G30" s="81" t="s">
        <v>1562</v>
      </c>
      <c r="H30" s="4117"/>
      <c r="I30" s="4049"/>
      <c r="J30" s="4051"/>
      <c r="K30" s="4072"/>
      <c r="L30" s="4114"/>
      <c r="M30" s="790"/>
      <c r="N30" s="1123" t="s">
        <v>1572</v>
      </c>
      <c r="O30" s="81" t="s">
        <v>1573</v>
      </c>
      <c r="P30" s="81" t="s">
        <v>1561</v>
      </c>
      <c r="Q30" s="81" t="s">
        <v>1574</v>
      </c>
      <c r="R30" s="81" t="s">
        <v>1562</v>
      </c>
      <c r="S30" s="4117"/>
      <c r="T30" s="4049"/>
      <c r="U30" s="4051"/>
      <c r="V30" s="4072"/>
      <c r="W30" s="4114"/>
      <c r="X30" s="790"/>
      <c r="Y30" s="10"/>
      <c r="Z30" s="10"/>
      <c r="AA30" s="1196"/>
      <c r="AB30" s="4021" t="s">
        <v>1507</v>
      </c>
      <c r="AC30" s="4022"/>
      <c r="AD30" s="4022"/>
      <c r="AE30" s="4023"/>
      <c r="AF30" s="4024" t="s">
        <v>1553</v>
      </c>
      <c r="AG30" s="4025"/>
      <c r="AH30" s="4025"/>
      <c r="AI30" s="4025"/>
      <c r="AJ30" s="4025"/>
      <c r="AK30" s="4025"/>
      <c r="AL30" s="4025"/>
      <c r="AM30" s="4025"/>
      <c r="AN30" s="4025"/>
      <c r="AO30" s="4025"/>
      <c r="AP30" s="4026"/>
      <c r="AQ30" s="1554" t="s">
        <v>1503</v>
      </c>
      <c r="AR30" s="1272"/>
      <c r="AS30" s="1218"/>
      <c r="AT30" s="2892">
        <v>1</v>
      </c>
      <c r="AU30" s="2892" t="s">
        <v>1418</v>
      </c>
      <c r="AV30" s="2888"/>
      <c r="AW30" s="2888">
        <f>E28</f>
        <v>0</v>
      </c>
      <c r="AX30" s="2888">
        <f>P28</f>
        <v>0</v>
      </c>
      <c r="AY30" s="2888">
        <f>E35</f>
        <v>0</v>
      </c>
      <c r="AZ30" s="2888">
        <f>P35</f>
        <v>0</v>
      </c>
      <c r="BA30" s="2888">
        <f>E42</f>
        <v>0</v>
      </c>
      <c r="BB30" s="2888">
        <f>P42</f>
        <v>0</v>
      </c>
      <c r="BC30" s="2888">
        <f>E49</f>
        <v>0</v>
      </c>
      <c r="BD30" s="2888">
        <f>P49</f>
        <v>0</v>
      </c>
      <c r="BE30" s="2888">
        <f>E58</f>
        <v>0</v>
      </c>
      <c r="BF30" s="2888">
        <f>P58</f>
        <v>0</v>
      </c>
      <c r="BG30" s="1872"/>
      <c r="BH30" s="1872"/>
      <c r="BI30" s="1872"/>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144" t="s">
        <v>8874</v>
      </c>
      <c r="I31" s="4145"/>
      <c r="J31" s="1614"/>
      <c r="K31" s="4146" t="s">
        <v>8529</v>
      </c>
      <c r="L31" s="4147"/>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144" t="s">
        <v>8874</v>
      </c>
      <c r="T31" s="4145"/>
      <c r="U31" s="1614"/>
      <c r="V31" s="4146" t="s">
        <v>8529</v>
      </c>
      <c r="W31" s="4147"/>
      <c r="X31" s="790"/>
      <c r="Y31" s="10"/>
      <c r="Z31" s="10"/>
      <c r="AA31" s="1196"/>
      <c r="AB31" s="4129" t="str">
        <f>IF(PDs!$AD56=0,"",PDs!$AD56)</f>
        <v/>
      </c>
      <c r="AC31" s="4130"/>
      <c r="AD31" s="4130"/>
      <c r="AE31" s="4130"/>
      <c r="AF31" s="3989" t="str">
        <f t="shared" ref="AF31:AF49" si="8">IFERROR(VLOOKUP(AB31,Tabla_ArtesMarciales,11,FALSE),"")</f>
        <v/>
      </c>
      <c r="AG31" s="3986"/>
      <c r="AH31" s="3986"/>
      <c r="AI31" s="3986"/>
      <c r="AJ31" s="3986"/>
      <c r="AK31" s="3986"/>
      <c r="AL31" s="3986"/>
      <c r="AM31" s="3986"/>
      <c r="AN31" s="3986"/>
      <c r="AO31" s="3986"/>
      <c r="AP31" s="3991"/>
      <c r="AQ31" s="1610">
        <f>IF(AB31="",0,VLOOKUP(AB31,Tablas!$D$827:$G$916,4,FALSE))</f>
        <v>0</v>
      </c>
      <c r="AR31" s="1272"/>
      <c r="AS31" s="1218"/>
      <c r="AT31" s="2892">
        <v>2</v>
      </c>
      <c r="AU31" s="2892" t="s">
        <v>1554</v>
      </c>
      <c r="AV31" s="2888"/>
      <c r="AW31" s="2888">
        <f>J31</f>
        <v>0</v>
      </c>
      <c r="AX31" s="2888">
        <f>U31</f>
        <v>0</v>
      </c>
      <c r="AY31" s="2888">
        <f>J38</f>
        <v>0</v>
      </c>
      <c r="AZ31" s="2888">
        <f>U38</f>
        <v>0</v>
      </c>
      <c r="BA31" s="2888">
        <f>J45</f>
        <v>0</v>
      </c>
      <c r="BB31" s="2888">
        <f>U45</f>
        <v>0</v>
      </c>
      <c r="BC31" s="2888">
        <f>J52</f>
        <v>0</v>
      </c>
      <c r="BD31" s="2888">
        <f>U52</f>
        <v>0</v>
      </c>
      <c r="BE31" s="2888">
        <f>J61</f>
        <v>0</v>
      </c>
      <c r="BF31" s="2888">
        <f>U61</f>
        <v>0</v>
      </c>
      <c r="BG31" s="2892"/>
      <c r="BH31" s="1872"/>
      <c r="BI31" s="1872"/>
    </row>
    <row r="32" spans="1:61" ht="12" customHeight="1" thickBot="1" x14ac:dyDescent="0.25">
      <c r="A32" s="10"/>
      <c r="B32" s="1233"/>
      <c r="C32" s="4148" t="str">
        <f>IF(E28=0,"",IF(VLOOKUP(E28,Tabla_ArmasyEscudos,17,FALSE)&lt;&gt;"-",D33,C33))</f>
        <v/>
      </c>
      <c r="D32" s="4149"/>
      <c r="E32" s="4149"/>
      <c r="F32" s="4149"/>
      <c r="G32" s="4149"/>
      <c r="H32" s="4149"/>
      <c r="I32" s="1571"/>
      <c r="J32" s="1572" t="str">
        <f>IF(F29=0,IF(J31&lt;=0,"","TA defensor: -"&amp;J31/5),IF(Tamaño&lt;VLOOKUP(F29,Tabla_ArmasEnormes,2,FALSE),"Tam. excesivo",IF(J31&lt;=0,"","TA defensor: -"&amp;J31/5)))</f>
        <v/>
      </c>
      <c r="K32" s="4150" t="s">
        <v>1384</v>
      </c>
      <c r="L32" s="4151"/>
      <c r="M32" s="790"/>
      <c r="N32" s="4148" t="str">
        <f>IF(P28=0,"",IF(VLOOKUP(P28,Tabla_ArmasyEscudos,17,FALSE)&lt;&gt;"-",O33,N33))</f>
        <v/>
      </c>
      <c r="O32" s="4149"/>
      <c r="P32" s="4149"/>
      <c r="Q32" s="4149"/>
      <c r="R32" s="4149"/>
      <c r="S32" s="4149"/>
      <c r="T32" s="1571"/>
      <c r="U32" s="1572" t="str">
        <f>IF(Q29=0,IF(U31&lt;=0,"","TA defensor: -"&amp;U31/5),IF(Tamaño&lt;VLOOKUP(Q29,Tabla_ArmasEnormes,2,FALSE),"Tam. excesivo",IF(U31&lt;=0,"","TA defensor: -"&amp;U31/5)))</f>
        <v/>
      </c>
      <c r="V32" s="4150" t="s">
        <v>1384</v>
      </c>
      <c r="W32" s="4151"/>
      <c r="X32" s="790"/>
      <c r="Y32" s="10"/>
      <c r="Z32" s="10"/>
      <c r="AA32" s="1196"/>
      <c r="AB32" s="3985" t="str">
        <f>IF(PDs!$AD57=0,"",PDs!$AD57)</f>
        <v/>
      </c>
      <c r="AC32" s="3986"/>
      <c r="AD32" s="3986"/>
      <c r="AE32" s="3986"/>
      <c r="AF32" s="3989" t="str">
        <f t="shared" si="8"/>
        <v/>
      </c>
      <c r="AG32" s="3986"/>
      <c r="AH32" s="3986"/>
      <c r="AI32" s="3986"/>
      <c r="AJ32" s="3986"/>
      <c r="AK32" s="3986"/>
      <c r="AL32" s="3986"/>
      <c r="AM32" s="3986"/>
      <c r="AN32" s="3986"/>
      <c r="AO32" s="3986"/>
      <c r="AP32" s="3991"/>
      <c r="AQ32" s="1611">
        <f>IF(AB32="",0,VLOOKUP(AB32,Tablas!$D$827:$G$916,4,FALSE))</f>
        <v>0</v>
      </c>
      <c r="AR32" s="1272"/>
      <c r="AS32" s="1218"/>
      <c r="AT32" s="2892">
        <v>3</v>
      </c>
      <c r="AU32" s="2892" t="s">
        <v>8903</v>
      </c>
      <c r="AV32" s="2888"/>
      <c r="AW32" s="2888" t="str">
        <f>C29</f>
        <v/>
      </c>
      <c r="AX32" s="2888" t="str">
        <f>N29</f>
        <v/>
      </c>
      <c r="AY32" s="2888" t="str">
        <f>C36</f>
        <v/>
      </c>
      <c r="AZ32" s="2888" t="str">
        <f>N36</f>
        <v/>
      </c>
      <c r="BA32" s="2888" t="str">
        <f>C43</f>
        <v/>
      </c>
      <c r="BB32" s="2888" t="str">
        <f>N43</f>
        <v/>
      </c>
      <c r="BC32" s="2888" t="str">
        <f>C51</f>
        <v/>
      </c>
      <c r="BD32" s="2888" t="str">
        <f>N51</f>
        <v/>
      </c>
      <c r="BE32" s="2888" t="str">
        <f>C60</f>
        <v/>
      </c>
      <c r="BF32" s="2888" t="str">
        <f>N60</f>
        <v/>
      </c>
      <c r="BG32" s="2892"/>
      <c r="BH32" s="1872"/>
      <c r="BI32" s="1872"/>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3985" t="str">
        <f>IF(PDs!$AD58=0,"",PDs!$AD58)</f>
        <v/>
      </c>
      <c r="AC33" s="3986"/>
      <c r="AD33" s="3986"/>
      <c r="AE33" s="3986"/>
      <c r="AF33" s="3989" t="str">
        <f t="shared" si="8"/>
        <v/>
      </c>
      <c r="AG33" s="3990"/>
      <c r="AH33" s="3990"/>
      <c r="AI33" s="3990"/>
      <c r="AJ33" s="3990"/>
      <c r="AK33" s="3990"/>
      <c r="AL33" s="3990"/>
      <c r="AM33" s="3990"/>
      <c r="AN33" s="3990"/>
      <c r="AO33" s="3990"/>
      <c r="AP33" s="3991"/>
      <c r="AQ33" s="1611">
        <f>IF(AB33="",0,VLOOKUP(AB33,Tablas!$D$827:$G$916,4,FALSE))</f>
        <v>0</v>
      </c>
      <c r="AR33" s="1272"/>
      <c r="AS33" s="1218"/>
      <c r="AT33" s="2892">
        <v>4</v>
      </c>
      <c r="AU33" s="2892" t="s">
        <v>1907</v>
      </c>
      <c r="AV33" s="2888"/>
      <c r="AW33" s="2888" t="str">
        <f>F29</f>
        <v>Normal</v>
      </c>
      <c r="AX33" s="2888" t="str">
        <f>Q29</f>
        <v>Normal</v>
      </c>
      <c r="AY33" s="2888" t="str">
        <f>F36</f>
        <v>Normal</v>
      </c>
      <c r="AZ33" s="2888" t="str">
        <f>Q36</f>
        <v>Normal</v>
      </c>
      <c r="BA33" s="2888" t="str">
        <f>F43</f>
        <v>Normal</v>
      </c>
      <c r="BB33" s="2888" t="str">
        <f>Q43</f>
        <v>Normal</v>
      </c>
      <c r="BC33" s="2888" t="str">
        <f>F51</f>
        <v>Normal</v>
      </c>
      <c r="BD33" s="2888">
        <f>Q51</f>
        <v>0</v>
      </c>
      <c r="BE33" s="2888" t="str">
        <f>F60</f>
        <v>Normal</v>
      </c>
      <c r="BF33" s="2888" t="str">
        <f>Q60</f>
        <v>Normal</v>
      </c>
      <c r="BG33" s="2892"/>
      <c r="BH33" s="1872"/>
      <c r="BI33" s="1872"/>
    </row>
    <row r="34" spans="1:61" ht="12" customHeight="1" thickBot="1" x14ac:dyDescent="0.25">
      <c r="A34" s="10"/>
      <c r="B34" s="1233"/>
      <c r="C34" s="1575" t="s">
        <v>8882</v>
      </c>
      <c r="D34" s="1570" t="str">
        <f>E35&amp;IF(COUNTIF($R$22:$T$25,C34&amp;" "&amp;E35)&gt;0,IFERROR(" y"&amp;MID(VLOOKUP(C34&amp;" "&amp;E35,$R$22:$W$25,4,FALSE),SEARCH(".",VLOOKUP(C34&amp;" "&amp;E35,$R$22:$W$25,4,FALSE))+1,100),""),"")</f>
        <v/>
      </c>
      <c r="E34" s="1570"/>
      <c r="F34" s="1570"/>
      <c r="G34" s="1570"/>
      <c r="H34" s="1570"/>
      <c r="I34" s="1570"/>
      <c r="J34" s="1570"/>
      <c r="K34" s="1570"/>
      <c r="L34" s="1608" t="s">
        <v>8898</v>
      </c>
      <c r="M34" s="790"/>
      <c r="N34" s="1575" t="s">
        <v>8879</v>
      </c>
      <c r="O34" s="1570" t="str">
        <f>P35&amp;IF(COUNTIF($R$22:$T$25,N34&amp;" "&amp;P35)&gt;0,IFERROR(" y"&amp;MID(VLOOKUP(N34&amp;" "&amp;P35,$R$22:$W$25,4,FALSE),SEARCH(".",VLOOKUP(N34&amp;" "&amp;P35,$R$22:$W$25,4,FALSE))+1,100),""),"")</f>
        <v/>
      </c>
      <c r="P34" s="1570"/>
      <c r="Q34" s="1570"/>
      <c r="R34" s="1570"/>
      <c r="S34" s="1570"/>
      <c r="T34" s="1570"/>
      <c r="U34" s="1570"/>
      <c r="V34" s="1570"/>
      <c r="W34" s="1608" t="s">
        <v>8898</v>
      </c>
      <c r="X34" s="790"/>
      <c r="Y34" s="10"/>
      <c r="Z34" s="10"/>
      <c r="AA34" s="1196"/>
      <c r="AB34" s="3985" t="str">
        <f>IF(PDs!$AD59=0,"",PDs!$AD59)</f>
        <v/>
      </c>
      <c r="AC34" s="3986"/>
      <c r="AD34" s="3986"/>
      <c r="AE34" s="3986"/>
      <c r="AF34" s="3989" t="str">
        <f t="shared" si="8"/>
        <v/>
      </c>
      <c r="AG34" s="3990"/>
      <c r="AH34" s="3990"/>
      <c r="AI34" s="3990"/>
      <c r="AJ34" s="3990"/>
      <c r="AK34" s="3990"/>
      <c r="AL34" s="3990"/>
      <c r="AM34" s="3990"/>
      <c r="AN34" s="3990"/>
      <c r="AO34" s="3990"/>
      <c r="AP34" s="3991"/>
      <c r="AQ34" s="1611">
        <f>IF(AB34="",0,VLOOKUP(AB34,Tablas!$D$827:$G$916,4,FALSE))</f>
        <v>0</v>
      </c>
      <c r="AR34" s="1272"/>
      <c r="AS34" s="1218"/>
      <c r="AT34" s="2892">
        <v>5</v>
      </c>
      <c r="AU34" s="2892" t="s">
        <v>1584</v>
      </c>
      <c r="AV34" s="1872"/>
      <c r="AW34" s="1872" t="s">
        <v>1459</v>
      </c>
      <c r="AX34" s="1872" t="s">
        <v>1459</v>
      </c>
      <c r="AY34" s="1872" t="s">
        <v>1459</v>
      </c>
      <c r="AZ34" s="1872" t="s">
        <v>1459</v>
      </c>
      <c r="BA34" s="1872" t="s">
        <v>1459</v>
      </c>
      <c r="BB34" s="1872" t="s">
        <v>1459</v>
      </c>
      <c r="BC34" s="2888">
        <f>E50</f>
        <v>0</v>
      </c>
      <c r="BD34" s="2888">
        <f>P50</f>
        <v>0</v>
      </c>
      <c r="BE34" s="2888">
        <f>E59</f>
        <v>0</v>
      </c>
      <c r="BF34" s="2888">
        <f>P59</f>
        <v>0</v>
      </c>
      <c r="BG34" s="2892"/>
      <c r="BH34" s="1872"/>
      <c r="BI34" s="1872"/>
    </row>
    <row r="35" spans="1:61" ht="12" customHeight="1" x14ac:dyDescent="0.2">
      <c r="A35" s="10"/>
      <c r="B35" s="1233"/>
      <c r="C35" s="4041" t="s">
        <v>8872</v>
      </c>
      <c r="D35" s="4042"/>
      <c r="E35" s="4044"/>
      <c r="F35" s="4045"/>
      <c r="G35" s="4046"/>
      <c r="H35" s="1925" t="s">
        <v>1396</v>
      </c>
      <c r="I35" s="1926" t="s">
        <v>1568</v>
      </c>
      <c r="J35" s="4047" t="s">
        <v>1569</v>
      </c>
      <c r="K35" s="4047"/>
      <c r="L35" s="1927" t="s">
        <v>1570</v>
      </c>
      <c r="M35" s="1607" t="str">
        <f>IF(C35=INDEX(Lista_ManosArma,2),Lista_A2Manos,Lista_A1Mano)</f>
        <v>Tablas!$AB$640:$AB$756</v>
      </c>
      <c r="N35" s="4041" t="s">
        <v>8872</v>
      </c>
      <c r="O35" s="4042"/>
      <c r="P35" s="4044"/>
      <c r="Q35" s="4045"/>
      <c r="R35" s="4046"/>
      <c r="S35" s="1925" t="s">
        <v>1396</v>
      </c>
      <c r="T35" s="1926" t="s">
        <v>1568</v>
      </c>
      <c r="U35" s="4047" t="s">
        <v>1569</v>
      </c>
      <c r="V35" s="4047"/>
      <c r="W35" s="1927" t="s">
        <v>1570</v>
      </c>
      <c r="X35" s="1607" t="str">
        <f>IF(N35=INDEX(Lista_ManosArma,2),Lista_A2Manos,Lista_A1Mano)</f>
        <v>Tablas!$AB$640:$AB$756</v>
      </c>
      <c r="Y35" s="10"/>
      <c r="Z35" s="10"/>
      <c r="AA35" s="1196"/>
      <c r="AB35" s="3985" t="str">
        <f>IF(PDs!$AD60=0,"",PDs!$AD60)</f>
        <v/>
      </c>
      <c r="AC35" s="3986"/>
      <c r="AD35" s="3986"/>
      <c r="AE35" s="3986"/>
      <c r="AF35" s="3989" t="str">
        <f t="shared" si="8"/>
        <v/>
      </c>
      <c r="AG35" s="3990"/>
      <c r="AH35" s="3990"/>
      <c r="AI35" s="3990"/>
      <c r="AJ35" s="3990"/>
      <c r="AK35" s="3990"/>
      <c r="AL35" s="3990"/>
      <c r="AM35" s="3990"/>
      <c r="AN35" s="3990"/>
      <c r="AO35" s="3990"/>
      <c r="AP35" s="3991"/>
      <c r="AQ35" s="1611">
        <f>IF(AB35="",0,VLOOKUP(AB35,Tablas!$D$827:$G$916,4,FALSE))</f>
        <v>0</v>
      </c>
      <c r="AR35" s="1272"/>
      <c r="AS35" s="1218"/>
      <c r="AT35" s="2892">
        <v>6</v>
      </c>
      <c r="AU35" s="2892" t="s">
        <v>8940</v>
      </c>
      <c r="AV35" s="2888"/>
      <c r="AW35" s="2888" t="s">
        <v>1459</v>
      </c>
      <c r="AX35" s="2888" t="s">
        <v>1459</v>
      </c>
      <c r="AY35" s="2888" t="s">
        <v>1459</v>
      </c>
      <c r="AZ35" s="2888" t="s">
        <v>1459</v>
      </c>
      <c r="BA35" s="2888" t="s">
        <v>1459</v>
      </c>
      <c r="BB35" s="2888" t="s">
        <v>1459</v>
      </c>
      <c r="BC35" s="2888">
        <f>J53</f>
        <v>0</v>
      </c>
      <c r="BD35" s="2888">
        <f>U53</f>
        <v>0</v>
      </c>
      <c r="BE35" s="2888">
        <f>J62</f>
        <v>0</v>
      </c>
      <c r="BF35" s="2888">
        <f>U62</f>
        <v>0</v>
      </c>
      <c r="BG35" s="2892"/>
      <c r="BH35" s="1872"/>
      <c r="BI35" s="1872"/>
    </row>
    <row r="36" spans="1:61" ht="12" customHeight="1" x14ac:dyDescent="0.2">
      <c r="A36" s="10"/>
      <c r="B36" s="1233"/>
      <c r="C36" s="4039" t="str">
        <f>IF(E35=0,"",VLOOKUP(E35,Tabla_ArmasyEscudos,9,FALSE))</f>
        <v/>
      </c>
      <c r="D36" s="4040"/>
      <c r="E36" s="1928" t="s">
        <v>1580</v>
      </c>
      <c r="F36" s="4115" t="s">
        <v>1581</v>
      </c>
      <c r="G36" s="4116"/>
      <c r="H36" s="4117">
        <f>IFERROR(INDEX(Tabla_Combate,$AT$41,LEFT(C34,LEN(C34)-1)),0)</f>
        <v>0</v>
      </c>
      <c r="I36" s="4048">
        <f>IFERROR(INDEX(Tabla_Combate,$AT$42,LEFT(C34,LEN(C34)-1)),0)</f>
        <v>0</v>
      </c>
      <c r="J36" s="4050">
        <f>IF(K36="-",0,IF(K36="Par",INDEX(Tabla_Combate,$AT$43,LEFT(C34,LEN(C34)-1)),INDEX(Tabla_Combate,$AT$44,LEFT(C34,LEN(C34)-1))))</f>
        <v>0</v>
      </c>
      <c r="K36" s="3298" t="str">
        <f>IFERROR(IF(INDEX(Tabla_Combate,$AT$43,LEFT(C34,LEN(C34)-1))&gt;INDEX(Tabla_Combate,$AT$44,LEFT(C34,LEN(C34)-1)),"Par","Esq"),"-")</f>
        <v>-</v>
      </c>
      <c r="L36" s="4113">
        <f>IFERROR(INDEX(Tabla_Combate,$AT$45,LEFT(C34,LEN(C34)-1)),0)</f>
        <v>0</v>
      </c>
      <c r="M36" s="790"/>
      <c r="N36" s="4039" t="str">
        <f>IF(P35=0,"",VLOOKUP(P35,Tabla_ArmasyEscudos,9,FALSE))</f>
        <v/>
      </c>
      <c r="O36" s="4040"/>
      <c r="P36" s="1928" t="s">
        <v>1580</v>
      </c>
      <c r="Q36" s="4115" t="s">
        <v>1581</v>
      </c>
      <c r="R36" s="4116"/>
      <c r="S36" s="4117">
        <f>IFERROR(INDEX(Tabla_Combate,$AT$41,LEFT(N34,LEN(N34)-1)),0)</f>
        <v>0</v>
      </c>
      <c r="T36" s="4048">
        <f>IFERROR(INDEX(Tabla_Combate,$AT$42,LEFT(N34,LEN(N34)-1)),0)</f>
        <v>0</v>
      </c>
      <c r="U36" s="4050">
        <f>IF(V36="-",0,IF(V36="Par",INDEX(Tabla_Combate,$AT$43,LEFT(N34,LEN(N34)-1)),INDEX(Tabla_Combate,$AT$44,LEFT(N34,LEN(N34)-1))))</f>
        <v>0</v>
      </c>
      <c r="V36" s="3298" t="str">
        <f>IFERROR(IF(INDEX(Tabla_Combate,$AT$43,LEFT(N34,LEN(N34)-1))&gt;INDEX(Tabla_Combate,$AT$44,LEFT(N34,LEN(N34)-1)),"Par","Esq"),"-")</f>
        <v>-</v>
      </c>
      <c r="W36" s="4113">
        <f>IFERROR(INDEX(Tabla_Combate,$AT$45,LEFT(N34,LEN(N34)-1)),0)</f>
        <v>0</v>
      </c>
      <c r="X36" s="790"/>
      <c r="Y36" s="10"/>
      <c r="Z36" s="10"/>
      <c r="AA36" s="1196"/>
      <c r="AB36" s="3985" t="str">
        <f>IF(PDs!$AD61=0,"",PDs!$AD61)</f>
        <v/>
      </c>
      <c r="AC36" s="3986"/>
      <c r="AD36" s="3986"/>
      <c r="AE36" s="3986"/>
      <c r="AF36" s="3989" t="str">
        <f t="shared" si="8"/>
        <v/>
      </c>
      <c r="AG36" s="3990"/>
      <c r="AH36" s="3990"/>
      <c r="AI36" s="3990"/>
      <c r="AJ36" s="3990"/>
      <c r="AK36" s="3990"/>
      <c r="AL36" s="3990"/>
      <c r="AM36" s="3990"/>
      <c r="AN36" s="3990"/>
      <c r="AO36" s="3990"/>
      <c r="AP36" s="3991"/>
      <c r="AQ36" s="1611">
        <f>IF(AB36="",0,VLOOKUP(AB36,Tablas!$D$827:$G$916,4,FALSE))</f>
        <v>0</v>
      </c>
      <c r="AR36" s="1272"/>
      <c r="AS36" s="1218"/>
      <c r="AT36" s="2892">
        <v>7</v>
      </c>
      <c r="AU36" s="2892" t="s">
        <v>9833</v>
      </c>
      <c r="AV36" s="2892"/>
      <c r="AW36" s="2892" t="str">
        <f>IF($C31="","","("&amp;$C31&amp;IF($D31="-",""," / "&amp;$D31)&amp;")")</f>
        <v/>
      </c>
      <c r="AX36" s="2892" t="str">
        <f>IF($N31="","","("&amp;$N31&amp;IF($O31="-",""," / "&amp;$O31)&amp;")")</f>
        <v/>
      </c>
      <c r="AY36" s="2892" t="str">
        <f>IF($C38="","","("&amp;$C38&amp;IF($D38="-",""," / "&amp;$D38)&amp;")")</f>
        <v/>
      </c>
      <c r="AZ36" s="2892" t="str">
        <f>IF($N38="","","("&amp;$N38&amp;IF($O38="-",""," / "&amp;$O38)&amp;")")</f>
        <v/>
      </c>
      <c r="BA36" s="2892" t="str">
        <f>IF($C45="","","("&amp;$C45&amp;IF($D45="-",""," / "&amp;$D45)&amp;")")</f>
        <v/>
      </c>
      <c r="BB36" s="2892" t="str">
        <f>IF($N45="","","("&amp;$N45&amp;IF($O45="-",""," / "&amp;$O45)&amp;")")</f>
        <v/>
      </c>
      <c r="BC36" s="2892" t="str">
        <f>IF($C53="","","("&amp;$C53&amp;IF($D53="-",""," / "&amp;$D53)&amp;")")</f>
        <v/>
      </c>
      <c r="BD36" s="2892" t="str">
        <f>IF($N53="","","("&amp;$N53&amp;IF($O53="-",""," / "&amp;$O53)&amp;")")</f>
        <v/>
      </c>
      <c r="BE36" s="2892" t="str">
        <f>IF($C62="","","("&amp;$C62&amp;IF($D62="-",""," / "&amp;$D62)&amp;")")</f>
        <v/>
      </c>
      <c r="BF36" s="2892" t="str">
        <f>IF($N62="","","("&amp;$N62&amp;IF($O62="-",""," / "&amp;$O62)&amp;")")</f>
        <v/>
      </c>
      <c r="BG36" s="2892"/>
      <c r="BH36" s="1872"/>
      <c r="BI36" s="1872"/>
    </row>
    <row r="37" spans="1:61" ht="12" customHeight="1" x14ac:dyDescent="0.2">
      <c r="A37" s="10"/>
      <c r="B37" s="1233"/>
      <c r="C37" s="1123" t="s">
        <v>1572</v>
      </c>
      <c r="D37" s="81" t="s">
        <v>1573</v>
      </c>
      <c r="E37" s="81" t="s">
        <v>1561</v>
      </c>
      <c r="F37" s="81" t="s">
        <v>1574</v>
      </c>
      <c r="G37" s="81" t="s">
        <v>1562</v>
      </c>
      <c r="H37" s="4117"/>
      <c r="I37" s="4049"/>
      <c r="J37" s="4051"/>
      <c r="K37" s="4072"/>
      <c r="L37" s="4114"/>
      <c r="M37" s="790"/>
      <c r="N37" s="1123" t="s">
        <v>1572</v>
      </c>
      <c r="O37" s="81" t="s">
        <v>1573</v>
      </c>
      <c r="P37" s="81" t="s">
        <v>1561</v>
      </c>
      <c r="Q37" s="81" t="s">
        <v>1574</v>
      </c>
      <c r="R37" s="81" t="s">
        <v>1562</v>
      </c>
      <c r="S37" s="4117"/>
      <c r="T37" s="4049"/>
      <c r="U37" s="4051"/>
      <c r="V37" s="4072"/>
      <c r="W37" s="4114"/>
      <c r="X37" s="790"/>
      <c r="Y37" s="10"/>
      <c r="Z37" s="10"/>
      <c r="AA37" s="1196"/>
      <c r="AB37" s="3983" t="str">
        <f>IF(PDs!$AD62=0,"",PDs!$AD62)</f>
        <v/>
      </c>
      <c r="AC37" s="3984"/>
      <c r="AD37" s="3984"/>
      <c r="AE37" s="3984"/>
      <c r="AF37" s="3989" t="str">
        <f t="shared" si="8"/>
        <v/>
      </c>
      <c r="AG37" s="3990"/>
      <c r="AH37" s="3990"/>
      <c r="AI37" s="3990"/>
      <c r="AJ37" s="3990"/>
      <c r="AK37" s="3990"/>
      <c r="AL37" s="3990"/>
      <c r="AM37" s="3990"/>
      <c r="AN37" s="3990"/>
      <c r="AO37" s="3990"/>
      <c r="AP37" s="3991"/>
      <c r="AQ37" s="1611">
        <f>IF(AB37="",0,VLOOKUP(AB37,Tablas!$D$827:$G$916,4,FALSE))</f>
        <v>0</v>
      </c>
      <c r="AR37" s="1272"/>
      <c r="AS37" s="1218"/>
      <c r="AT37" s="2892">
        <v>8</v>
      </c>
      <c r="AU37" s="2892" t="s">
        <v>8904</v>
      </c>
      <c r="AV37" s="2888"/>
      <c r="AW37" s="2888" t="str">
        <f>C28</f>
        <v>A una mano</v>
      </c>
      <c r="AX37" s="2888" t="str">
        <f>N28</f>
        <v>A una mano</v>
      </c>
      <c r="AY37" s="2888" t="str">
        <f>C35</f>
        <v>A una mano</v>
      </c>
      <c r="AZ37" s="2888" t="str">
        <f>N35</f>
        <v>A una mano</v>
      </c>
      <c r="BA37" s="2888" t="str">
        <f>C42</f>
        <v>A una mano</v>
      </c>
      <c r="BB37" s="2888" t="str">
        <f>N42</f>
        <v>A una mano</v>
      </c>
      <c r="BC37" s="2888" t="str">
        <f>C49</f>
        <v>A una mano</v>
      </c>
      <c r="BD37" s="2888" t="str">
        <f>N49</f>
        <v>A una mano</v>
      </c>
      <c r="BE37" s="2888" t="str">
        <f>C58</f>
        <v>A una mano</v>
      </c>
      <c r="BF37" s="2888" t="str">
        <f>N58</f>
        <v>A una mano</v>
      </c>
      <c r="BG37" s="2892"/>
      <c r="BH37" s="1872"/>
      <c r="BI37" s="1872"/>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144" t="s">
        <v>8874</v>
      </c>
      <c r="I38" s="4145"/>
      <c r="J38" s="1614"/>
      <c r="K38" s="4146" t="s">
        <v>8529</v>
      </c>
      <c r="L38" s="4147"/>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144" t="s">
        <v>8874</v>
      </c>
      <c r="T38" s="4145"/>
      <c r="U38" s="1614"/>
      <c r="V38" s="4146" t="s">
        <v>8529</v>
      </c>
      <c r="W38" s="4147"/>
      <c r="X38" s="790"/>
      <c r="Y38" s="10"/>
      <c r="Z38" s="10"/>
      <c r="AA38" s="1196"/>
      <c r="AB38" s="3983" t="str">
        <f>IF(PDs!$AD63=0,"",PDs!$AD63)</f>
        <v/>
      </c>
      <c r="AC38" s="3984"/>
      <c r="AD38" s="3984"/>
      <c r="AE38" s="3984"/>
      <c r="AF38" s="3989" t="str">
        <f t="shared" si="8"/>
        <v/>
      </c>
      <c r="AG38" s="3990"/>
      <c r="AH38" s="3990"/>
      <c r="AI38" s="3990"/>
      <c r="AJ38" s="3990"/>
      <c r="AK38" s="3990"/>
      <c r="AL38" s="3990"/>
      <c r="AM38" s="3990"/>
      <c r="AN38" s="3990"/>
      <c r="AO38" s="3990"/>
      <c r="AP38" s="3991"/>
      <c r="AQ38" s="1611">
        <f>IF(AB38="",0,VLOOKUP(AB38,Tablas!$D$827:$G$916,4,FALSE))</f>
        <v>0</v>
      </c>
      <c r="AR38" s="1272"/>
      <c r="AS38" s="1218"/>
      <c r="AT38" s="2892">
        <v>9</v>
      </c>
      <c r="AU38" s="2892" t="s">
        <v>8905</v>
      </c>
      <c r="AV38" s="2888"/>
      <c r="AW38" s="2888" t="str">
        <f>IF(COUNTIF($R$22:$T$25,Tablas!A$1&amp;". "&amp;AW30)&gt;0,"Hábil",IF(COUNTIF($U$22:$W$25,Tablas!A$1&amp;". "&amp;AW30)&gt;0,"Torpe","Única"))</f>
        <v>Única</v>
      </c>
      <c r="AX38" s="2888" t="str">
        <f>IF(COUNTIF($R$22:$T$25,Tablas!B$1&amp;". "&amp;AX30)&gt;0,"Hábil",IF(COUNTIF($U$22:$W$25,Tablas!B$1&amp;". "&amp;AX30)&gt;0,"Torpe","Única"))</f>
        <v>Única</v>
      </c>
      <c r="AY38" s="2888" t="str">
        <f>IF(COUNTIF($R$22:$T$25,Tablas!C$1&amp;". "&amp;AY30)&gt;0,"Hábil",IF(COUNTIF($U$22:$W$25,Tablas!C$1&amp;". "&amp;AY30)&gt;0,"Torpe","Única"))</f>
        <v>Única</v>
      </c>
      <c r="AZ38" s="2888" t="str">
        <f>IF(COUNTIF($R$22:$T$25,Tablas!D$1&amp;". "&amp;AZ30)&gt;0,"Hábil",IF(COUNTIF($U$22:$W$25,Tablas!D$1&amp;". "&amp;AZ30)&gt;0,"Torpe","Única"))</f>
        <v>Única</v>
      </c>
      <c r="BA38" s="2888" t="str">
        <f>IF(COUNTIF($R$22:$T$25,Tablas!E$1&amp;". "&amp;BA30)&gt;0,"Hábil",IF(COUNTIF($U$22:$W$25,Tablas!E$1&amp;". "&amp;BA30)&gt;0,"Torpe","Única"))</f>
        <v>Única</v>
      </c>
      <c r="BB38" s="2888" t="str">
        <f>IF(COUNTIF($R$22:$T$25,Tablas!F$1&amp;". "&amp;BB30)&gt;0,"Hábil",IF(COUNTIF($U$22:$W$25,Tablas!F$1&amp;". "&amp;BB30)&gt;0,"Torpe","Única"))</f>
        <v>Única</v>
      </c>
      <c r="BC38" s="2888" t="str">
        <f>IF(COUNTIF($R$22:$T$25,Tablas!G$1&amp;". "&amp;BC30)&gt;0,"Hábil",IF(COUNTIF($U$22:$W$25,Tablas!G$1&amp;". "&amp;BC30)&gt;0,"Torpe","Única"))</f>
        <v>Única</v>
      </c>
      <c r="BD38" s="2888" t="str">
        <f>IF(COUNTIF($R$22:$T$25,Tablas!H$1&amp;". "&amp;BD30)&gt;0,"Hábil",IF(COUNTIF($U$22:$W$25,Tablas!H$1&amp;". "&amp;BD30)&gt;0,"Torpe","Única"))</f>
        <v>Única</v>
      </c>
      <c r="BE38" s="2888" t="str">
        <f>IF(COUNTIF($R$22:$T$25,Tablas!I$1&amp;". "&amp;BE30)&gt;0,"Hábil",IF(COUNTIF($U$22:$W$25,Tablas!I$1&amp;". "&amp;BE30)&gt;0,"Torpe","Única"))</f>
        <v>Única</v>
      </c>
      <c r="BF38" s="2888" t="str">
        <f>IF(COUNTIF($R$22:$T$25,Tablas!J$1&amp;". "&amp;BF30)&gt;0,"Hábil",IF(COUNTIF($U$22:$W$25,Tablas!J$1&amp;". "&amp;BF30)&gt;0,"Torpe","Única"))</f>
        <v>Única</v>
      </c>
      <c r="BG38" s="2892"/>
      <c r="BH38" s="1872"/>
      <c r="BI38" s="1872"/>
    </row>
    <row r="39" spans="1:61" ht="12" customHeight="1" thickBot="1" x14ac:dyDescent="0.25">
      <c r="A39" s="10"/>
      <c r="B39" s="1233"/>
      <c r="C39" s="4148" t="str">
        <f>IF(E35=0,"",IF(VLOOKUP(E35,Tabla_ArmasyEscudos,17,FALSE)&lt;&gt;"-",D40,C40))</f>
        <v/>
      </c>
      <c r="D39" s="4149"/>
      <c r="E39" s="4149"/>
      <c r="F39" s="4149"/>
      <c r="G39" s="4149"/>
      <c r="H39" s="4149"/>
      <c r="I39" s="1571"/>
      <c r="J39" s="1572" t="str">
        <f>IF(F36=0,IF(J38&lt;=0,"","TA defensor: -"&amp;J38/5),IF(Tamaño&lt;VLOOKUP(F36,Tabla_ArmasEnormes,2,FALSE),"Tam. excesivo",IF(J38&lt;=0,"","TA defensor: -"&amp;J38/5)))</f>
        <v/>
      </c>
      <c r="K39" s="4150" t="s">
        <v>1384</v>
      </c>
      <c r="L39" s="4151"/>
      <c r="M39" s="790"/>
      <c r="N39" s="4148" t="str">
        <f>IF(P35=0,"",IF(VLOOKUP(P35,Tabla_ArmasyEscudos,17,FALSE)&lt;&gt;"-",O40,N40))</f>
        <v/>
      </c>
      <c r="O39" s="4149"/>
      <c r="P39" s="4149"/>
      <c r="Q39" s="4149"/>
      <c r="R39" s="4149"/>
      <c r="S39" s="4149"/>
      <c r="T39" s="1571"/>
      <c r="U39" s="1572" t="str">
        <f>IF(Q36=0,IF(U38&lt;=0,"","TA defensor: -"&amp;U38/5),IF(Tamaño&lt;VLOOKUP(Q36,Tabla_ArmasEnormes,2,FALSE),"Tam. excesivo",IF(U38&lt;=0,"","TA defensor: -"&amp;U38/5)))</f>
        <v/>
      </c>
      <c r="V39" s="4150" t="s">
        <v>1384</v>
      </c>
      <c r="W39" s="4151"/>
      <c r="X39" s="790"/>
      <c r="Y39" s="10"/>
      <c r="Z39" s="10"/>
      <c r="AA39" s="1196"/>
      <c r="AB39" s="3983" t="str">
        <f>IF(PDs!$AD64=0,"",PDs!$AD64)</f>
        <v/>
      </c>
      <c r="AC39" s="3984"/>
      <c r="AD39" s="3984"/>
      <c r="AE39" s="3984"/>
      <c r="AF39" s="3989" t="str">
        <f t="shared" si="8"/>
        <v/>
      </c>
      <c r="AG39" s="3990"/>
      <c r="AH39" s="3990"/>
      <c r="AI39" s="3990"/>
      <c r="AJ39" s="3990"/>
      <c r="AK39" s="3990"/>
      <c r="AL39" s="3990"/>
      <c r="AM39" s="3990"/>
      <c r="AN39" s="3990"/>
      <c r="AO39" s="3990"/>
      <c r="AP39" s="3991"/>
      <c r="AQ39" s="1611">
        <f>IF(AB39="",0,VLOOKUP(AB39,Tablas!$D$827:$G$916,4,FALSE))</f>
        <v>0</v>
      </c>
      <c r="AR39" s="1272"/>
      <c r="AS39" s="1218"/>
      <c r="AT39" s="2892">
        <v>10</v>
      </c>
      <c r="AU39" s="2892" t="s">
        <v>8885</v>
      </c>
      <c r="AV39" s="2888"/>
      <c r="AW39" s="2888" t="str">
        <f>IFERROR(LEFT(VLOOKUP(Tablas!A$1&amp;". "&amp;AW$30,$R$22:$W$25,4,FALSE),SEARCH(".",VLOOKUP(Tablas!A$1&amp;". "&amp;AW$30,$R$22:$W$25,4,FALSE))-1),"-")</f>
        <v>-</v>
      </c>
      <c r="AX39" s="2888" t="str">
        <f>IFERROR(LEFT(VLOOKUP(Tablas!B$1&amp;". "&amp;AX$30,$R$22:$W$25,4,FALSE),SEARCH(".",VLOOKUP(Tablas!B$1&amp;". "&amp;AX$30,$R$22:$W$25,4,FALSE))-1),"-")</f>
        <v>-</v>
      </c>
      <c r="AY39" s="2888" t="str">
        <f>IFERROR(LEFT(VLOOKUP(Tablas!C$1&amp;". "&amp;AY$30,$R$22:$W$25,4,FALSE),SEARCH(".",VLOOKUP(Tablas!C$1&amp;". "&amp;AY$30,$R$22:$W$25,4,FALSE))-1),"-")</f>
        <v>-</v>
      </c>
      <c r="AZ39" s="2888" t="str">
        <f>IFERROR(LEFT(VLOOKUP(Tablas!D$1&amp;". "&amp;AZ$30,$R$22:$W$25,4,FALSE),SEARCH(".",VLOOKUP(Tablas!D$1&amp;". "&amp;AZ$30,$R$22:$W$25,4,FALSE))-1),"-")</f>
        <v>-</v>
      </c>
      <c r="BA39" s="2888" t="str">
        <f>IFERROR(LEFT(VLOOKUP(Tablas!E$1&amp;". "&amp;BA$30,$R$22:$W$25,4,FALSE),SEARCH(".",VLOOKUP(Tablas!E$1&amp;". "&amp;BA$30,$R$22:$W$25,4,FALSE))-1),"-")</f>
        <v>-</v>
      </c>
      <c r="BB39" s="2888" t="str">
        <f>IFERROR(LEFT(VLOOKUP(Tablas!F$1&amp;". "&amp;BB$30,$R$22:$W$25,4,FALSE),SEARCH(".",VLOOKUP(Tablas!F$1&amp;". "&amp;BB$30,$R$22:$W$25,4,FALSE))-1),"-")</f>
        <v>-</v>
      </c>
      <c r="BC39" s="2888" t="str">
        <f>IFERROR(LEFT(VLOOKUP(Tablas!G$1&amp;". "&amp;BC$30,$R$22:$W$25,4,FALSE),SEARCH(".",VLOOKUP(Tablas!G$1&amp;". "&amp;BC$30,$R$22:$W$25,4,FALSE))-1),"-")</f>
        <v>-</v>
      </c>
      <c r="BD39" s="2888" t="str">
        <f>IFERROR(LEFT(VLOOKUP(Tablas!H$1&amp;". "&amp;BD$30,$R$22:$W$25,4,FALSE),SEARCH(".",VLOOKUP(Tablas!H$1&amp;". "&amp;BD$30,$R$22:$W$25,4,FALSE))-1),"-")</f>
        <v>-</v>
      </c>
      <c r="BE39" s="2888" t="str">
        <f>IFERROR(LEFT(VLOOKUP(Tablas!I$1&amp;". "&amp;BE$30,$R$22:$W$25,4,FALSE),SEARCH(".",VLOOKUP(Tablas!I$1&amp;". "&amp;BE$30,$R$22:$W$25,4,FALSE))-1),"-")</f>
        <v>-</v>
      </c>
      <c r="BF39" s="2888" t="str">
        <f>IFERROR(LEFT(VLOOKUP(Tablas!J$1&amp;". "&amp;BF$30,$R$22:$W$25,4,FALSE),SEARCH(".",VLOOKUP(Tablas!J$1&amp;". "&amp;BF$30,$R$22:$W$25,4,FALSE))-1),"-")</f>
        <v>-</v>
      </c>
      <c r="BG39" s="2892"/>
      <c r="BH39" s="1872"/>
      <c r="BI39" s="1872"/>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3983" t="str">
        <f>IF(PDs!$AD65=0,"",PDs!$AD65)</f>
        <v/>
      </c>
      <c r="AC40" s="3984"/>
      <c r="AD40" s="3984"/>
      <c r="AE40" s="3984"/>
      <c r="AF40" s="3989" t="str">
        <f t="shared" si="8"/>
        <v/>
      </c>
      <c r="AG40" s="3990"/>
      <c r="AH40" s="3990"/>
      <c r="AI40" s="3990"/>
      <c r="AJ40" s="3990"/>
      <c r="AK40" s="3990"/>
      <c r="AL40" s="3990"/>
      <c r="AM40" s="3990"/>
      <c r="AN40" s="3990"/>
      <c r="AO40" s="3990"/>
      <c r="AP40" s="3991"/>
      <c r="AQ40" s="1556">
        <f>IF(AB40="",0,VLOOKUP(AB40,Tablas!$D$827:$G$916,4,FALSE))</f>
        <v>0</v>
      </c>
      <c r="AR40" s="1272"/>
      <c r="AS40" s="1218"/>
      <c r="AT40" s="2892">
        <v>11</v>
      </c>
      <c r="AU40" s="2892" t="s">
        <v>8906</v>
      </c>
      <c r="AV40" s="2888"/>
      <c r="AW40" s="2888" t="e">
        <f>Turno_Nat_final-20+AW$31+VLOOKUP(AW$30,Tabla_ArmasyEscudos,3,FALSE)+IF(AW$33=0,0,IF(Tamaño&lt;VLOOKUP(AW$33,Tabla_ArmasEnormes,3,FALSE),-40,0))+INDEX(Personalización!$AA$7:$AJ$15,IF(ISEVEN(AW29),6,1),IF(ISEVEN(AW29),AW29-1,AW29))</f>
        <v>#N/A</v>
      </c>
      <c r="AX40" s="2888" t="e">
        <f>Turno_Nat_final-20+AX$31+VLOOKUP(AX$30,Tabla_ArmasyEscudos,3,FALSE)+IF(AX$33=0,0,IF(Tamaño&lt;VLOOKUP(AX$33,Tabla_ArmasEnormes,3,FALSE),-40,0))+INDEX(Personalización!$AA$7:$AJ$15,IF(ISEVEN(AX29),6,1),IF(ISEVEN(AX29),AX29-1,AX29))</f>
        <v>#N/A</v>
      </c>
      <c r="AY40" s="2888" t="e">
        <f>Turno_Nat_final-20+AY$31+VLOOKUP(AY$30,Tabla_ArmasyEscudos,3,FALSE)+IF(AY$33=0,0,IF(Tamaño&lt;VLOOKUP(AY$33,Tabla_ArmasEnormes,3,FALSE),-40,0))+INDEX(Personalización!$AA$7:$AJ$15,IF(ISEVEN(AY29),6,1),IF(ISEVEN(AY29),AY29-1,AY29))</f>
        <v>#N/A</v>
      </c>
      <c r="AZ40" s="2888" t="e">
        <f>Turno_Nat_final-20+AZ$31+VLOOKUP(AZ$30,Tabla_ArmasyEscudos,3,FALSE)+IF(AZ$33=0,0,IF(Tamaño&lt;VLOOKUP(AZ$33,Tabla_ArmasEnormes,3,FALSE),-40,0))+INDEX(Personalización!$AA$7:$AJ$15,IF(ISEVEN(AZ29),6,1),IF(ISEVEN(AZ29),AZ29-1,AZ29))</f>
        <v>#N/A</v>
      </c>
      <c r="BA40" s="2888" t="e">
        <f>Turno_Nat_final-20+BA$31+VLOOKUP(BA$30,Tabla_ArmasyEscudos,3,FALSE)+IF(BA$33=0,0,IF(Tamaño&lt;VLOOKUP(BA$33,Tabla_ArmasEnormes,3,FALSE),-40,0))+INDEX(Personalización!$AA$7:$AJ$15,IF(ISEVEN(BA29),6,1),IF(ISEVEN(BA29),BA29-1,BA29))</f>
        <v>#N/A</v>
      </c>
      <c r="BB40" s="2888" t="e">
        <f>Turno_Nat_final-20+BB$31+VLOOKUP(BB$30,Tabla_ArmasyEscudos,3,FALSE)+IF(BB$33=0,0,IF(Tamaño&lt;VLOOKUP(BB$33,Tabla_ArmasEnormes,3,FALSE),-40,0))+INDEX(Personalización!$AA$7:$AJ$15,IF(ISEVEN(BB29),6,1),IF(ISEVEN(BB29),BB29-1,BB29))</f>
        <v>#N/A</v>
      </c>
      <c r="BC40" s="2888" t="e">
        <f>Turno_Nat_final-20+BC$31+VLOOKUP(BC$30,Tabla_ArmasyEscudos,3,FALSE)+IF(BC$33=0,0,IF(Tamaño&lt;VLOOKUP(BC$33,Tabla_ArmasEnormes,3,FALSE),-40,0))+INDEX(Personalización!$AA$7:$AJ$15,IF(ISEVEN(BC29),6,1),IF(ISEVEN(BC29),BC29-1,BC29))</f>
        <v>#N/A</v>
      </c>
      <c r="BD40" s="2888" t="e">
        <f>Turno_Nat_final-20+BD$31+VLOOKUP(BD$30,Tabla_ArmasyEscudos,3,FALSE)+IF(BD$33=0,0,IF(Tamaño&lt;VLOOKUP(BD$33,Tabla_ArmasEnormes,3,FALSE),-40,0))+INDEX(Personalización!$AA$7:$AJ$15,IF(ISEVEN(BD29),6,1),IF(ISEVEN(BD29),BD29-1,BD29))</f>
        <v>#N/A</v>
      </c>
      <c r="BE40" s="2888" t="e">
        <f>Turno_Nat_final-20+BE$31+VLOOKUP(BE$30,Tabla_ArmasyEscudos,3,FALSE)+IF(BE$33=0,0,IF(Tamaño&lt;VLOOKUP(BE$33,Tabla_ArmasEnormes,3,FALSE),-40,0))+INDEX(Personalización!$AA$7:$AJ$15,IF(ISEVEN(BE29),6,1),IF(ISEVEN(BE29),BE29-1,BE29))</f>
        <v>#N/A</v>
      </c>
      <c r="BF40" s="2888" t="e">
        <f>Turno_Nat_final-20+BF$31+VLOOKUP(BF$30,Tabla_ArmasyEscudos,3,FALSE)+IF(BF$33=0,0,IF(Tamaño&lt;VLOOKUP(BF$33,Tabla_ArmasEnormes,3,FALSE),-40,0))+INDEX(Personalización!$AA$7:$AJ$15,IF(ISEVEN(BF29),6,1),IF(ISEVEN(BF29),BF29-1,BF29))</f>
        <v>#N/A</v>
      </c>
      <c r="BG40" s="2892"/>
      <c r="BH40" s="1872"/>
      <c r="BI40" s="1872"/>
    </row>
    <row r="41" spans="1:61" ht="12" customHeight="1" thickBot="1" x14ac:dyDescent="0.25">
      <c r="A41" s="10"/>
      <c r="B41" s="1233"/>
      <c r="C41" s="1575" t="s">
        <v>8880</v>
      </c>
      <c r="D41" s="1570" t="str">
        <f>E42&amp;IF(COUNTIF($R$22:$T$25,C41&amp;" "&amp;E42)&gt;0,IFERROR(" y"&amp;MID(VLOOKUP(C41&amp;" "&amp;E42,$R$22:$W$25,4,FALSE),SEARCH(".",VLOOKUP(C41&amp;" "&amp;E42,$R$22:$W$25,4,FALSE))+1,100),""),"")</f>
        <v/>
      </c>
      <c r="E41" s="1570"/>
      <c r="F41" s="1570"/>
      <c r="G41" s="1570"/>
      <c r="H41" s="1570"/>
      <c r="I41" s="1570"/>
      <c r="J41" s="1570"/>
      <c r="K41" s="1570"/>
      <c r="L41" s="1608" t="s">
        <v>8898</v>
      </c>
      <c r="M41" s="790"/>
      <c r="N41" s="1575" t="s">
        <v>8890</v>
      </c>
      <c r="O41" s="1570" t="str">
        <f>P42&amp;IF(COUNTIF($R$22:$T$25,N41&amp;" "&amp;P42)&gt;0,IFERROR(" y"&amp;MID(VLOOKUP(N41&amp;" "&amp;P42,$R$22:$W$25,4,FALSE),SEARCH(".",VLOOKUP(N41&amp;" "&amp;P42,$R$22:$W$25,4,FALSE))+1,100),""),"")</f>
        <v/>
      </c>
      <c r="P41" s="1570"/>
      <c r="Q41" s="1570"/>
      <c r="R41" s="1570"/>
      <c r="S41" s="1570"/>
      <c r="T41" s="1570"/>
      <c r="U41" s="1570"/>
      <c r="V41" s="1570"/>
      <c r="W41" s="1608" t="s">
        <v>8898</v>
      </c>
      <c r="X41" s="790"/>
      <c r="Y41" s="10"/>
      <c r="Z41" s="10"/>
      <c r="AA41" s="1196"/>
      <c r="AB41" s="3983" t="str">
        <f>IF(PDs!$AD66=0,"",PDs!$AD66)</f>
        <v/>
      </c>
      <c r="AC41" s="3984"/>
      <c r="AD41" s="3984"/>
      <c r="AE41" s="3984"/>
      <c r="AF41" s="3989" t="str">
        <f t="shared" si="8"/>
        <v/>
      </c>
      <c r="AG41" s="3990"/>
      <c r="AH41" s="3990"/>
      <c r="AI41" s="3990"/>
      <c r="AJ41" s="3990"/>
      <c r="AK41" s="3990"/>
      <c r="AL41" s="3990"/>
      <c r="AM41" s="3990"/>
      <c r="AN41" s="3990"/>
      <c r="AO41" s="3990"/>
      <c r="AP41" s="3991"/>
      <c r="AQ41" s="1556">
        <f>IF(AB41="",0,VLOOKUP(AB41,Tablas!$D$827:$G$916,4,FALSE))</f>
        <v>0</v>
      </c>
      <c r="AR41" s="1272"/>
      <c r="AS41" s="1218"/>
      <c r="AT41" s="2892">
        <v>12</v>
      </c>
      <c r="AU41" s="2892" t="s">
        <v>8887</v>
      </c>
      <c r="AV41" s="2888"/>
      <c r="AW41" s="2888"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888" t="e">
        <f t="shared" si="9"/>
        <v>#N/A</v>
      </c>
      <c r="AY41" s="2888" t="e">
        <f t="shared" si="9"/>
        <v>#N/A</v>
      </c>
      <c r="AZ41" s="2888" t="e">
        <f t="shared" si="9"/>
        <v>#N/A</v>
      </c>
      <c r="BA41" s="2888" t="e">
        <f t="shared" si="9"/>
        <v>#N/A</v>
      </c>
      <c r="BB41" s="2888" t="e">
        <f t="shared" si="9"/>
        <v>#N/A</v>
      </c>
      <c r="BC41" s="2888" t="e">
        <f t="shared" si="9"/>
        <v>#N/A</v>
      </c>
      <c r="BD41" s="2888" t="e">
        <f t="shared" si="9"/>
        <v>#N/A</v>
      </c>
      <c r="BE41" s="2888" t="e">
        <f t="shared" si="9"/>
        <v>#N/A</v>
      </c>
      <c r="BF41" s="2888" t="e">
        <f t="shared" si="9"/>
        <v>#N/A</v>
      </c>
      <c r="BG41" s="2892"/>
      <c r="BH41" s="1872"/>
      <c r="BI41" s="1872"/>
    </row>
    <row r="42" spans="1:61" ht="12" customHeight="1" x14ac:dyDescent="0.2">
      <c r="A42" s="10"/>
      <c r="B42" s="1233"/>
      <c r="C42" s="4041" t="s">
        <v>8872</v>
      </c>
      <c r="D42" s="4042"/>
      <c r="E42" s="4044"/>
      <c r="F42" s="4045"/>
      <c r="G42" s="4046"/>
      <c r="H42" s="1925" t="s">
        <v>1396</v>
      </c>
      <c r="I42" s="1926" t="s">
        <v>1568</v>
      </c>
      <c r="J42" s="4047" t="s">
        <v>1569</v>
      </c>
      <c r="K42" s="4047"/>
      <c r="L42" s="1927" t="s">
        <v>1570</v>
      </c>
      <c r="M42" s="1607" t="str">
        <f>IF(C42=INDEX(Lista_ManosArma,2),Lista_A2Manos,Lista_A1Mano)</f>
        <v>Tablas!$AB$640:$AB$756</v>
      </c>
      <c r="N42" s="4041" t="s">
        <v>8872</v>
      </c>
      <c r="O42" s="4042"/>
      <c r="P42" s="4044"/>
      <c r="Q42" s="4045"/>
      <c r="R42" s="4046"/>
      <c r="S42" s="1925" t="s">
        <v>1396</v>
      </c>
      <c r="T42" s="1926" t="s">
        <v>1568</v>
      </c>
      <c r="U42" s="4047" t="s">
        <v>1569</v>
      </c>
      <c r="V42" s="4047"/>
      <c r="W42" s="1927" t="s">
        <v>1570</v>
      </c>
      <c r="X42" s="1607" t="str">
        <f>IF(N42=INDEX(Lista_ManosArma,2),Lista_A2Manos,Lista_A1Mano)</f>
        <v>Tablas!$AB$640:$AB$756</v>
      </c>
      <c r="Y42" s="10"/>
      <c r="Z42" s="10"/>
      <c r="AA42" s="1196"/>
      <c r="AB42" s="3983" t="str">
        <f>IF(PDs!$AD67=0,"",PDs!$AD67)</f>
        <v/>
      </c>
      <c r="AC42" s="3984"/>
      <c r="AD42" s="3984"/>
      <c r="AE42" s="3984"/>
      <c r="AF42" s="3989" t="str">
        <f t="shared" si="8"/>
        <v/>
      </c>
      <c r="AG42" s="3990"/>
      <c r="AH42" s="3990"/>
      <c r="AI42" s="3990"/>
      <c r="AJ42" s="3990"/>
      <c r="AK42" s="3990"/>
      <c r="AL42" s="3990"/>
      <c r="AM42" s="3990"/>
      <c r="AN42" s="3990"/>
      <c r="AO42" s="3990"/>
      <c r="AP42" s="3991"/>
      <c r="AQ42" s="1556">
        <f>IF(AB42="",0,VLOOKUP(AB42,Tablas!$D$827:$G$916,4,FALSE))</f>
        <v>0</v>
      </c>
      <c r="AR42" s="1272"/>
      <c r="AS42" s="1218"/>
      <c r="AT42" s="2892">
        <v>13</v>
      </c>
      <c r="AU42" s="2892" t="s">
        <v>8909</v>
      </c>
      <c r="AV42" s="2888"/>
      <c r="AW42" s="2888"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$1283&gt;0,Tablas!$G$280&gt;0),-10,-40),0)+INDEX(Personalización!$AA$7:$AJ$15,IF(ISEVEN(AW$29),7,2),IF(ISEVEN(AW$29),AW$29-1,AW$29))</f>
        <v>#N/A</v>
      </c>
      <c r="AX42" s="2888"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$1283&gt;0,Tablas!$G$280&gt;0),-10,-40),0)+INDEX(Personalización!$AA$7:$AJ$15,IF(ISEVEN(AX$29),7,2),IF(ISEVEN(AX$29),AX$29-1,AX$29))</f>
        <v>#N/A</v>
      </c>
      <c r="AY42" s="2888"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$1283&gt;0,Tablas!$G$280&gt;0),-10,-40),0)+INDEX(Personalización!$AA$7:$AJ$15,IF(ISEVEN(AY$29),7,2),IF(ISEVEN(AY$29),AY$29-1,AY$29))</f>
        <v>#N/A</v>
      </c>
      <c r="AZ42" s="2888"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$1283&gt;0,Tablas!$G$280&gt;0),-10,-40),0)+INDEX(Personalización!$AA$7:$AJ$15,IF(ISEVEN(AZ$29),7,2),IF(ISEVEN(AZ$29),AZ$29-1,AZ$29))</f>
        <v>#N/A</v>
      </c>
      <c r="BA42" s="2888"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$1283&gt;0,Tablas!$G$280&gt;0),-10,-40),0)+INDEX(Personalización!$AA$7:$AJ$15,IF(ISEVEN(BA$29),7,2),IF(ISEVEN(BA$29),BA$29-1,BA$29))</f>
        <v>#N/A</v>
      </c>
      <c r="BB42" s="2888"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$1283&gt;0,Tablas!$G$280&gt;0),-10,-40),0)+INDEX(Personalización!$AA$7:$AJ$15,IF(ISEVEN(BB$29),7,2),IF(ISEVEN(BB$29),BB$29-1,BB$29))</f>
        <v>#N/A</v>
      </c>
      <c r="BC42" s="2888"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$1283&gt;0,Tablas!$G$280&gt;0),-10,-40),0)+INDEX(Personalización!$AA$7:$AJ$15,IF(ISEVEN(BC$29),7,2),IF(ISEVEN(BC$29),BC$29-1,BC$29))</f>
        <v>#N/A</v>
      </c>
      <c r="BD42" s="2888"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$1283&gt;0,Tablas!$G$280&gt;0),-10,-40),0)+INDEX(Personalización!$AA$7:$AJ$15,IF(ISEVEN(BD$29),7,2),IF(ISEVEN(BD$29),BD$29-1,BD$29))</f>
        <v>#N/A</v>
      </c>
      <c r="BE42" s="2888"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$1283&gt;0,Tablas!$G$280&gt;0),-10,-40),0)+INDEX(Personalización!$AA$7:$AJ$15,IF(ISEVEN(BE$29),7,2),IF(ISEVEN(BE$29),BE$29-1,BE$29))</f>
        <v>#N/A</v>
      </c>
      <c r="BF42" s="2888"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$1283&gt;0,Tablas!$G$280&gt;0),-10,-40),0)+INDEX(Personalización!$AA$7:$AJ$15,IF(ISEVEN(BF$29),7,2),IF(ISEVEN(BF$29),BF$29-1,BF$29))</f>
        <v>#N/A</v>
      </c>
      <c r="BG42" s="2892"/>
      <c r="BH42" s="1872"/>
      <c r="BI42" s="1872"/>
    </row>
    <row r="43" spans="1:61" ht="12" customHeight="1" x14ac:dyDescent="0.2">
      <c r="A43" s="10"/>
      <c r="B43" s="1233"/>
      <c r="C43" s="4039" t="str">
        <f>IF(E42=0,"",VLOOKUP(E42,Tabla_ArmasyEscudos,9,FALSE))</f>
        <v/>
      </c>
      <c r="D43" s="4040"/>
      <c r="E43" s="1928" t="s">
        <v>1580</v>
      </c>
      <c r="F43" s="4115" t="s">
        <v>1581</v>
      </c>
      <c r="G43" s="4116"/>
      <c r="H43" s="4117">
        <f>IFERROR(INDEX(Tabla_Combate,$AT$41,LEFT(C41,LEN(C41)-1)),0)</f>
        <v>0</v>
      </c>
      <c r="I43" s="4048">
        <f>IFERROR(INDEX(Tabla_Combate,$AT$42,LEFT(C41,LEN(C41)-1)),0)</f>
        <v>0</v>
      </c>
      <c r="J43" s="4050">
        <f>IF(K43="-",0,IF(K43="Par",INDEX(Tabla_Combate,$AT$43,LEFT(C41,LEN(C41)-1)),INDEX(Tabla_Combate,$AT$44,LEFT(C41,LEN(C41)-1))))</f>
        <v>0</v>
      </c>
      <c r="K43" s="3298" t="str">
        <f>IFERROR(IF(INDEX(Tabla_Combate,$AT$43,LEFT(C41,LEN(C41)-1))&gt;INDEX(Tabla_Combate,$AT$44,LEFT(C41,LEN(C41)-1)),"Par","Esq"),"-")</f>
        <v>-</v>
      </c>
      <c r="L43" s="4113">
        <f>IFERROR(INDEX(Tabla_Combate,$AT$45,LEFT(C41,LEN(C41)-1)),0)</f>
        <v>0</v>
      </c>
      <c r="M43" s="790"/>
      <c r="N43" s="4039" t="str">
        <f>IF(P42=0,"",VLOOKUP(P42,Tabla_ArmasyEscudos,9,FALSE))</f>
        <v/>
      </c>
      <c r="O43" s="4040"/>
      <c r="P43" s="1928" t="s">
        <v>1580</v>
      </c>
      <c r="Q43" s="4115" t="s">
        <v>1581</v>
      </c>
      <c r="R43" s="4116"/>
      <c r="S43" s="4117">
        <f>IFERROR(INDEX(Tabla_Combate,$AT$41,LEFT(N41,LEN(N41)-1)),0)</f>
        <v>0</v>
      </c>
      <c r="T43" s="4048">
        <f>IFERROR(INDEX(Tabla_Combate,$AT$42,LEFT(N41,LEN(N41)-1)),0)</f>
        <v>0</v>
      </c>
      <c r="U43" s="4050">
        <f>IF(V43="-",0,IF(V43="Par",INDEX(Tabla_Combate,$AT$43,LEFT(N41,LEN(N41)-1)),INDEX(Tabla_Combate,$AT$44,LEFT(N41,LEN(N41)-1))))</f>
        <v>0</v>
      </c>
      <c r="V43" s="3298" t="str">
        <f>IFERROR(IF(INDEX(Tabla_Combate,$AT$43,LEFT(N41,LEN(N41)-1))&gt;INDEX(Tabla_Combate,$AT$44,LEFT(N41,LEN(N41)-1)),"Par","Esq"),"-")</f>
        <v>-</v>
      </c>
      <c r="W43" s="4113">
        <f>IFERROR(INDEX(Tabla_Combate,$AT$45,LEFT(N41,LEN(N41)-1)),0)</f>
        <v>0</v>
      </c>
      <c r="X43" s="790"/>
      <c r="Y43" s="10"/>
      <c r="Z43" s="10"/>
      <c r="AA43" s="1196"/>
      <c r="AB43" s="3983" t="str">
        <f>IF(PDs!$AD68=0,"",PDs!$AD68)</f>
        <v/>
      </c>
      <c r="AC43" s="3984"/>
      <c r="AD43" s="3984"/>
      <c r="AE43" s="3984"/>
      <c r="AF43" s="3989" t="str">
        <f t="shared" si="8"/>
        <v/>
      </c>
      <c r="AG43" s="3990"/>
      <c r="AH43" s="3990"/>
      <c r="AI43" s="3990"/>
      <c r="AJ43" s="3990"/>
      <c r="AK43" s="3990"/>
      <c r="AL43" s="3990"/>
      <c r="AM43" s="3990"/>
      <c r="AN43" s="3990"/>
      <c r="AO43" s="3990"/>
      <c r="AP43" s="3991"/>
      <c r="AQ43" s="1556">
        <f>IF(AB43="",0,VLOOKUP(AB43,Tablas!$D$827:$G$916,4,FALSE))</f>
        <v>0</v>
      </c>
      <c r="AR43" s="1272"/>
      <c r="AS43" s="1218"/>
      <c r="AT43" s="2892">
        <v>14</v>
      </c>
      <c r="AU43" s="2892" t="s">
        <v>8908</v>
      </c>
      <c r="AV43" s="2888"/>
      <c r="AW43" s="2888"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888"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888"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888"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888"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888"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888"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888"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888"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888"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892"/>
      <c r="BH43" s="1872"/>
      <c r="BI43" s="1872"/>
    </row>
    <row r="44" spans="1:61" ht="12" customHeight="1" x14ac:dyDescent="0.2">
      <c r="A44" s="10"/>
      <c r="B44" s="1233"/>
      <c r="C44" s="1123" t="s">
        <v>1572</v>
      </c>
      <c r="D44" s="81" t="s">
        <v>1573</v>
      </c>
      <c r="E44" s="81" t="s">
        <v>1561</v>
      </c>
      <c r="F44" s="81" t="s">
        <v>1574</v>
      </c>
      <c r="G44" s="81" t="s">
        <v>1562</v>
      </c>
      <c r="H44" s="4117"/>
      <c r="I44" s="4049"/>
      <c r="J44" s="4051"/>
      <c r="K44" s="4072"/>
      <c r="L44" s="4114"/>
      <c r="M44" s="790"/>
      <c r="N44" s="1123" t="s">
        <v>1572</v>
      </c>
      <c r="O44" s="81" t="s">
        <v>1573</v>
      </c>
      <c r="P44" s="81" t="s">
        <v>1561</v>
      </c>
      <c r="Q44" s="81" t="s">
        <v>1574</v>
      </c>
      <c r="R44" s="81" t="s">
        <v>1562</v>
      </c>
      <c r="S44" s="4117"/>
      <c r="T44" s="4049"/>
      <c r="U44" s="4051"/>
      <c r="V44" s="4072"/>
      <c r="W44" s="4114"/>
      <c r="X44" s="790"/>
      <c r="Y44" s="10"/>
      <c r="Z44" s="10"/>
      <c r="AA44" s="1196"/>
      <c r="AB44" s="3983" t="str">
        <f>IF(PDs!$AD69=0,"",PDs!$AD69)</f>
        <v/>
      </c>
      <c r="AC44" s="3984"/>
      <c r="AD44" s="3984"/>
      <c r="AE44" s="3984"/>
      <c r="AF44" s="3989" t="str">
        <f t="shared" si="8"/>
        <v/>
      </c>
      <c r="AG44" s="3990"/>
      <c r="AH44" s="3990"/>
      <c r="AI44" s="3990"/>
      <c r="AJ44" s="3990"/>
      <c r="AK44" s="3990"/>
      <c r="AL44" s="3990"/>
      <c r="AM44" s="3990"/>
      <c r="AN44" s="3990"/>
      <c r="AO44" s="3990"/>
      <c r="AP44" s="3991"/>
      <c r="AQ44" s="1556">
        <f>IF(AB44="",0,VLOOKUP(AB44,Tablas!$D$827:$G$916,4,FALSE))</f>
        <v>0</v>
      </c>
      <c r="AR44" s="1272"/>
      <c r="AS44" s="1218"/>
      <c r="AT44" s="2892">
        <v>15</v>
      </c>
      <c r="AU44" s="2892" t="s">
        <v>8907</v>
      </c>
      <c r="AV44" s="2888"/>
      <c r="AW44" s="2888" t="e">
        <f>HE_final-PDs!$X$24+MIN(50,PDs!$X$24+SUMPRODUCT(--ISNUMBER(SEARCH(AW30,ArmasAM)),ArmasAM_HE))+VLOOKUP(AW30,Tabla_ArmasyEscudos,14,FALSE)+INDEX(Personalización!$AA$7:$AJ$15,IF(ISEVEN(AW$29),8,3),IF(ISEVEN(AW$29),AW$29-1,AW$29))</f>
        <v>#N/A</v>
      </c>
      <c r="AX44" s="2888" t="e">
        <f>HE_final-PDs!$X$24+MIN(50,PDs!$X$24+SUMPRODUCT(--ISNUMBER(SEARCH(AX30,ArmasAM)),ArmasAM_HE))+VLOOKUP(AX30,Tabla_ArmasyEscudos,14,FALSE)+INDEX(Personalización!$AA$7:$AJ$15,IF(ISEVEN(AX$29),8,3),IF(ISEVEN(AX$29),AX$29-1,AX$29))</f>
        <v>#N/A</v>
      </c>
      <c r="AY44" s="2888" t="e">
        <f>HE_final-PDs!$X$24+MIN(50,PDs!$X$24+SUMPRODUCT(--ISNUMBER(SEARCH(AY30,ArmasAM)),ArmasAM_HE))+VLOOKUP(AY30,Tabla_ArmasyEscudos,14,FALSE)+INDEX(Personalización!$AA$7:$AJ$15,IF(ISEVEN(AY$29),8,3),IF(ISEVEN(AY$29),AY$29-1,AY$29))</f>
        <v>#N/A</v>
      </c>
      <c r="AZ44" s="2888" t="e">
        <f>HE_final-PDs!$X$24+MIN(50,PDs!$X$24+SUMPRODUCT(--ISNUMBER(SEARCH(AZ30,ArmasAM)),ArmasAM_HE))+VLOOKUP(AZ30,Tabla_ArmasyEscudos,14,FALSE)+INDEX(Personalización!$AA$7:$AJ$15,IF(ISEVEN(AZ$29),8,3),IF(ISEVEN(AZ$29),AZ$29-1,AZ$29))</f>
        <v>#N/A</v>
      </c>
      <c r="BA44" s="2888" t="e">
        <f>HE_final-PDs!$X$24+MIN(50,PDs!$X$24+SUMPRODUCT(--ISNUMBER(SEARCH(BA30,ArmasAM)),ArmasAM_HE))+VLOOKUP(BA30,Tabla_ArmasyEscudos,14,FALSE)+INDEX(Personalización!$AA$7:$AJ$15,IF(ISEVEN(BA$29),8,3),IF(ISEVEN(BA$29),BA$29-1,BA$29))</f>
        <v>#N/A</v>
      </c>
      <c r="BB44" s="2888" t="e">
        <f>HE_final-PDs!$X$24+MIN(50,PDs!$X$24+SUMPRODUCT(--ISNUMBER(SEARCH(BB30,ArmasAM)),ArmasAM_HE))+VLOOKUP(BB30,Tabla_ArmasyEscudos,14,FALSE)+INDEX(Personalización!$AA$7:$AJ$15,IF(ISEVEN(BB$29),8,3),IF(ISEVEN(BB$29),BB$29-1,BB$29))</f>
        <v>#N/A</v>
      </c>
      <c r="BC44" s="2888" t="e">
        <f>HE_final-PDs!$X$24+MIN(50,PDs!$X$24+SUMPRODUCT(--ISNUMBER(SEARCH(BC30,ArmasAM)),ArmasAM_HE))+VLOOKUP(BC30,Tabla_ArmasyEscudos,14,FALSE)+INDEX(Personalización!$AA$7:$AJ$15,IF(ISEVEN(BC$29),8,3),IF(ISEVEN(BC$29),BC$29-1,BC$29))</f>
        <v>#N/A</v>
      </c>
      <c r="BD44" s="2888" t="e">
        <f>HE_final-PDs!$X$24+MIN(50,PDs!$X$24+SUMPRODUCT(--ISNUMBER(SEARCH(BD30,ArmasAM)),ArmasAM_HE))+VLOOKUP(BD30,Tabla_ArmasyEscudos,14,FALSE)+INDEX(Personalización!$AA$7:$AJ$15,IF(ISEVEN(BD$29),8,3),IF(ISEVEN(BD$29),BD$29-1,BD$29))</f>
        <v>#N/A</v>
      </c>
      <c r="BE44" s="2888" t="e">
        <f>HE_final-PDs!$X$24+MIN(50,PDs!$X$24+SUMPRODUCT(--ISNUMBER(SEARCH(BE30,ArmasAM)),ArmasAM_HE))+VLOOKUP(BE30,Tabla_ArmasyEscudos,14,FALSE)+INDEX(Personalización!$AA$7:$AJ$15,IF(ISEVEN(BE$29),8,3),IF(ISEVEN(BE$29),BE$29-1,BE$29))</f>
        <v>#N/A</v>
      </c>
      <c r="BF44" s="2888" t="e">
        <f>HE_final-PDs!$X$24+MIN(50,PDs!$X$24+SUMPRODUCT(--ISNUMBER(SEARCH(BF30,ArmasAM)),ArmasAM_HE))+VLOOKUP(BF30,Tabla_ArmasyEscudos,14,FALSE)+INDEX(Personalización!$AA$7:$AJ$15,IF(ISEVEN(BF$29),8,3),IF(ISEVEN(BF$29),BF$29-1,BF$29))</f>
        <v>#N/A</v>
      </c>
      <c r="BG44" s="2892"/>
      <c r="BH44" s="1872"/>
      <c r="BI44" s="1872"/>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144" t="s">
        <v>8874</v>
      </c>
      <c r="I45" s="4145"/>
      <c r="J45" s="1614"/>
      <c r="K45" s="4146" t="s">
        <v>8529</v>
      </c>
      <c r="L45" s="4147"/>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144" t="s">
        <v>8874</v>
      </c>
      <c r="T45" s="4145"/>
      <c r="U45" s="1614"/>
      <c r="V45" s="4146" t="s">
        <v>8529</v>
      </c>
      <c r="W45" s="4147"/>
      <c r="X45" s="790"/>
      <c r="Y45" s="10"/>
      <c r="Z45" s="10"/>
      <c r="AA45" s="1196"/>
      <c r="AB45" s="3983" t="str">
        <f>IF(PDs!$AD70=0,"",PDs!$AD70)</f>
        <v/>
      </c>
      <c r="AC45" s="3984"/>
      <c r="AD45" s="3984"/>
      <c r="AE45" s="3984"/>
      <c r="AF45" s="3989" t="str">
        <f t="shared" si="8"/>
        <v/>
      </c>
      <c r="AG45" s="3990"/>
      <c r="AH45" s="3990"/>
      <c r="AI45" s="3990"/>
      <c r="AJ45" s="3990"/>
      <c r="AK45" s="3990"/>
      <c r="AL45" s="3990"/>
      <c r="AM45" s="3990"/>
      <c r="AN45" s="3990"/>
      <c r="AO45" s="3990"/>
      <c r="AP45" s="3991"/>
      <c r="AQ45" s="1556">
        <f>IF(AB45="",0,VLOOKUP(AB45,Tablas!$D$827:$G$916,4,FALSE))</f>
        <v>0</v>
      </c>
      <c r="AR45" s="1272"/>
      <c r="AS45" s="1218"/>
      <c r="AT45" s="2892">
        <v>16</v>
      </c>
      <c r="AU45" s="2892" t="s">
        <v>8941</v>
      </c>
      <c r="AV45" s="2888"/>
      <c r="AW45" s="2888" t="e">
        <f>FLOOR((VLOOKUP(AW30,Tabla_ArmasyEscudos,2,FALSE)+IF(AW34="-",0,VLOOKUP(AW34,Tabla_ArmasyEscudos,2,FALSE)))*IF(AW33=0,1,VLOOKUP(AW33,Tabla_ArmasEnormes,5,FALSE)),5)+IF(AW34="-",VLOOKUP(AW30,Tabla_ArmasyEscudos,22,FALSE)*IF(AW37="A dos manos",2,1)+2*IF(ISNUMBER(FIND("Virgo",AW30)),0,AW31),VLOOKUP(VLOOKUP(AW30,Tabla_ArmasyEscudos,18,FALSE)+AW31/5,Tabla_BonoStats,2,FALSE)+2*AW35)+IF(DañoIncrementado,10,0)+IF(Extensióndelauraalarma,10,0)+Tablas!$K$1751+INDEX(Personalización!$AA$7:$AJ$15,IF(ISEVEN(AW$29),9,4),IF(ISEVEN(AW$29),AW$29-1,AW$29))</f>
        <v>#N/A</v>
      </c>
      <c r="AX45" s="2888" t="e">
        <f>FLOOR((VLOOKUP(AX30,Tabla_ArmasyEscudos,2,FALSE)+IF(AX34="-",0,VLOOKUP(AX34,Tabla_ArmasyEscudos,2,FALSE)))*IF(AX33=0,1,VLOOKUP(AX33,Tabla_ArmasEnormes,5,FALSE)),5)+IF(AX34="-",VLOOKUP(AX30,Tabla_ArmasyEscudos,22,FALSE)*IF(AX37="A dos manos",2,1)+2*IF(ISNUMBER(FIND("Virgo",AX30)),0,AX31),VLOOKUP(VLOOKUP(AX30,Tabla_ArmasyEscudos,18,FALSE)+AX31/5,Tabla_BonoStats,2,FALSE)+2*AX35)+IF(DañoIncrementado,10,0)+IF(Extensióndelauraalarma,10,0)+Tablas!$K$1751+INDEX(Personalización!$AA$7:$AJ$15,IF(ISEVEN(AX$29),9,4),IF(ISEVEN(AX$29),AX$29-1,AX$29))</f>
        <v>#N/A</v>
      </c>
      <c r="AY45" s="2888" t="e">
        <f>FLOOR((VLOOKUP(AY30,Tabla_ArmasyEscudos,2,FALSE)+IF(AY34="-",0,VLOOKUP(AY34,Tabla_ArmasyEscudos,2,FALSE)))*IF(AY33=0,1,VLOOKUP(AY33,Tabla_ArmasEnormes,5,FALSE)),5)+IF(AY34="-",VLOOKUP(AY30,Tabla_ArmasyEscudos,22,FALSE)*IF(AY37="A dos manos",2,1)+2*IF(ISNUMBER(FIND("Virgo",AY30)),0,AY31),VLOOKUP(VLOOKUP(AY30,Tabla_ArmasyEscudos,18,FALSE)+AY31/5,Tabla_BonoStats,2,FALSE)+2*AY35)+IF(DañoIncrementado,10,0)+IF(Extensióndelauraalarma,10,0)+Tablas!$K$1751+INDEX(Personalización!$AA$7:$AJ$15,IF(ISEVEN(AY$29),9,4),IF(ISEVEN(AY$29),AY$29-1,AY$29))</f>
        <v>#N/A</v>
      </c>
      <c r="AZ45" s="2888" t="e">
        <f>FLOOR((VLOOKUP(AZ30,Tabla_ArmasyEscudos,2,FALSE)+IF(AZ34="-",0,VLOOKUP(AZ34,Tabla_ArmasyEscudos,2,FALSE)))*IF(AZ33=0,1,VLOOKUP(AZ33,Tabla_ArmasEnormes,5,FALSE)),5)+IF(AZ34="-",VLOOKUP(AZ30,Tabla_ArmasyEscudos,22,FALSE)*IF(AZ37="A dos manos",2,1)+2*IF(ISNUMBER(FIND("Virgo",AZ30)),0,AZ31),VLOOKUP(VLOOKUP(AZ30,Tabla_ArmasyEscudos,18,FALSE)+AZ31/5,Tabla_BonoStats,2,FALSE)+2*AZ35)+IF(DañoIncrementado,10,0)+IF(Extensióndelauraalarma,10,0)+Tablas!$K$1751+INDEX(Personalización!$AA$7:$AJ$15,IF(ISEVEN(AZ$29),9,4),IF(ISEVEN(AZ$29),AZ$29-1,AZ$29))</f>
        <v>#N/A</v>
      </c>
      <c r="BA45" s="2888" t="e">
        <f>FLOOR((VLOOKUP(BA30,Tabla_ArmasyEscudos,2,FALSE)+IF(BA34="-",0,VLOOKUP(BA34,Tabla_ArmasyEscudos,2,FALSE)))*IF(BA33=0,1,VLOOKUP(BA33,Tabla_ArmasEnormes,5,FALSE)),5)+IF(BA34="-",VLOOKUP(BA30,Tabla_ArmasyEscudos,22,FALSE)*IF(BA37="A dos manos",2,1)+2*IF(ISNUMBER(FIND("Virgo",BA30)),0,BA31),VLOOKUP(VLOOKUP(BA30,Tabla_ArmasyEscudos,18,FALSE)+BA31/5,Tabla_BonoStats,2,FALSE)+2*BA35)+IF(DañoIncrementado,10,0)+IF(Extensióndelauraalarma,10,0)+Tablas!$K$1751+INDEX(Personalización!$AA$7:$AJ$15,IF(ISEVEN(BA$29),9,4),IF(ISEVEN(BA$29),BA$29-1,BA$29))</f>
        <v>#N/A</v>
      </c>
      <c r="BB45" s="2888" t="e">
        <f>FLOOR((VLOOKUP(BB30,Tabla_ArmasyEscudos,2,FALSE)+IF(BB34="-",0,VLOOKUP(BB34,Tabla_ArmasyEscudos,2,FALSE)))*IF(BB33=0,1,VLOOKUP(BB33,Tabla_ArmasEnormes,5,FALSE)),5)+IF(BB34="-",VLOOKUP(BB30,Tabla_ArmasyEscudos,22,FALSE)*IF(BB37="A dos manos",2,1)+2*IF(ISNUMBER(FIND("Virgo",BB30)),0,BB31),VLOOKUP(VLOOKUP(BB30,Tabla_ArmasyEscudos,18,FALSE)+BB31/5,Tabla_BonoStats,2,FALSE)+2*BB35)+IF(DañoIncrementado,10,0)+IF(Extensióndelauraalarma,10,0)+Tablas!$K$1751+INDEX(Personalización!$AA$7:$AJ$15,IF(ISEVEN(BB$29),9,4),IF(ISEVEN(BB$29),BB$29-1,BB$29))</f>
        <v>#N/A</v>
      </c>
      <c r="BC45" s="2888" t="e">
        <f>FLOOR((VLOOKUP(BC30,Tabla_ArmasyEscudos,2,FALSE)+IF(BC34="-",0,VLOOKUP(BC34,Tabla_ArmasyEscudos,2,FALSE)))*IF(BC33=0,1,VLOOKUP(BC33,Tabla_ArmasEnormes,5,FALSE)),5)+IF(BC34="-",VLOOKUP(BC30,Tabla_ArmasyEscudos,22,FALSE)*IF(BC37="A dos manos",2,1)+2*IF(ISNUMBER(FIND("Virgo",BC30)),0,BC31),VLOOKUP(VLOOKUP(BC30,Tabla_ArmasyEscudos,18,FALSE)+BC31/5,Tabla_BonoStats,2,FALSE)+2*BC35)+IF(DañoIncrementado,10,0)+IF(Extensióndelauraalarma,10,0)+Tablas!$K$1751+INDEX(Personalización!$AA$7:$AJ$15,IF(ISEVEN(BC$29),9,4),IF(ISEVEN(BC$29),BC$29-1,BC$29))</f>
        <v>#N/A</v>
      </c>
      <c r="BD45" s="2888" t="e">
        <f>FLOOR((VLOOKUP(BD30,Tabla_ArmasyEscudos,2,FALSE)+IF(BD34="-",0,VLOOKUP(BD34,Tabla_ArmasyEscudos,2,FALSE)))*IF(BD33=0,1,VLOOKUP(BD33,Tabla_ArmasEnormes,5,FALSE)),5)+IF(BD34="-",VLOOKUP(BD30,Tabla_ArmasyEscudos,22,FALSE)*IF(BD37="A dos manos",2,1)+2*IF(ISNUMBER(FIND("Virgo",BD30)),0,BD31),VLOOKUP(VLOOKUP(BD30,Tabla_ArmasyEscudos,18,FALSE)+BD31/5,Tabla_BonoStats,2,FALSE)+2*BD35)+IF(DañoIncrementado,10,0)+IF(Extensióndelauraalarma,10,0)+Tablas!$K$1751+INDEX(Personalización!$AA$7:$AJ$15,IF(ISEVEN(BD$29),9,4),IF(ISEVEN(BD$29),BD$29-1,BD$29))</f>
        <v>#N/A</v>
      </c>
      <c r="BE45" s="2888" t="e">
        <f>FLOOR((VLOOKUP(BE30,Tabla_ArmasyEscudos,2,FALSE)+IF(BE34="-",0,VLOOKUP(BE34,Tabla_ArmasyEscudos,2,FALSE)))*IF(BE33=0,1,VLOOKUP(BE33,Tabla_ArmasEnormes,5,FALSE)),5)+IF(BE34="-",VLOOKUP(BE30,Tabla_ArmasyEscudos,22,FALSE)*IF(BE37="A dos manos",2,1)+2*IF(ISNUMBER(FIND("Virgo",BE30)),0,BE31),VLOOKUP(VLOOKUP(BE30,Tabla_ArmasyEscudos,18,FALSE)+BE31/5,Tabla_BonoStats,2,FALSE)+2*BE35)+IF(DañoIncrementado,10,0)+IF(Extensióndelauraalarma,10,0)+Tablas!$K$1751+INDEX(Personalización!$AA$7:$AJ$15,IF(ISEVEN(BE$29),9,4),IF(ISEVEN(BE$29),BE$29-1,BE$29))</f>
        <v>#N/A</v>
      </c>
      <c r="BF45" s="2888" t="e">
        <f>FLOOR((VLOOKUP(BF30,Tabla_ArmasyEscudos,2,FALSE)+IF(BF34="-",0,VLOOKUP(BF34,Tabla_ArmasyEscudos,2,FALSE)))*IF(BF33=0,1,VLOOKUP(BF33,Tabla_ArmasEnormes,5,FALSE)),5)+IF(BF34="-",VLOOKUP(BF30,Tabla_ArmasyEscudos,22,FALSE)*IF(BF37="A dos manos",2,1)+2*IF(ISNUMBER(FIND("Virgo",BF30)),0,BF31),VLOOKUP(VLOOKUP(BF30,Tabla_ArmasyEscudos,18,FALSE)+BF31/5,Tabla_BonoStats,2,FALSE)+2*BF35)+IF(DañoIncrementado,10,0)+IF(Extensióndelauraalarma,10,0)+Tablas!$K$1751+INDEX(Personalización!$AA$7:$AJ$15,IF(ISEVEN(BF$29),9,4),IF(ISEVEN(BF$29),BF$29-1,BF$29))</f>
        <v>#N/A</v>
      </c>
      <c r="BG45" s="1872"/>
      <c r="BH45" s="1872"/>
      <c r="BI45" s="1872"/>
    </row>
    <row r="46" spans="1:61" ht="12" customHeight="1" thickBot="1" x14ac:dyDescent="0.25">
      <c r="A46" s="10"/>
      <c r="B46" s="1233"/>
      <c r="C46" s="4148" t="str">
        <f>IF(E42=0,"",IF(VLOOKUP(E42,Tabla_ArmasyEscudos,17,FALSE)&lt;&gt;"-",D47,C47))</f>
        <v/>
      </c>
      <c r="D46" s="4149"/>
      <c r="E46" s="4149"/>
      <c r="F46" s="4149"/>
      <c r="G46" s="4149"/>
      <c r="H46" s="4149"/>
      <c r="I46" s="1571"/>
      <c r="J46" s="1572" t="str">
        <f>IF(F43=0,IF(J45&lt;=0,"","TA defensor: -"&amp;J45/5),IF(Tamaño&lt;VLOOKUP(F43,Tabla_ArmasEnormes,2,FALSE),"Tam. excesivo",IF(J45&lt;=0,"","TA defensor: -"&amp;J45/5)))</f>
        <v/>
      </c>
      <c r="K46" s="4150" t="s">
        <v>1384</v>
      </c>
      <c r="L46" s="4151"/>
      <c r="M46" s="790"/>
      <c r="N46" s="4148" t="str">
        <f>IF(P42=0,"",IF(VLOOKUP(P42,Tabla_ArmasyEscudos,17,FALSE)&lt;&gt;"-",O47,N47))</f>
        <v/>
      </c>
      <c r="O46" s="4149"/>
      <c r="P46" s="4149"/>
      <c r="Q46" s="4149"/>
      <c r="R46" s="4149"/>
      <c r="S46" s="4149"/>
      <c r="T46" s="1571"/>
      <c r="U46" s="1572" t="str">
        <f>IF(Q43=0,IF(U45&lt;=0,"","TA defensor: -"&amp;U45/5),IF(Tamaño&lt;VLOOKUP(Q43,Tabla_ArmasEnormes,2,FALSE),"Tam. excesivo",IF(U45&lt;=0,"","TA defensor: -"&amp;U45/5)))</f>
        <v/>
      </c>
      <c r="V46" s="4150" t="s">
        <v>1384</v>
      </c>
      <c r="W46" s="4151"/>
      <c r="X46" s="790"/>
      <c r="Y46" s="10"/>
      <c r="Z46" s="10"/>
      <c r="AA46" s="1196"/>
      <c r="AB46" s="3983" t="str">
        <f>IF(PDs!$AD71=0,"",PDs!$AD71)</f>
        <v/>
      </c>
      <c r="AC46" s="3984"/>
      <c r="AD46" s="3984"/>
      <c r="AE46" s="3984"/>
      <c r="AF46" s="3989" t="str">
        <f t="shared" si="8"/>
        <v/>
      </c>
      <c r="AG46" s="3990"/>
      <c r="AH46" s="3990"/>
      <c r="AI46" s="3990"/>
      <c r="AJ46" s="3990"/>
      <c r="AK46" s="3990"/>
      <c r="AL46" s="3990"/>
      <c r="AM46" s="3990"/>
      <c r="AN46" s="3990"/>
      <c r="AO46" s="3990"/>
      <c r="AP46" s="3991"/>
      <c r="AQ46" s="1611">
        <f>IF(AB46="",0,VLOOKUP(AB46,Tablas!$D$827:$G$916,4,FALSE))</f>
        <v>0</v>
      </c>
      <c r="AR46" s="1272"/>
      <c r="AS46" s="1218"/>
      <c r="AT46" s="1872"/>
      <c r="AU46" s="2892" t="s">
        <v>8914</v>
      </c>
      <c r="AV46" s="1872"/>
      <c r="AW46" s="2897" t="str">
        <f t="shared" ref="AW46:BF46" si="10">AW29&amp;". "&amp;IF(AW30=0,"",AW30)</f>
        <v xml:space="preserve">1. </v>
      </c>
      <c r="AX46" s="2897" t="str">
        <f t="shared" si="10"/>
        <v xml:space="preserve">2. </v>
      </c>
      <c r="AY46" s="2897" t="str">
        <f t="shared" si="10"/>
        <v xml:space="preserve">3. </v>
      </c>
      <c r="AZ46" s="2897" t="str">
        <f t="shared" si="10"/>
        <v xml:space="preserve">4. </v>
      </c>
      <c r="BA46" s="2897" t="str">
        <f t="shared" si="10"/>
        <v xml:space="preserve">5. </v>
      </c>
      <c r="BB46" s="2897" t="str">
        <f t="shared" si="10"/>
        <v xml:space="preserve">6. </v>
      </c>
      <c r="BC46" s="2897" t="str">
        <f t="shared" si="10"/>
        <v xml:space="preserve">7. </v>
      </c>
      <c r="BD46" s="2897" t="str">
        <f t="shared" si="10"/>
        <v xml:space="preserve">8. </v>
      </c>
      <c r="BE46" s="2897" t="str">
        <f t="shared" si="10"/>
        <v xml:space="preserve">9. </v>
      </c>
      <c r="BF46" s="2897" t="str">
        <f t="shared" si="10"/>
        <v xml:space="preserve">10. </v>
      </c>
      <c r="BG46" s="2892" t="s">
        <v>8792</v>
      </c>
      <c r="BH46" s="2892" t="s">
        <v>9771</v>
      </c>
      <c r="BI46" s="1872"/>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3983" t="str">
        <f>IF(PDs!$AD72=0,"",PDs!$AD72)</f>
        <v/>
      </c>
      <c r="AC47" s="3984"/>
      <c r="AD47" s="3984"/>
      <c r="AE47" s="3984"/>
      <c r="AF47" s="3989" t="str">
        <f t="shared" si="8"/>
        <v/>
      </c>
      <c r="AG47" s="3990"/>
      <c r="AH47" s="3990"/>
      <c r="AI47" s="3990"/>
      <c r="AJ47" s="3990"/>
      <c r="AK47" s="3990"/>
      <c r="AL47" s="3990"/>
      <c r="AM47" s="3990"/>
      <c r="AN47" s="3990"/>
      <c r="AO47" s="3990"/>
      <c r="AP47" s="3991"/>
      <c r="AQ47" s="1611">
        <f>IF(AB47="",0,VLOOKUP(AB47,Tablas!$D$827:$G$916,4,FALSE))</f>
        <v>0</v>
      </c>
      <c r="AR47" s="1272"/>
      <c r="AS47" s="1218"/>
      <c r="AT47" s="1872"/>
      <c r="AU47" s="2892" t="s">
        <v>8911</v>
      </c>
      <c r="AV47" s="2892" t="str">
        <f>Turno_SinArmas_final&amp;" "&amp;IF(AND(Resumen!$AN$25="No",C20="Desarmado"),"Natural",$C$20)</f>
        <v>40 Desarmado</v>
      </c>
      <c r="AW47" s="2892" t="str">
        <f>IFERROR(IF(AW$38="Torpe","",IF(COUNTIF($AV47:AV47,"")=Tablas!A$1,"",", ")&amp;AW41&amp;" "&amp;AW$30&amp;IF(AW$31&lt;=0,""," +"&amp;AW$31)&amp;IF(AW$39="-",""," y "&amp;INDEX(Tabla_Combate,1,AW$39)&amp;IF(INDEX(Tabla_Combate,2,AW$39)&lt;=0,""," +"&amp;INDEX(Tabla_Combate,2,AW$39)))),"")</f>
        <v/>
      </c>
      <c r="AX47" s="2892" t="str">
        <f>IFERROR(IF(AX$38="Torpe","",IF(COUNTIF($AV47:AW47,"")=Tablas!B$1,"",", ")&amp;AX41&amp;" "&amp;AX$30&amp;IF(AX$31&lt;=0,""," +"&amp;AX$31)&amp;IF(AX$39="-",""," y "&amp;INDEX(Tabla_Combate,1,AX$39)&amp;IF(INDEX(Tabla_Combate,2,AX$39)&lt;=0,""," +"&amp;INDEX(Tabla_Combate,2,AX$39)))),"")</f>
        <v/>
      </c>
      <c r="AY47" s="2892" t="str">
        <f>IFERROR(IF(AY$38="Torpe","",IF(COUNTIF($AV47:AX47,"")=Tablas!C$1,"",", ")&amp;AY41&amp;" "&amp;AY$30&amp;IF(AY$31&lt;=0,""," +"&amp;AY$31)&amp;IF(AY$39="-",""," y "&amp;INDEX(Tabla_Combate,1,AY$39)&amp;IF(INDEX(Tabla_Combate,2,AY$39)&lt;=0,""," +"&amp;INDEX(Tabla_Combate,2,AY$39)))),"")</f>
        <v/>
      </c>
      <c r="AZ47" s="2892" t="str">
        <f>IFERROR(IF(AZ$38="Torpe","",IF(COUNTIF($AV47:AY47,"")=Tablas!D$1,"",", ")&amp;AZ41&amp;" "&amp;AZ$30&amp;IF(AZ$31&lt;=0,""," +"&amp;AZ$31)&amp;IF(AZ$39="-",""," y "&amp;INDEX(Tabla_Combate,1,AZ$39)&amp;IF(INDEX(Tabla_Combate,2,AZ$39)&lt;=0,""," +"&amp;INDEX(Tabla_Combate,2,AZ$39)))),"")</f>
        <v/>
      </c>
      <c r="BA47" s="2892" t="str">
        <f>IFERROR(IF(BA$38="Torpe","",IF(COUNTIF($AV47:AZ47,"")=Tablas!E$1,"",", ")&amp;BA41&amp;" "&amp;BA$30&amp;IF(BA$31&lt;=0,""," +"&amp;BA$31)&amp;IF(BA$39="-",""," y "&amp;INDEX(Tabla_Combate,1,BA$39)&amp;IF(INDEX(Tabla_Combate,2,BA$39)&lt;=0,""," +"&amp;INDEX(Tabla_Combate,2,BA$39)))),"")</f>
        <v/>
      </c>
      <c r="BB47" s="2892" t="str">
        <f>IFERROR(IF(BB$38="Torpe","",IF(COUNTIF($AV47:BA47,"")=Tablas!F$1,"",", ")&amp;BB41&amp;" "&amp;BB$30&amp;IF(BB$31&lt;=0,""," +"&amp;BB$31)&amp;IF(BB$39="-",""," y "&amp;INDEX(Tabla_Combate,1,BB$39)&amp;IF(INDEX(Tabla_Combate,2,BB$39)&lt;=0,""," +"&amp;INDEX(Tabla_Combate,2,BB$39)))),"")</f>
        <v/>
      </c>
      <c r="BC47" s="2892" t="str">
        <f>IFERROR(IF(BC$38="Torpe","",IF(COUNTIF($AV47:BB47,"")=Tablas!G$1,"",", ")&amp;BC41&amp;" "&amp;BC$30&amp;IF(BC$31&lt;=0,""," +"&amp;BC$31)&amp;IF(BC$39="-",""," y "&amp;INDEX(Tabla_Combate,1,BC$39)&amp;IF(INDEX(Tabla_Combate,2,BC$39)&lt;=0,""," +"&amp;INDEX(Tabla_Combate,2,BC$39)))),"")</f>
        <v/>
      </c>
      <c r="BD47" s="2892" t="str">
        <f>IFERROR(IF(BD$38="Torpe","",IF(COUNTIF($AV47:BC47,"")=Tablas!H$1,"",", ")&amp;BD41&amp;" "&amp;BD$30&amp;IF(BD$31&lt;=0,""," +"&amp;BD$31)&amp;IF(BD$39="-",""," y "&amp;INDEX(Tabla_Combate,1,BD$39)&amp;IF(INDEX(Tabla_Combate,2,BD$39)&lt;=0,""," +"&amp;INDEX(Tabla_Combate,2,BD$39)))),"")</f>
        <v/>
      </c>
      <c r="BE47" s="2892" t="str">
        <f>IFERROR(IF(BE$38="Torpe","",IF(COUNTIF($AV47:BD47,"")=Tablas!I$1,"",", ")&amp;BE41&amp;" "&amp;BE$30&amp;IF(BE$31&lt;=0,""," +"&amp;BE$31)&amp;IF(BE$39="-",""," y "&amp;INDEX(Tabla_Combate,1,BE$39)&amp;IF(INDEX(Tabla_Combate,2,BE$39)&lt;=0,""," +"&amp;INDEX(Tabla_Combate,2,BE$39)))),"")</f>
        <v/>
      </c>
      <c r="BF47" s="2892" t="str">
        <f>IFERROR(IF(BF$38="Torpe","",IF(COUNTIF($AV47:BE47,"")=Tablas!J$1,"",", ")&amp;BF41&amp;" "&amp;BF$30&amp;IF(BF$31&lt;=0,""," +"&amp;BF$31)&amp;IF(BF$39="-",""," y "&amp;INDEX(Tabla_Combate,1,BF$39)&amp;IF(INDEX(Tabla_Combate,2,BF$39)&lt;=0,""," +"&amp;INDEX(Tabla_Combate,2,BF$39)))),"")</f>
        <v/>
      </c>
      <c r="BG47" s="2892" t="str">
        <f>IF(AND(Personalización!AT3&lt;&gt;"",COUNTIF(Combate!AW47:BF47,"?*")&gt;0),", "&amp;IF(Personalización!AT3="","",Personalización!AT3),"")</f>
        <v/>
      </c>
      <c r="BH47" s="2892" t="str">
        <f>IF(AND(Sheele!$S$23="Si",OR(Sheele!$F$5="Si",Sheele!$F$5="Si (Familiar)")),", Sheele: "&amp;Sheele!R31&amp;" Natural","")</f>
        <v/>
      </c>
      <c r="BI47" s="1872"/>
    </row>
    <row r="48" spans="1:61" ht="12" customHeight="1" thickBot="1" x14ac:dyDescent="0.25">
      <c r="A48" s="10"/>
      <c r="B48" s="1233"/>
      <c r="C48" s="1575" t="s">
        <v>8892</v>
      </c>
      <c r="D48" s="1570" t="str">
        <f>E49&amp;IF(COUNTIF($R$22:$T$25,C48&amp;" "&amp;E49)&gt;0,IFERROR(" y"&amp;MID(VLOOKUP(C48&amp;" "&amp;E49,$R$22:$W$25,4,FALSE),SEARCH(".",VLOOKUP(C48&amp;" "&amp;E49,$R$22:$W$25,4,FALSE))+1,100),""),"")</f>
        <v/>
      </c>
      <c r="E48" s="1570"/>
      <c r="F48" s="1570"/>
      <c r="G48" s="1570"/>
      <c r="H48" s="1570"/>
      <c r="I48" s="1570"/>
      <c r="J48" s="1570"/>
      <c r="K48" s="1570"/>
      <c r="L48" s="1608" t="s">
        <v>8899</v>
      </c>
      <c r="M48" s="790"/>
      <c r="N48" s="1575" t="s">
        <v>8889</v>
      </c>
      <c r="O48" s="1570" t="str">
        <f>P49&amp;IF(COUNTIF($R$22:$T$25,N48&amp;" "&amp;P49)&gt;0,IFERROR(" y"&amp;MID(VLOOKUP(N48&amp;" "&amp;P49,$R$22:$W$25,4,FALSE),SEARCH(".",VLOOKUP(N48&amp;" "&amp;P49,$R$22:$W$25,4,FALSE))+1,100),""),"")</f>
        <v/>
      </c>
      <c r="P48" s="1570"/>
      <c r="Q48" s="1570"/>
      <c r="R48" s="1570"/>
      <c r="S48" s="1570"/>
      <c r="T48" s="1570"/>
      <c r="U48" s="1570"/>
      <c r="V48" s="1570"/>
      <c r="W48" s="1608" t="s">
        <v>8899</v>
      </c>
      <c r="X48" s="790"/>
      <c r="Y48" s="10"/>
      <c r="Z48" s="10"/>
      <c r="AA48" s="1196"/>
      <c r="AB48" s="3983" t="str">
        <f>IF(PDs!$AD73=0,"",PDs!$AD73)</f>
        <v/>
      </c>
      <c r="AC48" s="3984"/>
      <c r="AD48" s="3984"/>
      <c r="AE48" s="3984"/>
      <c r="AF48" s="3989" t="str">
        <f t="shared" si="8"/>
        <v/>
      </c>
      <c r="AG48" s="3990"/>
      <c r="AH48" s="3990"/>
      <c r="AI48" s="3990"/>
      <c r="AJ48" s="3990"/>
      <c r="AK48" s="3990"/>
      <c r="AL48" s="3990"/>
      <c r="AM48" s="3990"/>
      <c r="AN48" s="3990"/>
      <c r="AO48" s="3990"/>
      <c r="AP48" s="3991"/>
      <c r="AQ48" s="1611">
        <f>IF(AB48="",0,VLOOKUP(AB48,Tablas!$D$827:$G$916,4,FALSE))</f>
        <v>0</v>
      </c>
      <c r="AR48" s="1272"/>
      <c r="AS48" s="1218"/>
      <c r="AT48" s="1872"/>
      <c r="AU48" s="2892" t="s">
        <v>8912</v>
      </c>
      <c r="AV48" s="2892" t="str">
        <f>IF(AND(Resumen!$AN$25="No",C20="Desarmado"),"",HA_SinArmas_final&amp;" "&amp;$C$20)</f>
        <v>0 Desarmado</v>
      </c>
      <c r="AW48" s="2892" t="str">
        <f>IFERROR(IF(AW$38="Torpe","",IF(COUNTIF($AV48:AV48,"")=Tablas!A$1,"",", ")&amp;AW42&amp;" "&amp;AW$30&amp;IF(AW$31&lt;=0,""," +"&amp;AW$31)&amp;IF(AW$39="-",""," y "&amp;INDEX(Tabla_Combate,$AT$42,AW$39)&amp;" "&amp;INDEX(Tabla_Combate,1,AW$39)&amp;IF(INDEX(Tabla_Combate,2,AW$39)&lt;=0,""," +"&amp;INDEX(Tabla_Combate,2,AW$39)))),"")</f>
        <v/>
      </c>
      <c r="AX48" s="2892" t="str">
        <f>IFERROR(IF(AX$38="Torpe","",IF(COUNTIF($AV48:AW48,"")=Tablas!B$1,"",", ")&amp;AX42&amp;" "&amp;AX$30&amp;IF(AX$31&lt;=0,""," +"&amp;AX$31)&amp;IF(AX$39="-",""," y "&amp;INDEX(Tabla_Combate,$AT$42,AX$39)&amp;" "&amp;INDEX(Tabla_Combate,1,AX$39)&amp;IF(INDEX(Tabla_Combate,2,AX$39)&lt;=0,""," +"&amp;INDEX(Tabla_Combate,2,AX$39)))),"")</f>
        <v/>
      </c>
      <c r="AY48" s="2892" t="str">
        <f>IFERROR(IF(AY$38="Torpe","",IF(COUNTIF($AV48:AX48,"")=Tablas!C$1,"",", ")&amp;AY42&amp;" "&amp;AY$30&amp;IF(AY$31&lt;=0,""," +"&amp;AY$31)&amp;IF(AY$39="-",""," y "&amp;INDEX(Tabla_Combate,$AT$42,AY$39)&amp;" "&amp;INDEX(Tabla_Combate,1,AY$39)&amp;IF(INDEX(Tabla_Combate,2,AY$39)&lt;=0,""," +"&amp;INDEX(Tabla_Combate,2,AY$39)))),"")</f>
        <v/>
      </c>
      <c r="AZ48" s="2892" t="str">
        <f>IFERROR(IF(AZ$38="Torpe","",IF(COUNTIF($AV48:AY48,"")=Tablas!D$1,"",", ")&amp;AZ42&amp;" "&amp;AZ$30&amp;IF(AZ$31&lt;=0,""," +"&amp;AZ$31)&amp;IF(AZ$39="-",""," y "&amp;INDEX(Tabla_Combate,$AT$42,AZ$39)&amp;" "&amp;INDEX(Tabla_Combate,1,AZ$39)&amp;IF(INDEX(Tabla_Combate,2,AZ$39)&lt;=0,""," +"&amp;INDEX(Tabla_Combate,2,AZ$39)))),"")</f>
        <v/>
      </c>
      <c r="BA48" s="2892" t="str">
        <f>IFERROR(IF(BA$38="Torpe","",IF(COUNTIF($AV48:AZ48,"")=Tablas!E$1,"",", ")&amp;BA42&amp;" "&amp;BA$30&amp;IF(BA$31&lt;=0,""," +"&amp;BA$31)&amp;IF(BA$39="-",""," y "&amp;INDEX(Tabla_Combate,$AT$42,BA$39)&amp;" "&amp;INDEX(Tabla_Combate,1,BA$39)&amp;IF(INDEX(Tabla_Combate,2,BA$39)&lt;=0,""," +"&amp;INDEX(Tabla_Combate,2,BA$39)))),"")</f>
        <v/>
      </c>
      <c r="BB48" s="2892" t="str">
        <f>IFERROR(IF(BB$38="Torpe","",IF(COUNTIF($AV48:BA48,"")=Tablas!F$1,"",", ")&amp;BB42&amp;" "&amp;BB$30&amp;IF(BB$31&lt;=0,""," +"&amp;BB$31)&amp;IF(BB$39="-",""," y "&amp;INDEX(Tabla_Combate,$AT$42,BB$39)&amp;" "&amp;INDEX(Tabla_Combate,1,BB$39)&amp;IF(INDEX(Tabla_Combate,2,BB$39)&lt;=0,""," +"&amp;INDEX(Tabla_Combate,2,BB$39)))),"")</f>
        <v/>
      </c>
      <c r="BC48" s="2892" t="str">
        <f>IFERROR(IF(BC$38="Torpe","",IF(COUNTIF($AV48:BB48,"")=Tablas!G$1,"",", ")&amp;BC42&amp;" "&amp;BC$30&amp;IF(BC$31&lt;=0,""," +"&amp;BC$31)&amp;IF(BC$39="-",""," y "&amp;INDEX(Tabla_Combate,$AT$42,BC$39)&amp;" "&amp;INDEX(Tabla_Combate,1,BC$39)&amp;IF(INDEX(Tabla_Combate,2,BC$39)&lt;=0,""," +"&amp;INDEX(Tabla_Combate,2,BC$39)))),"")</f>
        <v/>
      </c>
      <c r="BD48" s="2892" t="str">
        <f>IFERROR(IF(BD$38="Torpe","",IF(COUNTIF($AV48:BC48,"")=Tablas!H$1,"",", ")&amp;BD42&amp;" "&amp;BD$30&amp;IF(BD$31&lt;=0,""," +"&amp;BD$31)&amp;IF(BD$39="-",""," y "&amp;INDEX(Tabla_Combate,$AT$42,BD$39)&amp;" "&amp;INDEX(Tabla_Combate,1,BD$39)&amp;IF(INDEX(Tabla_Combate,2,BD$39)&lt;=0,""," +"&amp;INDEX(Tabla_Combate,2,BD$39)))),"")</f>
        <v/>
      </c>
      <c r="BE48" s="2892" t="str">
        <f>IFERROR(IF(BE$38="Torpe","",IF(COUNTIF($AV48:BD48,"")=Tablas!I$1,"",", ")&amp;BE42&amp;" "&amp;BE$30&amp;IF(BE$31&lt;=0,""," +"&amp;BE$31)&amp;IF(BE$39="-",""," y "&amp;INDEX(Tabla_Combate,$AT$42,BE$39)&amp;" "&amp;INDEX(Tabla_Combate,1,BE$39)&amp;IF(INDEX(Tabla_Combate,2,BE$39)&lt;=0,""," +"&amp;INDEX(Tabla_Combate,2,BE$39)))),"")</f>
        <v/>
      </c>
      <c r="BF48" s="2892" t="str">
        <f>IFERROR(IF(BF$38="Torpe","",IF(COUNTIF($AV48:BE48,"")=Tablas!J$1,"",", ")&amp;BF42&amp;" "&amp;BF$30&amp;IF(BF$31&lt;=0,""," +"&amp;BF$31)&amp;IF(BF$39="-",""," y "&amp;INDEX(Tabla_Combate,$AT$42,BF$39)&amp;" "&amp;INDEX(Tabla_Combate,1,BF$39)&amp;IF(INDEX(Tabla_Combate,2,BF$39)&lt;=0,""," +"&amp;INDEX(Tabla_Combate,2,BF$39)))),"")</f>
        <v/>
      </c>
      <c r="BG48" s="2892" t="str">
        <f>IF(AND(Personalización!AT4&lt;&gt;"",COUNTIF(Combate!AW48:BF48,"?*")&gt;0),", "&amp;IF(Personalización!AT4="","",Personalización!AT4),"")</f>
        <v/>
      </c>
      <c r="BH48" s="2892"/>
      <c r="BI48" s="1872"/>
    </row>
    <row r="49" spans="1:61" ht="12" customHeight="1" x14ac:dyDescent="0.2">
      <c r="A49" s="10"/>
      <c r="B49" s="1233"/>
      <c r="C49" s="4041" t="s">
        <v>8872</v>
      </c>
      <c r="D49" s="4042"/>
      <c r="E49" s="4181"/>
      <c r="F49" s="4182"/>
      <c r="G49" s="4183"/>
      <c r="H49" s="1925" t="s">
        <v>1396</v>
      </c>
      <c r="I49" s="1926" t="s">
        <v>1568</v>
      </c>
      <c r="J49" s="4047" t="s">
        <v>1569</v>
      </c>
      <c r="K49" s="4047"/>
      <c r="L49" s="1927" t="s">
        <v>1570</v>
      </c>
      <c r="M49" s="1607" t="str">
        <f>IF(C49=INDEX(Lista_ManosArma,2),Lista_ProyA2manos,Lista_ProyA1Mano)</f>
        <v>Tablas!$AD$643:$AD$656</v>
      </c>
      <c r="N49" s="4041" t="s">
        <v>8872</v>
      </c>
      <c r="O49" s="4042"/>
      <c r="P49" s="4169"/>
      <c r="Q49" s="4169"/>
      <c r="R49" s="4170"/>
      <c r="S49" s="1925" t="s">
        <v>1396</v>
      </c>
      <c r="T49" s="1926" t="s">
        <v>1568</v>
      </c>
      <c r="U49" s="4047" t="s">
        <v>1569</v>
      </c>
      <c r="V49" s="4047"/>
      <c r="W49" s="1927" t="s">
        <v>1570</v>
      </c>
      <c r="X49" s="1607" t="str">
        <f>IF(N49=INDEX(Lista_ManosArma,2),Lista_ProyA2manos,Lista_ProyA1Mano)</f>
        <v>Tablas!$AD$643:$AD$656</v>
      </c>
      <c r="Y49" s="10"/>
      <c r="Z49" s="10"/>
      <c r="AA49" s="1196"/>
      <c r="AB49" s="4152" t="str">
        <f>IF(PDs!$AD74=0,"",PDs!$AD74)</f>
        <v/>
      </c>
      <c r="AC49" s="4153"/>
      <c r="AD49" s="4153"/>
      <c r="AE49" s="4153"/>
      <c r="AF49" s="4154" t="str">
        <f t="shared" si="8"/>
        <v/>
      </c>
      <c r="AG49" s="4155"/>
      <c r="AH49" s="4155"/>
      <c r="AI49" s="4155"/>
      <c r="AJ49" s="4155"/>
      <c r="AK49" s="4155"/>
      <c r="AL49" s="4155"/>
      <c r="AM49" s="4155"/>
      <c r="AN49" s="4155"/>
      <c r="AO49" s="4155"/>
      <c r="AP49" s="4156"/>
      <c r="AQ49" s="1611">
        <f>IF(AB49="",0,VLOOKUP(AB49,Tablas!$D$827:$G$916,4,FALSE))</f>
        <v>0</v>
      </c>
      <c r="AR49" s="1272"/>
      <c r="AS49" s="1218"/>
      <c r="AT49" s="1872"/>
      <c r="AU49" s="2892" t="s">
        <v>8910</v>
      </c>
      <c r="AV49" s="2892" t="str">
        <f>IF(AND(Resumen!$AN$25="No",C20="Desarmado"),"",HD_SinArmas_final&amp;" "&amp;$C$20&amp;" ("&amp;Par_Esq&amp;")")</f>
        <v>0 Desarmado (Par)</v>
      </c>
      <c r="AW49" s="2892"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892"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892"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892"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892"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892"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892"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892"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892"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892"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892" t="str">
        <f>IF(AND(Personalización!AT5&lt;&gt;"",COUNTIF(Combate!AW49:BF49,"?*")&gt;0),", "&amp;IF(Personalización!AT5="","",Personalización!AT5),"")</f>
        <v/>
      </c>
      <c r="BH49" s="2892"/>
      <c r="BI49" s="1872"/>
    </row>
    <row r="50" spans="1:61" ht="12" customHeight="1" x14ac:dyDescent="0.2">
      <c r="A50" s="10"/>
      <c r="B50" s="1233"/>
      <c r="C50" s="4171" t="s">
        <v>1584</v>
      </c>
      <c r="D50" s="4172"/>
      <c r="E50" s="4173"/>
      <c r="F50" s="4173"/>
      <c r="G50" s="4174"/>
      <c r="H50" s="4117">
        <f>IFERROR(INDEX(Tabla_Combate,$AT$41,LEFT(C48,LEN(C48)-1)),0)</f>
        <v>0</v>
      </c>
      <c r="I50" s="4048">
        <f>IFERROR(INDEX(Tabla_Combate,$AT$42,LEFT(C48,LEN(C48)-1)),0)</f>
        <v>0</v>
      </c>
      <c r="J50" s="4050">
        <f>IF(K50="-",0,IF(K50="Par",INDEX(Tabla_Combate,$AT$43,LEFT(C48,LEN(C48)-1)),INDEX(Tabla_Combate,$AT$44,LEFT(C48,LEN(C48)-1))))</f>
        <v>0</v>
      </c>
      <c r="K50" s="3298" t="str">
        <f>IFERROR(IF(INDEX(Tabla_Combate,$AT$43,LEFT(C48,LEN(C48)-1))&gt;INDEX(Tabla_Combate,$AT$44,LEFT(C48,LEN(C48)-1)),"Par","Esq"),"-")</f>
        <v>-</v>
      </c>
      <c r="L50" s="4113">
        <f>IFERROR(INDEX(Tabla_Combate,$AT$45,LEFT(C48,LEN(C48)-1)),0)</f>
        <v>0</v>
      </c>
      <c r="M50" s="790"/>
      <c r="N50" s="4171" t="s">
        <v>1584</v>
      </c>
      <c r="O50" s="4172"/>
      <c r="P50" s="4173"/>
      <c r="Q50" s="4173"/>
      <c r="R50" s="4174"/>
      <c r="S50" s="4117">
        <f>IFERROR(INDEX(Tabla_Combate,$AT$41,LEFT(N48,LEN(N48)-1)),0)</f>
        <v>0</v>
      </c>
      <c r="T50" s="4048">
        <f>IFERROR(INDEX(Tabla_Combate,$AT$42,LEFT(N48,LEN(N48)-1)),0)</f>
        <v>0</v>
      </c>
      <c r="U50" s="4050">
        <f>IF(V50="-",0,IF(V50="Par",INDEX(Tabla_Combate,$AT$43,LEFT(N48,LEN(N48)-1)),INDEX(Tabla_Combate,$AT$44,LEFT(N48,LEN(N48)-1))))</f>
        <v>0</v>
      </c>
      <c r="V50" s="3298" t="str">
        <f>IFERROR(IF(INDEX(Tabla_Combate,$AT$43,LEFT(N48,LEN(N48)-1))&gt;INDEX(Tabla_Combate,$AT$44,LEFT(N48,LEN(N48)-1)),"Par","Esq"),"-")</f>
        <v>-</v>
      </c>
      <c r="W50" s="4113">
        <f>IFERROR(INDEX(Tabla_Combate,$AT$45,LEFT(N48,LEN(N48)-1)),0)</f>
        <v>0</v>
      </c>
      <c r="X50" s="790"/>
      <c r="Y50" s="10"/>
      <c r="Z50" s="10"/>
      <c r="AA50" s="1196"/>
      <c r="AB50" s="4160" t="str">
        <f>IF(PDs!$E75=0,"",PDs!$E75)</f>
        <v/>
      </c>
      <c r="AC50" s="4160"/>
      <c r="AD50" s="4160"/>
      <c r="AE50" s="4160"/>
      <c r="AF50" s="4160"/>
      <c r="AG50" s="4160"/>
      <c r="AH50" s="4158" t="str">
        <f>IF($AB50="","",IF(PDs!$V75="FALTAN REQUISITOS",PDs!$V75,VLOOKUP(AB50,Tabla_AM_Armas,5,FALSE)))</f>
        <v/>
      </c>
      <c r="AI50" s="4158"/>
      <c r="AJ50" s="4158"/>
      <c r="AK50" s="4158"/>
      <c r="AL50" s="4158"/>
      <c r="AM50" s="4158"/>
      <c r="AN50" s="4158"/>
      <c r="AO50" s="4158"/>
      <c r="AP50" s="4158"/>
      <c r="AQ50" s="4158"/>
      <c r="AR50" s="1272"/>
      <c r="AS50" s="1218"/>
      <c r="AT50" s="1872"/>
      <c r="AU50" s="2892" t="s">
        <v>8913</v>
      </c>
      <c r="AV50" s="2892" t="str">
        <f>IF(AND(Resumen!$AN$25="No",C20="Desarmado"),"",L21&amp;" "&amp;$C$20&amp;" ("&amp;C23&amp;IF(N21="","",", "&amp;N21)&amp;IF(N24="",""," / "&amp;N24)&amp;")")</f>
        <v>5 Desarmado (CON)</v>
      </c>
      <c r="AW50" s="2892" t="str">
        <f>IFERROR(IF(AW$38="Torpe","",IF(COUNTIF($AV50:AV50,"")=Tablas!A$1,"",", ")&amp;AW45&amp;" "&amp;AW$30&amp;IF(AW$31&lt;=0,""," +"&amp;AW$31)&amp;" "&amp;AW36&amp;IF(AW$39="-",""," y "&amp;INDEX(Tabla_Combate,$AT$45,AW$39)&amp;" "&amp;INDEX(Tabla_Combate,1,AW$39)&amp;IF(INDEX(Tabla_Combate,2,AW$39)&lt;=0,""," +"&amp;INDEX(Tabla_Combate,2,AW$39))&amp;" "&amp;INDEX(Tabla_Combate,7,AW$39))),"")</f>
        <v/>
      </c>
      <c r="AX50" s="2892" t="str">
        <f>IFERROR(IF(AX$38="Torpe","",IF(COUNTIF($AV50:AW50,"")=Tablas!B$1,"",", ")&amp;AX45&amp;" "&amp;AX$30&amp;IF(AX$31&lt;=0,""," +"&amp;AX$31)&amp;" "&amp;AX36&amp;IF(AX$39="-",""," y "&amp;INDEX(Tabla_Combate,$AT$45,AX$39)&amp;" "&amp;INDEX(Tabla_Combate,1,AX$39)&amp;IF(INDEX(Tabla_Combate,2,AX$39)&lt;=0,""," +"&amp;INDEX(Tabla_Combate,2,AX$39))&amp;" "&amp;INDEX(Tabla_Combate,7,AX$39))),"")</f>
        <v/>
      </c>
      <c r="AY50" s="2892" t="str">
        <f>IFERROR(IF(AY$38="Torpe","",IF(COUNTIF($AV50:AX50,"")=Tablas!C$1,"",", ")&amp;AY45&amp;" "&amp;AY$30&amp;IF(AY$31&lt;=0,""," +"&amp;AY$31)&amp;" "&amp;AY36&amp;IF(AY$39="-",""," y "&amp;INDEX(Tabla_Combate,$AT$45,AY$39)&amp;" "&amp;INDEX(Tabla_Combate,1,AY$39)&amp;IF(INDEX(Tabla_Combate,2,AY$39)&lt;=0,""," +"&amp;INDEX(Tabla_Combate,2,AY$39))&amp;" "&amp;INDEX(Tabla_Combate,7,AY$39))),"")</f>
        <v/>
      </c>
      <c r="AZ50" s="2892" t="str">
        <f>IFERROR(IF(AZ$38="Torpe","",IF(COUNTIF($AV50:AY50,"")=Tablas!D$1,"",", ")&amp;AZ45&amp;" "&amp;AZ$30&amp;IF(AZ$31&lt;=0,""," +"&amp;AZ$31)&amp;" "&amp;AZ36&amp;IF(AZ$39="-",""," y "&amp;INDEX(Tabla_Combate,$AT$45,AZ$39)&amp;" "&amp;INDEX(Tabla_Combate,1,AZ$39)&amp;IF(INDEX(Tabla_Combate,2,AZ$39)&lt;=0,""," +"&amp;INDEX(Tabla_Combate,2,AZ$39))&amp;" "&amp;INDEX(Tabla_Combate,7,AZ$39))),"")</f>
        <v/>
      </c>
      <c r="BA50" s="2892" t="str">
        <f>IFERROR(IF(BA$38="Torpe","",IF(COUNTIF($AV50:AZ50,"")=Tablas!E$1,"",", ")&amp;BA45&amp;" "&amp;BA$30&amp;IF(BA$31&lt;=0,""," +"&amp;BA$31)&amp;" "&amp;BA36&amp;IF(BA$39="-",""," y "&amp;INDEX(Tabla_Combate,$AT$45,BA$39)&amp;" "&amp;INDEX(Tabla_Combate,1,BA$39)&amp;IF(INDEX(Tabla_Combate,2,BA$39)&lt;=0,""," +"&amp;INDEX(Tabla_Combate,2,BA$39))&amp;" "&amp;INDEX(Tabla_Combate,7,BA$39))),"")</f>
        <v/>
      </c>
      <c r="BB50" s="2892" t="str">
        <f>IFERROR(IF(BB$38="Torpe","",IF(COUNTIF($AV50:BA50,"")=Tablas!F$1,"",", ")&amp;BB45&amp;" "&amp;BB$30&amp;IF(BB$31&lt;=0,""," +"&amp;BB$31)&amp;" "&amp;BB36&amp;IF(BB$39="-",""," y "&amp;INDEX(Tabla_Combate,$AT$45,BB$39)&amp;" "&amp;INDEX(Tabla_Combate,1,BB$39)&amp;IF(INDEX(Tabla_Combate,2,BB$39)&lt;=0,""," +"&amp;INDEX(Tabla_Combate,2,BB$39))&amp;" "&amp;INDEX(Tabla_Combate,7,BB$39))),"")</f>
        <v/>
      </c>
      <c r="BC50" s="2892" t="str">
        <f>IFERROR(IF(BC$38="Torpe","",IF(COUNTIF($AV50:BB50,"")=Tablas!G$1,"",", ")&amp;BC45&amp;" "&amp;BC$30&amp;IF(BC$31&lt;=0,""," +"&amp;BC$31)&amp;" "&amp;BC36&amp;IF(BC$39="-",""," y "&amp;INDEX(Tabla_Combate,$AT$45,BC$39)&amp;" "&amp;INDEX(Tabla_Combate,1,BC$39)&amp;IF(INDEX(Tabla_Combate,2,BC$39)&lt;=0,""," +"&amp;INDEX(Tabla_Combate,2,BC$39))&amp;" "&amp;INDEX(Tabla_Combate,7,BC$39))),"")</f>
        <v/>
      </c>
      <c r="BD50" s="2892" t="str">
        <f>IFERROR(IF(BD$38="Torpe","",IF(COUNTIF($AV50:BC50,"")=Tablas!H$1,"",", ")&amp;BD45&amp;" "&amp;BD$30&amp;IF(BD$31&lt;=0,""," +"&amp;BD$31)&amp;" "&amp;BD36&amp;IF(BD$39="-",""," y "&amp;INDEX(Tabla_Combate,$AT$45,BD$39)&amp;" "&amp;INDEX(Tabla_Combate,1,BD$39)&amp;IF(INDEX(Tabla_Combate,2,BD$39)&lt;=0,""," +"&amp;INDEX(Tabla_Combate,2,BD$39))&amp;" "&amp;INDEX(Tabla_Combate,7,BD$39))),"")</f>
        <v/>
      </c>
      <c r="BE50" s="2892" t="str">
        <f>IFERROR(IF(BE$38="Torpe","",IF(COUNTIF($AV50:BD50,"")=Tablas!I$1,"",", ")&amp;BE45&amp;" "&amp;BE$30&amp;IF(BE$31&lt;=0,""," +"&amp;BE$31)&amp;" "&amp;BE36&amp;IF(BE$39="-",""," y "&amp;INDEX(Tabla_Combate,$AT$45,BE$39)&amp;" "&amp;INDEX(Tabla_Combate,1,BE$39)&amp;IF(INDEX(Tabla_Combate,2,BE$39)&lt;=0,""," +"&amp;INDEX(Tabla_Combate,2,BE$39))&amp;" "&amp;INDEX(Tabla_Combate,7,BE$39))),"")</f>
        <v/>
      </c>
      <c r="BF50" s="2892" t="str">
        <f>IFERROR(IF(BF$38="Torpe","",IF(COUNTIF($AV50:BE50,"")=Tablas!J$1,"",", ")&amp;BF45&amp;" "&amp;BF$30&amp;IF(BF$31&lt;=0,""," +"&amp;BF$31)&amp;" "&amp;BF36&amp;IF(BF$39="-",""," y "&amp;INDEX(Tabla_Combate,$AT$45,BF$39)&amp;" "&amp;INDEX(Tabla_Combate,1,BF$39)&amp;IF(INDEX(Tabla_Combate,2,BF$39)&lt;=0,""," +"&amp;INDEX(Tabla_Combate,2,BF$39))&amp;" "&amp;INDEX(Tabla_Combate,7,BF$39))),"")</f>
        <v/>
      </c>
      <c r="BG50" s="2892" t="str">
        <f>IF(AND(Personalización!AT6&lt;&gt;"",COUNTIF(Combate!AW50:BF50,"?*")&gt;0),", "&amp;IF(Personalización!AT6="","",Personalización!AT6),"")</f>
        <v/>
      </c>
      <c r="BH50" s="2892" t="str">
        <f>IF(AND(Sheele!$S$23="Si",OR(Sheele!$F$5="Si",Sheele!$F$5="Si (Familiar)"),COUNTIF(Sheele!$G$28:$J$39,"Demonio")&gt;0),", Sheele: "&amp;Sheele!$P$15+VLOOKUP(Sheele!G12,Tabla_BonoStats,2,FALSE)&amp;" Natural","")</f>
        <v/>
      </c>
      <c r="BI50" s="1872"/>
    </row>
    <row r="51" spans="1:61" ht="12" customHeight="1" x14ac:dyDescent="0.2">
      <c r="A51" s="10"/>
      <c r="B51" s="1233"/>
      <c r="C51" s="4039" t="str">
        <f>IF(E49=0,"",VLOOKUP(E49,Tabla_ArmasyEscudos,9,FALSE))</f>
        <v/>
      </c>
      <c r="D51" s="4040"/>
      <c r="E51" s="1928" t="s">
        <v>1580</v>
      </c>
      <c r="F51" s="4115" t="s">
        <v>1581</v>
      </c>
      <c r="G51" s="4116"/>
      <c r="H51" s="4117"/>
      <c r="I51" s="4049"/>
      <c r="J51" s="4051"/>
      <c r="K51" s="4072"/>
      <c r="L51" s="4114"/>
      <c r="M51" s="790"/>
      <c r="N51" s="4039" t="str">
        <f>IF(P49=0,"",VLOOKUP(P49,Tabla_ArmasyEscudos,9,FALSE))</f>
        <v/>
      </c>
      <c r="O51" s="4040"/>
      <c r="P51" s="1928" t="s">
        <v>1580</v>
      </c>
      <c r="Q51" s="4115"/>
      <c r="R51" s="4116"/>
      <c r="S51" s="4117"/>
      <c r="T51" s="4049"/>
      <c r="U51" s="4051"/>
      <c r="V51" s="4072"/>
      <c r="W51" s="4114"/>
      <c r="X51" s="790"/>
      <c r="Y51" s="10"/>
      <c r="Z51" s="10"/>
      <c r="AA51" s="1196"/>
      <c r="AB51" s="4161" t="str">
        <f>IF(PDs!$E76=0,"",PDs!$E76)</f>
        <v/>
      </c>
      <c r="AC51" s="4161"/>
      <c r="AD51" s="4161"/>
      <c r="AE51" s="4161"/>
      <c r="AF51" s="4161"/>
      <c r="AG51" s="4161"/>
      <c r="AH51" s="3992" t="str">
        <f>IF($AB51="","",IF(PDs!$V76="FALTAN REQUISITOS",PDs!$V76,VLOOKUP(AB51,Tabla_AM_Armas,5,FALSE)))</f>
        <v/>
      </c>
      <c r="AI51" s="3992"/>
      <c r="AJ51" s="3992"/>
      <c r="AK51" s="3992"/>
      <c r="AL51" s="3992"/>
      <c r="AM51" s="3992"/>
      <c r="AN51" s="3992"/>
      <c r="AO51" s="3992"/>
      <c r="AP51" s="3992"/>
      <c r="AQ51" s="3992"/>
      <c r="AR51" s="1272"/>
      <c r="AS51" s="1218"/>
      <c r="AT51" s="1872"/>
      <c r="AU51" s="1872"/>
      <c r="AV51" s="1872"/>
      <c r="AW51" s="1872"/>
      <c r="AX51" s="1872"/>
      <c r="AY51" s="1872"/>
      <c r="AZ51" s="1872"/>
      <c r="BA51" s="1872"/>
      <c r="BB51" s="1893"/>
      <c r="BC51" s="1893"/>
      <c r="BD51" s="1872"/>
      <c r="BE51" s="1872"/>
      <c r="BF51" s="1872"/>
      <c r="BG51" s="1872"/>
      <c r="BH51" s="1872"/>
      <c r="BI51" s="1872"/>
    </row>
    <row r="52" spans="1:61" ht="12" customHeight="1" thickBot="1" x14ac:dyDescent="0.25">
      <c r="A52" s="10"/>
      <c r="B52" s="1233"/>
      <c r="C52" s="1498" t="s">
        <v>1572</v>
      </c>
      <c r="D52" s="1499" t="s">
        <v>1573</v>
      </c>
      <c r="E52" s="1499" t="s">
        <v>1561</v>
      </c>
      <c r="F52" s="1499" t="s">
        <v>1574</v>
      </c>
      <c r="G52" s="287" t="s">
        <v>1562</v>
      </c>
      <c r="H52" s="4144" t="s">
        <v>8874</v>
      </c>
      <c r="I52" s="4145"/>
      <c r="J52" s="1613"/>
      <c r="K52" s="4163" t="str">
        <f>IF(Tablas!$G$508&gt;0,"-50 a puntería","")</f>
        <v/>
      </c>
      <c r="L52" s="4164"/>
      <c r="M52" s="790"/>
      <c r="N52" s="1498" t="s">
        <v>1572</v>
      </c>
      <c r="O52" s="1499" t="s">
        <v>1573</v>
      </c>
      <c r="P52" s="1499" t="s">
        <v>1561</v>
      </c>
      <c r="Q52" s="1499" t="s">
        <v>1574</v>
      </c>
      <c r="R52" s="287" t="s">
        <v>1562</v>
      </c>
      <c r="S52" s="4144" t="s">
        <v>8874</v>
      </c>
      <c r="T52" s="4145"/>
      <c r="U52" s="1613"/>
      <c r="V52" s="4163" t="str">
        <f>IF(Tablas!$G$508&gt;0,"-50 a puntería","")</f>
        <v/>
      </c>
      <c r="W52" s="4164"/>
      <c r="X52" s="790"/>
      <c r="Y52" s="10"/>
      <c r="Z52" s="10"/>
      <c r="AA52" s="1196"/>
      <c r="AB52" s="4159" t="str">
        <f>IF(PDs!$E77=0,"",PDs!$E77)</f>
        <v/>
      </c>
      <c r="AC52" s="4159"/>
      <c r="AD52" s="4159"/>
      <c r="AE52" s="4159"/>
      <c r="AF52" s="4159"/>
      <c r="AG52" s="4159"/>
      <c r="AH52" s="4043" t="str">
        <f>IF($AB52="","",IF(PDs!$V77="FALTAN REQUISITOS",PDs!$V77,VLOOKUP(AB52,Tabla_AM_Armas,5,FALSE)))</f>
        <v/>
      </c>
      <c r="AI52" s="4043"/>
      <c r="AJ52" s="4043"/>
      <c r="AK52" s="4043"/>
      <c r="AL52" s="4043"/>
      <c r="AM52" s="4043"/>
      <c r="AN52" s="4043"/>
      <c r="AO52" s="4043"/>
      <c r="AP52" s="4043"/>
      <c r="AQ52" s="4043"/>
      <c r="AR52" s="1272"/>
      <c r="AS52" s="1218"/>
      <c r="AT52" s="1872"/>
      <c r="AU52" s="1872"/>
      <c r="AV52" s="1872"/>
      <c r="AW52" s="1872"/>
      <c r="AX52" s="1872"/>
      <c r="AY52" s="1872"/>
      <c r="AZ52" s="1872"/>
      <c r="BA52" s="1872"/>
      <c r="BB52" s="1893"/>
      <c r="BC52" s="1893"/>
      <c r="BD52" s="1872"/>
      <c r="BE52" s="1872"/>
      <c r="BF52" s="1872"/>
      <c r="BG52" s="1872"/>
      <c r="BH52" s="1872"/>
      <c r="BI52" s="1872"/>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165" t="s">
        <v>8888</v>
      </c>
      <c r="I53" s="4166"/>
      <c r="J53" s="1613"/>
      <c r="K53" s="4167" t="str">
        <f>IF(F51=0,IF(J53&lt;=0,"","TA defensor: -"&amp;J53/5),IF(Tamaño&lt;VLOOKUP(F51,Tabla_ArmasEnormes,2,FALSE),"Tam. excesivo",IF(J53&lt;=0,"","TA defensor: -"&amp;J53/5)))</f>
        <v/>
      </c>
      <c r="L53" s="4168"/>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165" t="s">
        <v>8888</v>
      </c>
      <c r="T53" s="4166"/>
      <c r="U53" s="1613"/>
      <c r="V53" s="4167" t="str">
        <f>IF(Q51=0,IF(U53&lt;=0,"","TA defensor: -"&amp;U53/5),IF(Tamaño&lt;VLOOKUP(Q51,Tabla_ArmasEnormes,2,FALSE),"Tam. excesivo",IF(U53&lt;=0,"","TA defensor: -"&amp;U53/5)))</f>
        <v/>
      </c>
      <c r="W53" s="4168"/>
      <c r="X53" s="790"/>
      <c r="Y53" s="10"/>
      <c r="Z53" s="10"/>
      <c r="AA53" s="1196"/>
      <c r="AM53" s="23"/>
      <c r="AN53" s="23"/>
      <c r="AO53" s="23"/>
      <c r="AP53" s="23"/>
      <c r="AQ53" s="23"/>
      <c r="AR53" s="1272"/>
      <c r="AS53" s="1218"/>
      <c r="AT53" s="1872"/>
      <c r="AU53" s="1872"/>
      <c r="AV53" s="1872"/>
      <c r="AW53" s="1872"/>
      <c r="AX53" s="1872"/>
      <c r="AY53" s="1872"/>
      <c r="AZ53" s="1872"/>
      <c r="BA53" s="1872"/>
      <c r="BB53" s="1872"/>
      <c r="BC53" s="1872"/>
      <c r="BD53" s="1872"/>
      <c r="BE53" s="1872"/>
      <c r="BF53" s="1872"/>
      <c r="BG53" s="1872"/>
      <c r="BH53" s="2914" t="b">
        <f>AND(Sheele!$S$23="Si",COUNTIF(Sheele!$G$28:$J$39,"Demonio")&gt;0)</f>
        <v>0</v>
      </c>
      <c r="BI53" s="1872"/>
    </row>
    <row r="54" spans="1:61" ht="12" customHeight="1" thickBot="1" x14ac:dyDescent="0.25">
      <c r="A54" s="10"/>
      <c r="B54" s="1233"/>
      <c r="C54" s="1498" t="s">
        <v>1585</v>
      </c>
      <c r="D54" s="1905" t="s">
        <v>1586</v>
      </c>
      <c r="E54" s="4175" t="str">
        <f>IF(E49=0,"",IF(E49="Armas naturales",D56,C56))</f>
        <v/>
      </c>
      <c r="F54" s="4176"/>
      <c r="G54" s="4176"/>
      <c r="H54" s="4176"/>
      <c r="I54" s="4176"/>
      <c r="J54" s="4177"/>
      <c r="K54" s="4146" t="s">
        <v>8529</v>
      </c>
      <c r="L54" s="4147"/>
      <c r="M54" s="790"/>
      <c r="N54" s="1498" t="s">
        <v>1585</v>
      </c>
      <c r="O54" s="1905" t="s">
        <v>1586</v>
      </c>
      <c r="P54" s="4175" t="str">
        <f>IF(P49=0,"",IF(P49="Armas naturales",O56,N56))</f>
        <v/>
      </c>
      <c r="Q54" s="4176"/>
      <c r="R54" s="4176"/>
      <c r="S54" s="4176"/>
      <c r="T54" s="4176"/>
      <c r="U54" s="4177"/>
      <c r="V54" s="4146" t="s">
        <v>8529</v>
      </c>
      <c r="W54" s="4147"/>
      <c r="X54" s="1272"/>
      <c r="Y54" s="10"/>
      <c r="Z54" s="10"/>
      <c r="AA54" s="1196"/>
      <c r="AB54" s="3324" t="s">
        <v>1508</v>
      </c>
      <c r="AC54" s="3324"/>
      <c r="AD54" s="3324"/>
      <c r="AE54" s="3324"/>
      <c r="AF54" s="3324"/>
      <c r="AG54" s="3324"/>
      <c r="AH54" s="4157" t="s">
        <v>1553</v>
      </c>
      <c r="AI54" s="4157"/>
      <c r="AJ54" s="4157"/>
      <c r="AK54" s="4157"/>
      <c r="AL54" s="4157"/>
      <c r="AM54" s="4157"/>
      <c r="AN54" s="4157"/>
      <c r="AO54" s="4157"/>
      <c r="AP54" s="4157"/>
      <c r="AQ54" s="4157"/>
      <c r="AR54" s="1272"/>
      <c r="AS54" s="1218"/>
      <c r="AT54" s="1872"/>
      <c r="AU54" s="1872"/>
      <c r="AV54" s="1872"/>
      <c r="AW54" s="1872"/>
      <c r="AX54" s="1872"/>
      <c r="AY54" s="1872"/>
      <c r="AZ54" s="1872"/>
      <c r="BA54" s="1872"/>
      <c r="BB54" s="1872"/>
      <c r="BC54" s="1872"/>
      <c r="BD54" s="1872"/>
      <c r="BE54" s="1872"/>
      <c r="BF54" s="1872"/>
      <c r="BG54" s="1872"/>
      <c r="BH54" s="1872"/>
      <c r="BI54" s="1872"/>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178" t="str">
        <f>IF(E50=0,"",VLOOKUP(E50,Tabla_ArmasyEscudos,19,FALSE))</f>
        <v/>
      </c>
      <c r="F55" s="4179"/>
      <c r="G55" s="4179"/>
      <c r="H55" s="4179"/>
      <c r="I55" s="4179"/>
      <c r="J55" s="4180"/>
      <c r="K55" s="4150" t="s">
        <v>1384</v>
      </c>
      <c r="L55" s="4151"/>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178" t="str">
        <f>IF(P50=0,"",VLOOKUP(P50,Tabla_ArmasyEscudos,19,FALSE))</f>
        <v/>
      </c>
      <c r="Q55" s="4179"/>
      <c r="R55" s="4179"/>
      <c r="S55" s="4179"/>
      <c r="T55" s="4179"/>
      <c r="U55" s="4180"/>
      <c r="V55" s="4150" t="s">
        <v>1384</v>
      </c>
      <c r="W55" s="4151"/>
      <c r="X55" s="790"/>
      <c r="Y55" s="10"/>
      <c r="Z55" s="10"/>
      <c r="AA55" s="1196"/>
      <c r="AB55" s="3995" t="str">
        <f>IF(PDs!E78=0,"",PDs!E78)</f>
        <v/>
      </c>
      <c r="AC55" s="3995"/>
      <c r="AD55" s="3995"/>
      <c r="AE55" s="3995"/>
      <c r="AF55" s="3995"/>
      <c r="AG55" s="3995"/>
      <c r="AH55" s="4162" t="str">
        <f>IF(AB55="","",VLOOKUP(AB55,Tabla_ArsMagnus,6,FALSE))</f>
        <v/>
      </c>
      <c r="AI55" s="4162"/>
      <c r="AJ55" s="4162"/>
      <c r="AK55" s="4162"/>
      <c r="AL55" s="4162"/>
      <c r="AM55" s="4162"/>
      <c r="AN55" s="4162"/>
      <c r="AO55" s="4162"/>
      <c r="AP55" s="4162"/>
      <c r="AQ55" s="4162"/>
      <c r="AR55" s="1272"/>
      <c r="AS55" s="1218"/>
      <c r="AT55" s="1872"/>
      <c r="AU55" s="1872" t="s">
        <v>8701</v>
      </c>
      <c r="AV55" s="1893"/>
      <c r="AW55" s="1893"/>
      <c r="AX55" s="1893"/>
      <c r="AY55" s="2910"/>
      <c r="AZ55" s="1893"/>
      <c r="BA55" s="1872"/>
      <c r="BB55" s="1872"/>
      <c r="BC55" s="1872"/>
      <c r="BD55" s="1872"/>
      <c r="BE55" s="1872"/>
      <c r="BF55" s="1872"/>
      <c r="BG55" s="1872"/>
      <c r="BH55" s="1872"/>
      <c r="BI55" s="1872"/>
    </row>
    <row r="56" spans="1:61" ht="12" customHeight="1" thickBot="1" x14ac:dyDescent="0.25">
      <c r="A56" s="10"/>
      <c r="B56" s="1233"/>
      <c r="C56" s="612" t="e">
        <f>VLOOKUP(E49,Tabla_ArmasyEscudos,19,FALSE)</f>
        <v>#N/A</v>
      </c>
      <c r="D56" s="612" t="str">
        <f>IF(Tablas!$R$1628&gt;0,C56,"Armas naturales a distancia no disponibles")</f>
        <v>Armas naturales a distancia no disponibles</v>
      </c>
      <c r="M56" s="612"/>
      <c r="N56" s="612" t="e">
        <f>VLOOKUP(P49,Tabla_ArmasyEscudos,19,FALSE)</f>
        <v>#N/A</v>
      </c>
      <c r="O56" s="612" t="str">
        <f>IF(Tablas!$R$1628&gt;0,N56,"Armas naturales a distancia no disponibles")</f>
        <v>Armas naturales a distancia no disponibles</v>
      </c>
      <c r="X56" s="790"/>
      <c r="Y56" s="10"/>
      <c r="Z56" s="10"/>
      <c r="AA56" s="1196"/>
      <c r="AB56" s="3995"/>
      <c r="AC56" s="3995"/>
      <c r="AD56" s="3995"/>
      <c r="AE56" s="3995"/>
      <c r="AF56" s="3995"/>
      <c r="AG56" s="3995"/>
      <c r="AH56" s="4162"/>
      <c r="AI56" s="4162"/>
      <c r="AJ56" s="4162"/>
      <c r="AK56" s="4162"/>
      <c r="AL56" s="4162"/>
      <c r="AM56" s="4162"/>
      <c r="AN56" s="4162"/>
      <c r="AO56" s="4162"/>
      <c r="AP56" s="4162"/>
      <c r="AQ56" s="4162"/>
      <c r="AR56" s="1272"/>
      <c r="AS56" s="1218"/>
      <c r="AT56" s="1872"/>
      <c r="AU56" s="1872">
        <v>1</v>
      </c>
      <c r="AV56" s="1893">
        <v>2</v>
      </c>
      <c r="AW56" s="1893">
        <v>3</v>
      </c>
      <c r="AX56" s="1893">
        <v>4</v>
      </c>
      <c r="AY56" s="1893"/>
      <c r="AZ56" s="1893"/>
      <c r="BA56" s="1872"/>
      <c r="BB56" s="1872"/>
      <c r="BC56" s="1872"/>
      <c r="BD56" s="1872"/>
      <c r="BE56" s="1872"/>
      <c r="BF56" s="1872"/>
      <c r="BG56" s="1872"/>
      <c r="BH56" s="1872"/>
      <c r="BI56" s="1872"/>
    </row>
    <row r="57" spans="1:61" ht="12" customHeight="1" thickBot="1" x14ac:dyDescent="0.25">
      <c r="A57" s="10"/>
      <c r="B57" s="1233"/>
      <c r="C57" s="1575" t="s">
        <v>8893</v>
      </c>
      <c r="D57" s="1570" t="str">
        <f>E58&amp;IF(COUNTIF($R$22:$T$25,C57&amp;" "&amp;E58)&gt;0,IFERROR(" y"&amp;MID(VLOOKUP(C57&amp;" "&amp;E58,$R$22:$W$25,4,FALSE),SEARCH(".",VLOOKUP(C57&amp;" "&amp;E58,$R$22:$W$25,4,FALSE))+1,100),""),"")</f>
        <v/>
      </c>
      <c r="E57" s="1570"/>
      <c r="F57" s="1570"/>
      <c r="G57" s="1570"/>
      <c r="H57" s="1570"/>
      <c r="I57" s="1570"/>
      <c r="J57" s="1570"/>
      <c r="K57" s="1570"/>
      <c r="L57" s="1608" t="s">
        <v>8899</v>
      </c>
      <c r="M57" s="790"/>
      <c r="N57" s="1575" t="s">
        <v>8891</v>
      </c>
      <c r="O57" s="1570" t="str">
        <f>P58&amp;IF(COUNTIF($R$22:$T$25,N57&amp;" "&amp;P58)&gt;0,IFERROR(" y"&amp;MID(VLOOKUP(N57&amp;" "&amp;P58,$R$22:$W$25,4,FALSE),SEARCH(".",VLOOKUP(N57&amp;" "&amp;P58,$R$22:$W$25,4,FALSE))+1,100),""),"")</f>
        <v/>
      </c>
      <c r="P57" s="1570"/>
      <c r="Q57" s="1570"/>
      <c r="R57" s="1570"/>
      <c r="S57" s="1570"/>
      <c r="T57" s="1570"/>
      <c r="U57" s="1570"/>
      <c r="V57" s="1570"/>
      <c r="W57" s="1608" t="s">
        <v>8899</v>
      </c>
      <c r="X57" s="790"/>
      <c r="Y57" s="10"/>
      <c r="Z57" s="10"/>
      <c r="AA57" s="1196"/>
      <c r="AB57" s="4017" t="str">
        <f>IF(PDs!E79=0,"",PDs!E79)</f>
        <v/>
      </c>
      <c r="AC57" s="4017"/>
      <c r="AD57" s="4017"/>
      <c r="AE57" s="4017"/>
      <c r="AF57" s="4017"/>
      <c r="AG57" s="4017"/>
      <c r="AH57" s="3408" t="str">
        <f>IF(AB57="","",VLOOKUP(AB57,Tabla_ArsMagnus,6,FALSE))</f>
        <v/>
      </c>
      <c r="AI57" s="3408"/>
      <c r="AJ57" s="3408"/>
      <c r="AK57" s="3408"/>
      <c r="AL57" s="3408"/>
      <c r="AM57" s="3408"/>
      <c r="AN57" s="3408"/>
      <c r="AO57" s="3408"/>
      <c r="AP57" s="3408"/>
      <c r="AQ57" s="3408"/>
      <c r="AR57" s="1272"/>
      <c r="AS57" s="1218"/>
      <c r="AT57" s="1872" t="s">
        <v>8861</v>
      </c>
      <c r="AU57" s="1872" t="str">
        <f>IF(COUNTIF(Ki!$Y$22:$AJ$22,"Fuego")&gt;0,"CAL","-")</f>
        <v>-</v>
      </c>
      <c r="AV57" s="1893" t="str">
        <f>IF(COUNTIF(Ki!$Y$22:$AJ$22,"Aire")&gt;0,"ELE","-")</f>
        <v>-</v>
      </c>
      <c r="AW57" s="1893" t="str">
        <f>IF(COUNTIF(Ki!$Y$22:$AJ$22,"Agua")&gt;0,"FRI","-")</f>
        <v>-</v>
      </c>
      <c r="AX57" s="1893" t="str">
        <f>IF(COUNTIF(Ki!$Y$22:$AJ$22,"Tierra")&gt;0,"CON","-")</f>
        <v>-</v>
      </c>
      <c r="AY57" s="1893"/>
      <c r="AZ57" s="1893"/>
      <c r="BA57" s="1872"/>
      <c r="BB57" s="1872"/>
      <c r="BC57" s="1872"/>
      <c r="BD57" s="1872"/>
      <c r="BE57" s="1872"/>
      <c r="BF57" s="1872"/>
      <c r="BG57" s="1872"/>
      <c r="BH57" s="1872"/>
      <c r="BI57" s="1872"/>
    </row>
    <row r="58" spans="1:61" ht="12" customHeight="1" x14ac:dyDescent="0.2">
      <c r="A58" s="10"/>
      <c r="B58" s="1233"/>
      <c r="C58" s="4041" t="s">
        <v>8872</v>
      </c>
      <c r="D58" s="4042"/>
      <c r="E58" s="4181"/>
      <c r="F58" s="4182"/>
      <c r="G58" s="4183"/>
      <c r="H58" s="1925" t="s">
        <v>1396</v>
      </c>
      <c r="I58" s="1926" t="s">
        <v>1568</v>
      </c>
      <c r="J58" s="4047" t="s">
        <v>1569</v>
      </c>
      <c r="K58" s="4047"/>
      <c r="L58" s="1927" t="s">
        <v>1570</v>
      </c>
      <c r="M58" s="1607" t="str">
        <f>IF(C58=INDEX(Lista_ManosArma,2),Lista_ProyA2manos,Lista_ProyA1Mano)</f>
        <v>Tablas!$AD$643:$AD$656</v>
      </c>
      <c r="N58" s="4041" t="s">
        <v>8872</v>
      </c>
      <c r="O58" s="4042"/>
      <c r="P58" s="4169"/>
      <c r="Q58" s="4169"/>
      <c r="R58" s="4170"/>
      <c r="S58" s="1925" t="s">
        <v>1396</v>
      </c>
      <c r="T58" s="1926" t="s">
        <v>1568</v>
      </c>
      <c r="U58" s="4047" t="s">
        <v>1569</v>
      </c>
      <c r="V58" s="4047"/>
      <c r="W58" s="1927" t="s">
        <v>1570</v>
      </c>
      <c r="X58" s="1607" t="str">
        <f>IF(N58=INDEX(Lista_ManosArma,2),Lista_ProyA2manos,Lista_ProyA1Mano)</f>
        <v>Tablas!$AD$643:$AD$656</v>
      </c>
      <c r="Y58" s="10"/>
      <c r="Z58" s="10"/>
      <c r="AA58" s="1196"/>
      <c r="AB58" s="4017"/>
      <c r="AC58" s="4017"/>
      <c r="AD58" s="4017"/>
      <c r="AE58" s="4017"/>
      <c r="AF58" s="4017"/>
      <c r="AG58" s="4017"/>
      <c r="AH58" s="3408"/>
      <c r="AI58" s="3408"/>
      <c r="AJ58" s="3408"/>
      <c r="AK58" s="3408"/>
      <c r="AL58" s="3408"/>
      <c r="AM58" s="3408"/>
      <c r="AN58" s="3408"/>
      <c r="AO58" s="3408"/>
      <c r="AP58" s="3408"/>
      <c r="AQ58" s="3408"/>
      <c r="AR58" s="1272"/>
      <c r="AS58" s="1218"/>
      <c r="AT58" s="1872" t="s">
        <v>8705</v>
      </c>
      <c r="AU58" s="2915" t="b">
        <f>AU57&lt;&gt;"-"</f>
        <v>0</v>
      </c>
      <c r="AV58" s="2916" t="b">
        <f>AV57&lt;&gt;"-"</f>
        <v>0</v>
      </c>
      <c r="AW58" s="2916" t="b">
        <f>AW57&lt;&gt;"-"</f>
        <v>0</v>
      </c>
      <c r="AX58" s="2916" t="b">
        <f>AX57&lt;&gt;"-"</f>
        <v>0</v>
      </c>
      <c r="AY58" s="1893"/>
      <c r="AZ58" s="1893"/>
      <c r="BA58" s="1872"/>
      <c r="BB58" s="1872"/>
      <c r="BC58" s="1872"/>
      <c r="BD58" s="1872"/>
      <c r="BE58" s="1872"/>
      <c r="BF58" s="1872"/>
      <c r="BG58" s="1872"/>
      <c r="BH58" s="1872"/>
      <c r="BI58" s="1872"/>
    </row>
    <row r="59" spans="1:61" ht="12" customHeight="1" x14ac:dyDescent="0.2">
      <c r="A59" s="10"/>
      <c r="B59" s="1233"/>
      <c r="C59" s="4171" t="s">
        <v>1584</v>
      </c>
      <c r="D59" s="4172"/>
      <c r="E59" s="4173"/>
      <c r="F59" s="4173"/>
      <c r="G59" s="4174"/>
      <c r="H59" s="4117">
        <f>IFERROR(INDEX(Tabla_Combate,$AT$41,LEFT(C57,LEN(C57)-1)),0)</f>
        <v>0</v>
      </c>
      <c r="I59" s="4048">
        <f>IFERROR(INDEX(Tabla_Combate,$AT$42,LEFT(C57,LEN(C57)-1)),0)</f>
        <v>0</v>
      </c>
      <c r="J59" s="4050">
        <f>IF(K59="-",0,IF(K59="Par",INDEX(Tabla_Combate,$AT$43,LEFT(C57,LEN(C57)-1)),INDEX(Tabla_Combate,$AT$44,LEFT(C57,LEN(C57)-1))))</f>
        <v>0</v>
      </c>
      <c r="K59" s="3298" t="str">
        <f>IFERROR(IF(INDEX(Tabla_Combate,$AT$43,LEFT(C57,LEN(C57)-1))&gt;INDEX(Tabla_Combate,$AT$44,LEFT(C57,LEN(C57)-1)),"Par","Esq"),"-")</f>
        <v>-</v>
      </c>
      <c r="L59" s="4113">
        <f>IFERROR(INDEX(Tabla_Combate,$AT$45,LEFT(C57,LEN(C57)-1)),0)</f>
        <v>0</v>
      </c>
      <c r="M59" s="790"/>
      <c r="N59" s="4171" t="s">
        <v>1584</v>
      </c>
      <c r="O59" s="4172"/>
      <c r="P59" s="4173"/>
      <c r="Q59" s="4173"/>
      <c r="R59" s="4174"/>
      <c r="S59" s="4117">
        <f>IFERROR(INDEX(Tabla_Combate,$AT$41,LEFT(N57,LEN(N57)-1)),0)</f>
        <v>0</v>
      </c>
      <c r="T59" s="4048">
        <f>IFERROR(INDEX(Tabla_Combate,$AT$42,LEFT(N57,LEN(N57)-1)),0)</f>
        <v>0</v>
      </c>
      <c r="U59" s="4050">
        <f>IF(V59="-",0,IF(V59="Par",INDEX(Tabla_Combate,$AT$43,LEFT(N57,LEN(N57)-1)),INDEX(Tabla_Combate,$AT$44,LEFT(N57,LEN(N57)-1))))</f>
        <v>0</v>
      </c>
      <c r="V59" s="3298" t="str">
        <f>IFERROR(IF(INDEX(Tabla_Combate,$AT$43,LEFT(N57,LEN(N57)-1))&gt;INDEX(Tabla_Combate,$AT$44,LEFT(N57,LEN(N57)-1)),"Par","Esq"),"-")</f>
        <v>-</v>
      </c>
      <c r="W59" s="4113">
        <f>IFERROR(INDEX(Tabla_Combate,$AT$45,LEFT(N57,LEN(N57)-1)),0)</f>
        <v>0</v>
      </c>
      <c r="X59" s="790"/>
      <c r="Y59" s="10"/>
      <c r="Z59" s="10"/>
      <c r="AA59" s="1196"/>
      <c r="AB59" s="4017" t="str">
        <f>IF(PDs!E80=0,"",PDs!E80)</f>
        <v/>
      </c>
      <c r="AC59" s="4017"/>
      <c r="AD59" s="4017"/>
      <c r="AE59" s="4017"/>
      <c r="AF59" s="4017"/>
      <c r="AG59" s="4017"/>
      <c r="AH59" s="3408" t="str">
        <f>IF(AB59="","",VLOOKUP(AB59,Tabla_ArsMagnus,6,FALSE))</f>
        <v/>
      </c>
      <c r="AI59" s="3408"/>
      <c r="AJ59" s="3408"/>
      <c r="AK59" s="3408"/>
      <c r="AL59" s="3408"/>
      <c r="AM59" s="3408"/>
      <c r="AN59" s="3408"/>
      <c r="AO59" s="3408"/>
      <c r="AP59" s="3408"/>
      <c r="AQ59" s="3408"/>
      <c r="AR59" s="1272"/>
      <c r="AS59" s="1218"/>
      <c r="AT59" s="1872" t="s">
        <v>3198</v>
      </c>
      <c r="AU59" s="2915"/>
      <c r="AV59" s="2916" t="b">
        <f>AND(AV58,AU58)</f>
        <v>0</v>
      </c>
      <c r="AW59" s="2916" t="b">
        <f>AND(AW58,OR(AU58,AV58))</f>
        <v>0</v>
      </c>
      <c r="AX59" s="2916" t="b">
        <f>AND(AX58,OR(AV58,AW58,AU58))</f>
        <v>0</v>
      </c>
      <c r="AY59" s="1893"/>
      <c r="AZ59" s="1893"/>
      <c r="BA59" s="1872"/>
      <c r="BB59" s="1872"/>
      <c r="BC59" s="1872"/>
      <c r="BD59" s="1872"/>
      <c r="BE59" s="1872"/>
      <c r="BF59" s="1872"/>
      <c r="BG59" s="1872"/>
      <c r="BH59" s="1872"/>
      <c r="BI59" s="1872"/>
    </row>
    <row r="60" spans="1:61" ht="12" customHeight="1" x14ac:dyDescent="0.2">
      <c r="A60" s="10"/>
      <c r="B60" s="1233"/>
      <c r="C60" s="4039" t="str">
        <f>IF(E58=0,"",VLOOKUP(E58,Tabla_ArmasyEscudos,9,FALSE))</f>
        <v/>
      </c>
      <c r="D60" s="4040"/>
      <c r="E60" s="1928" t="s">
        <v>1580</v>
      </c>
      <c r="F60" s="4115" t="s">
        <v>1581</v>
      </c>
      <c r="G60" s="4116"/>
      <c r="H60" s="4117"/>
      <c r="I60" s="4049"/>
      <c r="J60" s="4051"/>
      <c r="K60" s="4072"/>
      <c r="L60" s="4114"/>
      <c r="M60" s="790"/>
      <c r="N60" s="4039" t="str">
        <f>IF(P58=0,"",VLOOKUP(P58,Tabla_ArmasyEscudos,9,FALSE))</f>
        <v/>
      </c>
      <c r="O60" s="4040"/>
      <c r="P60" s="1928" t="s">
        <v>1580</v>
      </c>
      <c r="Q60" s="4115" t="s">
        <v>1581</v>
      </c>
      <c r="R60" s="4116"/>
      <c r="S60" s="4117"/>
      <c r="T60" s="4049"/>
      <c r="U60" s="4051"/>
      <c r="V60" s="4072"/>
      <c r="W60" s="4114"/>
      <c r="X60" s="614"/>
      <c r="Y60" s="10"/>
      <c r="Z60" s="10"/>
      <c r="AA60" s="1196"/>
      <c r="AB60" s="4017"/>
      <c r="AC60" s="4017"/>
      <c r="AD60" s="4017"/>
      <c r="AE60" s="4017"/>
      <c r="AF60" s="4017"/>
      <c r="AG60" s="4017"/>
      <c r="AH60" s="3408"/>
      <c r="AI60" s="3408"/>
      <c r="AJ60" s="3408"/>
      <c r="AK60" s="3408"/>
      <c r="AL60" s="3408"/>
      <c r="AM60" s="3408"/>
      <c r="AN60" s="3408"/>
      <c r="AO60" s="3408"/>
      <c r="AP60" s="3408"/>
      <c r="AQ60" s="3408"/>
      <c r="AR60" s="1272"/>
      <c r="AS60" s="1218"/>
      <c r="AT60" s="1872"/>
      <c r="AU60" s="1872"/>
      <c r="AV60" s="1872"/>
      <c r="AW60" s="1872"/>
      <c r="AX60" s="1872"/>
      <c r="AY60" s="2910"/>
      <c r="AZ60" s="1872"/>
      <c r="BA60" s="1872"/>
      <c r="BB60" s="1872"/>
      <c r="BC60" s="1872"/>
      <c r="BD60" s="1872"/>
      <c r="BE60" s="1872"/>
      <c r="BF60" s="1872"/>
      <c r="BG60" s="1872"/>
      <c r="BH60" s="1872"/>
      <c r="BI60" s="1872"/>
    </row>
    <row r="61" spans="1:61" ht="12" customHeight="1" x14ac:dyDescent="0.2">
      <c r="A61" s="10"/>
      <c r="B61" s="1233"/>
      <c r="C61" s="1498" t="s">
        <v>1572</v>
      </c>
      <c r="D61" s="1499" t="s">
        <v>1573</v>
      </c>
      <c r="E61" s="1499" t="s">
        <v>1561</v>
      </c>
      <c r="F61" s="1499" t="s">
        <v>1574</v>
      </c>
      <c r="G61" s="287" t="s">
        <v>1562</v>
      </c>
      <c r="H61" s="4144" t="s">
        <v>8874</v>
      </c>
      <c r="I61" s="4145"/>
      <c r="J61" s="1613"/>
      <c r="K61" s="4163" t="str">
        <f>IF(Tablas!$G$508&gt;0,"-50 a puntería","")</f>
        <v/>
      </c>
      <c r="L61" s="4164"/>
      <c r="M61" s="790"/>
      <c r="N61" s="1498" t="s">
        <v>1572</v>
      </c>
      <c r="O61" s="1499" t="s">
        <v>1573</v>
      </c>
      <c r="P61" s="1499" t="s">
        <v>1561</v>
      </c>
      <c r="Q61" s="1499" t="s">
        <v>1574</v>
      </c>
      <c r="R61" s="287" t="s">
        <v>1562</v>
      </c>
      <c r="S61" s="4144" t="s">
        <v>8874</v>
      </c>
      <c r="T61" s="4145"/>
      <c r="U61" s="1613"/>
      <c r="V61" s="4163" t="str">
        <f>IF(Tablas!$G$508&gt;0,"-50 a puntería","")</f>
        <v/>
      </c>
      <c r="W61" s="4164"/>
      <c r="X61" s="614"/>
      <c r="Y61" s="10"/>
      <c r="Z61" s="10"/>
      <c r="AA61" s="1196"/>
      <c r="AB61" s="4017" t="str">
        <f>IF(PDs!E81=0,"",PDs!E81)</f>
        <v/>
      </c>
      <c r="AC61" s="4017"/>
      <c r="AD61" s="4017"/>
      <c r="AE61" s="4017"/>
      <c r="AF61" s="4017"/>
      <c r="AG61" s="4017"/>
      <c r="AH61" s="3408" t="str">
        <f>IF(AB61="","",VLOOKUP(AB61,Tabla_ArsMagnus,6,FALSE))</f>
        <v/>
      </c>
      <c r="AI61" s="3408"/>
      <c r="AJ61" s="3408"/>
      <c r="AK61" s="3408"/>
      <c r="AL61" s="3408"/>
      <c r="AM61" s="3408"/>
      <c r="AN61" s="3408"/>
      <c r="AO61" s="3408"/>
      <c r="AP61" s="3408"/>
      <c r="AQ61" s="3408"/>
      <c r="AR61" s="1272"/>
      <c r="AS61" s="1218"/>
      <c r="AT61" s="1872"/>
      <c r="AU61" s="1872">
        <v>1</v>
      </c>
      <c r="AV61" s="1872">
        <v>2</v>
      </c>
      <c r="AW61" s="1872">
        <v>3</v>
      </c>
      <c r="AX61" s="1872">
        <v>4</v>
      </c>
      <c r="AY61" s="1872">
        <v>5</v>
      </c>
      <c r="AZ61" s="1872">
        <v>6</v>
      </c>
      <c r="BA61" s="1872"/>
      <c r="BB61" s="1872"/>
      <c r="BC61" s="1872"/>
      <c r="BD61" s="1872"/>
      <c r="BE61" s="1872"/>
      <c r="BF61" s="1872"/>
      <c r="BG61" s="1872"/>
      <c r="BH61" s="1872"/>
      <c r="BI61" s="1872"/>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165" t="s">
        <v>8888</v>
      </c>
      <c r="I62" s="4166"/>
      <c r="J62" s="1613"/>
      <c r="K62" s="4167" t="str">
        <f>IF(F60=0,IF(J62&lt;=0,"","TA defensor: -"&amp;J62/5),IF(Tamaño&lt;VLOOKUP(F60,Tabla_ArmasEnormes,2,FALSE),"Tam. excesivo",IF(J62&lt;=0,"","TA defensor: -"&amp;J62/5)))</f>
        <v/>
      </c>
      <c r="L62" s="4168"/>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165" t="s">
        <v>8888</v>
      </c>
      <c r="T62" s="4166"/>
      <c r="U62" s="1613"/>
      <c r="V62" s="4167" t="str">
        <f>IF(Q60=0,IF(U62&lt;=0,"","TA defensor: -"&amp;U62/5),IF(Tamaño&lt;VLOOKUP(Q60,Tabla_ArmasEnormes,2,FALSE),"Tam. excesivo",IF(U62&lt;=0,"","TA defensor: -"&amp;U62/5)))</f>
        <v/>
      </c>
      <c r="W62" s="4168"/>
      <c r="X62" s="614"/>
      <c r="Y62" s="10"/>
      <c r="Z62" s="10"/>
      <c r="AA62" s="1196"/>
      <c r="AB62" s="4017"/>
      <c r="AC62" s="4017"/>
      <c r="AD62" s="4017"/>
      <c r="AE62" s="4017"/>
      <c r="AF62" s="4017"/>
      <c r="AG62" s="4017"/>
      <c r="AH62" s="3408"/>
      <c r="AI62" s="3408"/>
      <c r="AJ62" s="3408"/>
      <c r="AK62" s="3408"/>
      <c r="AL62" s="3408"/>
      <c r="AM62" s="3408"/>
      <c r="AN62" s="3408"/>
      <c r="AO62" s="3408"/>
      <c r="AP62" s="3408"/>
      <c r="AQ62" s="3408"/>
      <c r="AR62" s="1272"/>
      <c r="AS62" s="1218"/>
      <c r="AT62" s="1872" t="s">
        <v>8862</v>
      </c>
      <c r="AU62" s="1872" t="str">
        <f>IF(OR(Tablas!Y851,Tablas!Y885),"PEN","-")</f>
        <v>-</v>
      </c>
      <c r="AV62" s="1872" t="str">
        <f>IF(OR(Tablas!Y885,Tablas!R1343&gt;0),"FIL","-")</f>
        <v>-</v>
      </c>
      <c r="AW62" s="1872" t="str">
        <f>IF(OR(Tablas!Y915,Tablas!Y916),"ENE","-")</f>
        <v>-</v>
      </c>
      <c r="AX62" s="1872" t="str">
        <f>IF(Tablas!R1342&gt;0,"CAL","-")</f>
        <v>-</v>
      </c>
      <c r="AY62" s="2910" t="str">
        <f>IF(Tablas!R1344&gt;0,"FRI","-")</f>
        <v>-</v>
      </c>
      <c r="AZ62" s="1872" t="str">
        <f>IF(OR(Tablas!R1343&gt;0,Tablas!R1344&gt;0),"CON","-")</f>
        <v>-</v>
      </c>
      <c r="BA62" s="1872"/>
      <c r="BB62" s="1872"/>
      <c r="BC62" s="1872"/>
      <c r="BD62" s="1872"/>
      <c r="BE62" s="1872"/>
      <c r="BF62" s="1872"/>
      <c r="BG62" s="1872"/>
      <c r="BH62" s="1872"/>
      <c r="BI62" s="1872"/>
    </row>
    <row r="63" spans="1:61" ht="12" customHeight="1" thickBot="1" x14ac:dyDescent="0.25">
      <c r="A63" s="10"/>
      <c r="B63" s="1233"/>
      <c r="C63" s="1498" t="s">
        <v>1585</v>
      </c>
      <c r="D63" s="1905" t="s">
        <v>1586</v>
      </c>
      <c r="E63" s="4175" t="str">
        <f>IF(E58=0,"",IF(E58="Armas naturales",D65,C65))</f>
        <v/>
      </c>
      <c r="F63" s="4176"/>
      <c r="G63" s="4176"/>
      <c r="H63" s="4176"/>
      <c r="I63" s="4176"/>
      <c r="J63" s="4177"/>
      <c r="K63" s="4146" t="s">
        <v>8529</v>
      </c>
      <c r="L63" s="4147"/>
      <c r="M63" s="790"/>
      <c r="N63" s="1498" t="s">
        <v>1585</v>
      </c>
      <c r="O63" s="1905" t="s">
        <v>1586</v>
      </c>
      <c r="P63" s="4175" t="str">
        <f>IF(P58=0,"",IF(P58="Armas naturales",O65,N65))</f>
        <v/>
      </c>
      <c r="Q63" s="4176"/>
      <c r="R63" s="4176"/>
      <c r="S63" s="4176"/>
      <c r="T63" s="4176"/>
      <c r="U63" s="4177"/>
      <c r="V63" s="4146" t="s">
        <v>8529</v>
      </c>
      <c r="W63" s="4147"/>
      <c r="X63" s="1197"/>
      <c r="Y63" s="10"/>
      <c r="Z63" s="10"/>
      <c r="AA63" s="1196"/>
      <c r="AB63" s="4027" t="str">
        <f>IF(PDs!E82=0,"",PDs!E82)</f>
        <v/>
      </c>
      <c r="AC63" s="4027"/>
      <c r="AD63" s="4027"/>
      <c r="AE63" s="4027"/>
      <c r="AF63" s="4027"/>
      <c r="AG63" s="4027"/>
      <c r="AH63" s="4184" t="str">
        <f>IF(AB63="","",VLOOKUP(AB63,Tabla_ArsMagnus,6,FALSE))</f>
        <v/>
      </c>
      <c r="AI63" s="4184"/>
      <c r="AJ63" s="4184"/>
      <c r="AK63" s="4184"/>
      <c r="AL63" s="4184"/>
      <c r="AM63" s="4184"/>
      <c r="AN63" s="4184"/>
      <c r="AO63" s="4184"/>
      <c r="AP63" s="4184"/>
      <c r="AQ63" s="4184"/>
      <c r="AR63" s="1272"/>
      <c r="AS63" s="1218"/>
      <c r="AT63" s="1872" t="s">
        <v>8705</v>
      </c>
      <c r="AU63" s="2915" t="b">
        <f t="shared" ref="AU63:AZ63" si="11">AU62&lt;&gt;"-"</f>
        <v>0</v>
      </c>
      <c r="AV63" s="2915" t="b">
        <f t="shared" si="11"/>
        <v>0</v>
      </c>
      <c r="AW63" s="2915" t="b">
        <f t="shared" si="11"/>
        <v>0</v>
      </c>
      <c r="AX63" s="2915" t="b">
        <f t="shared" si="11"/>
        <v>0</v>
      </c>
      <c r="AY63" s="2915" t="b">
        <f t="shared" si="11"/>
        <v>0</v>
      </c>
      <c r="AZ63" s="2915" t="b">
        <f t="shared" si="11"/>
        <v>0</v>
      </c>
      <c r="BA63" s="1872"/>
      <c r="BB63" s="1872"/>
      <c r="BC63" s="1872"/>
      <c r="BD63" s="1872"/>
      <c r="BE63" s="1872"/>
      <c r="BF63" s="1872"/>
      <c r="BG63" s="1872"/>
      <c r="BH63" s="1872"/>
      <c r="BI63" s="1872"/>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178" t="str">
        <f>IF(E59=0,"",VLOOKUP(E59,Tabla_ArmasyEscudos,19,FALSE))</f>
        <v/>
      </c>
      <c r="F64" s="4179"/>
      <c r="G64" s="4179"/>
      <c r="H64" s="4179"/>
      <c r="I64" s="4179"/>
      <c r="J64" s="4180"/>
      <c r="K64" s="4150" t="s">
        <v>1384</v>
      </c>
      <c r="L64" s="4151"/>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178" t="str">
        <f>IF(P59=0,"",VLOOKUP(P59,Tabla_ArmasyEscudos,19,FALSE))</f>
        <v/>
      </c>
      <c r="Q64" s="4179"/>
      <c r="R64" s="4179"/>
      <c r="S64" s="4179"/>
      <c r="T64" s="4179"/>
      <c r="U64" s="4180"/>
      <c r="V64" s="4150" t="s">
        <v>1384</v>
      </c>
      <c r="W64" s="4151"/>
      <c r="X64" s="614"/>
      <c r="Y64" s="10"/>
      <c r="Z64" s="10"/>
      <c r="AA64" s="1196"/>
      <c r="AB64" s="4027"/>
      <c r="AC64" s="4027"/>
      <c r="AD64" s="4027"/>
      <c r="AE64" s="4027"/>
      <c r="AF64" s="4027"/>
      <c r="AG64" s="4027"/>
      <c r="AH64" s="4184"/>
      <c r="AI64" s="4184"/>
      <c r="AJ64" s="4184"/>
      <c r="AK64" s="4184"/>
      <c r="AL64" s="4184"/>
      <c r="AM64" s="4184"/>
      <c r="AN64" s="4184"/>
      <c r="AO64" s="4184"/>
      <c r="AP64" s="4184"/>
      <c r="AQ64" s="4184"/>
      <c r="AR64" s="1272"/>
      <c r="AS64" s="1218"/>
      <c r="AT64" s="1872" t="s">
        <v>3198</v>
      </c>
      <c r="AU64" s="2915"/>
      <c r="AV64" s="2915" t="b">
        <f>AND(AV63,AU63)</f>
        <v>0</v>
      </c>
      <c r="AW64" s="2915" t="b">
        <f>AND(AW63,OR(AU63,AV63))</f>
        <v>0</v>
      </c>
      <c r="AX64" s="2915" t="b">
        <f>AND(AX63,OR(AU63,AV63,AW63))</f>
        <v>0</v>
      </c>
      <c r="AY64" s="2917" t="b">
        <f>AND(AY63,OR(AU63,AV63,AW63,AX63))</f>
        <v>0</v>
      </c>
      <c r="AZ64" s="2915" t="b">
        <f>AND(AZ63,OR(AU63,AV63,AW63,AX63,AY63))</f>
        <v>0</v>
      </c>
      <c r="BA64" s="1872"/>
      <c r="BB64" s="1872"/>
      <c r="BC64" s="1872"/>
      <c r="BD64" s="1872"/>
      <c r="BE64" s="1872"/>
      <c r="BF64" s="1872"/>
      <c r="BG64" s="1872"/>
      <c r="BH64" s="1872"/>
      <c r="BI64" s="1872"/>
    </row>
    <row r="65" spans="1:61" ht="12" customHeight="1" thickBot="1" x14ac:dyDescent="0.25">
      <c r="A65" s="10"/>
      <c r="B65" s="1233"/>
      <c r="C65" s="612" t="e">
        <f>VLOOKUP(E58,Tabla_ArmasyEscudos,19,FALSE)</f>
        <v>#N/A</v>
      </c>
      <c r="D65" s="612" t="str">
        <f>IF(Tablas!$R$1628&gt;0,C65,"Armas naturales a distancia no disponibles")</f>
        <v>Armas naturales a distancia no disponibles</v>
      </c>
      <c r="M65" s="612"/>
      <c r="N65" s="612" t="e">
        <f>VLOOKUP(P58,Tabla_ArmasyEscudos,19,FALSE)</f>
        <v>#N/A</v>
      </c>
      <c r="O65" s="612" t="str">
        <f>IF(Tablas!$R$1628&gt;0,N65,"Armas naturales a distancia no disponibles")</f>
        <v>Armas naturales a distancia no disponibles</v>
      </c>
      <c r="X65" s="614"/>
      <c r="Y65" s="10"/>
      <c r="Z65" s="10"/>
      <c r="AA65" s="513"/>
      <c r="AR65" s="1272"/>
      <c r="AS65" s="1218"/>
      <c r="AT65" s="1872"/>
      <c r="AU65" s="1893"/>
      <c r="AV65" s="1893"/>
      <c r="AW65" s="1893"/>
      <c r="AX65" s="1872"/>
      <c r="AY65" s="1872"/>
      <c r="AZ65" s="2910"/>
      <c r="BA65" s="1872"/>
      <c r="BB65" s="1872"/>
      <c r="BC65" s="1872"/>
      <c r="BD65" s="1872"/>
      <c r="BE65" s="1872"/>
      <c r="BF65" s="1872"/>
      <c r="BG65" s="1872"/>
      <c r="BH65" s="1872"/>
      <c r="BI65" s="1872"/>
    </row>
    <row r="66" spans="1:61" ht="12" customHeight="1" thickBot="1" x14ac:dyDescent="0.25">
      <c r="A66" s="10"/>
      <c r="B66" s="1233"/>
      <c r="C66" s="2998" t="s">
        <v>9815</v>
      </c>
      <c r="D66" s="2999"/>
      <c r="E66" s="2999"/>
      <c r="F66" s="2999"/>
      <c r="G66" s="2999"/>
      <c r="H66" s="2999"/>
      <c r="I66" s="2999"/>
      <c r="J66" s="2999"/>
      <c r="K66" s="2999"/>
      <c r="L66" s="2999"/>
      <c r="M66" s="2999"/>
      <c r="N66" s="2999"/>
      <c r="O66" s="2999"/>
      <c r="P66" s="2999"/>
      <c r="Q66" s="2999"/>
      <c r="R66" s="2999"/>
      <c r="S66" s="2999"/>
      <c r="T66" s="2999"/>
      <c r="U66" s="2999"/>
      <c r="V66" s="2999"/>
      <c r="W66" s="3000"/>
      <c r="X66" s="614"/>
      <c r="Y66" s="10"/>
      <c r="Z66" s="10"/>
      <c r="AA66" s="513"/>
      <c r="AB66" s="3197" t="s">
        <v>9816</v>
      </c>
      <c r="AC66" s="3198"/>
      <c r="AD66" s="3198"/>
      <c r="AE66" s="3198"/>
      <c r="AF66" s="3198"/>
      <c r="AG66" s="3198"/>
      <c r="AH66" s="3198"/>
      <c r="AI66" s="3198"/>
      <c r="AJ66" s="3198"/>
      <c r="AK66" s="3198"/>
      <c r="AL66" s="3198"/>
      <c r="AM66" s="3198"/>
      <c r="AN66" s="3198"/>
      <c r="AO66" s="3198"/>
      <c r="AP66" s="3198"/>
      <c r="AQ66" s="3199"/>
      <c r="AR66" s="1272"/>
      <c r="AS66" s="1218"/>
      <c r="AT66" s="1872"/>
      <c r="AU66" s="1893"/>
      <c r="AV66" s="1893"/>
      <c r="AW66" s="1893"/>
      <c r="AX66" s="1872"/>
      <c r="AY66" s="1872"/>
      <c r="AZ66" s="2910"/>
      <c r="BA66" s="1872"/>
      <c r="BB66" s="1872"/>
      <c r="BC66" s="1872"/>
      <c r="BD66" s="1872"/>
      <c r="BE66" s="1872"/>
      <c r="BF66" s="1872"/>
      <c r="BG66" s="1872"/>
      <c r="BH66" s="1872"/>
      <c r="BI66" s="1872"/>
    </row>
    <row r="67" spans="1:61" ht="12" customHeight="1" x14ac:dyDescent="0.2">
      <c r="A67" s="10"/>
      <c r="B67" s="1233"/>
      <c r="C67" s="3956"/>
      <c r="D67" s="3514"/>
      <c r="E67" s="3514"/>
      <c r="F67" s="3514"/>
      <c r="G67" s="3514"/>
      <c r="H67" s="3514"/>
      <c r="I67" s="3514"/>
      <c r="J67" s="3514"/>
      <c r="K67" s="3514"/>
      <c r="L67" s="3514"/>
      <c r="M67" s="3514"/>
      <c r="N67" s="3514"/>
      <c r="O67" s="3514"/>
      <c r="P67" s="3514"/>
      <c r="Q67" s="3514"/>
      <c r="R67" s="3514"/>
      <c r="S67" s="3514"/>
      <c r="T67" s="3514"/>
      <c r="U67" s="3514"/>
      <c r="V67" s="3514"/>
      <c r="W67" s="3957"/>
      <c r="X67" s="614"/>
      <c r="Y67" s="10"/>
      <c r="Z67" s="10"/>
      <c r="AA67" s="513"/>
      <c r="AB67" s="3953"/>
      <c r="AC67" s="3954"/>
      <c r="AD67" s="3954"/>
      <c r="AE67" s="3954"/>
      <c r="AF67" s="3954"/>
      <c r="AG67" s="3954"/>
      <c r="AH67" s="3954"/>
      <c r="AI67" s="3954"/>
      <c r="AJ67" s="3954"/>
      <c r="AK67" s="3954"/>
      <c r="AL67" s="3954"/>
      <c r="AM67" s="3954"/>
      <c r="AN67" s="3954"/>
      <c r="AO67" s="3954"/>
      <c r="AP67" s="3954"/>
      <c r="AQ67" s="3955"/>
      <c r="AR67" s="1272"/>
      <c r="AS67" s="1218"/>
      <c r="AT67" s="1872"/>
      <c r="AU67" s="1872"/>
      <c r="AV67" s="1872"/>
      <c r="AW67" s="1872"/>
      <c r="AX67" s="1872"/>
      <c r="AY67" s="1872"/>
      <c r="AZ67" s="1872"/>
      <c r="BA67" s="1872"/>
      <c r="BB67" s="1872"/>
      <c r="BC67" s="1872"/>
      <c r="BD67" s="1872"/>
      <c r="BE67" s="1872"/>
      <c r="BF67" s="1872"/>
      <c r="BG67" s="1872"/>
      <c r="BH67" s="1872"/>
      <c r="BI67" s="1872"/>
    </row>
    <row r="68" spans="1:61" ht="12" customHeight="1" x14ac:dyDescent="0.2">
      <c r="A68" s="10"/>
      <c r="B68" s="1233"/>
      <c r="C68" s="3956"/>
      <c r="D68" s="3514"/>
      <c r="E68" s="3514"/>
      <c r="F68" s="3514"/>
      <c r="G68" s="3514"/>
      <c r="H68" s="3514"/>
      <c r="I68" s="3514"/>
      <c r="J68" s="3514"/>
      <c r="K68" s="3514"/>
      <c r="L68" s="3514"/>
      <c r="M68" s="3514"/>
      <c r="N68" s="3514"/>
      <c r="O68" s="3514"/>
      <c r="P68" s="3514"/>
      <c r="Q68" s="3514"/>
      <c r="R68" s="3514"/>
      <c r="S68" s="3514"/>
      <c r="T68" s="3514"/>
      <c r="U68" s="3514"/>
      <c r="V68" s="3514"/>
      <c r="W68" s="3957"/>
      <c r="X68" s="614"/>
      <c r="Y68" s="10"/>
      <c r="Z68" s="10"/>
      <c r="AA68" s="513"/>
      <c r="AB68" s="3956"/>
      <c r="AC68" s="3514"/>
      <c r="AD68" s="3514"/>
      <c r="AE68" s="3514"/>
      <c r="AF68" s="3514"/>
      <c r="AG68" s="3514"/>
      <c r="AH68" s="3514"/>
      <c r="AI68" s="3514"/>
      <c r="AJ68" s="3514"/>
      <c r="AK68" s="3514"/>
      <c r="AL68" s="3514"/>
      <c r="AM68" s="3514"/>
      <c r="AN68" s="3514"/>
      <c r="AO68" s="3514"/>
      <c r="AP68" s="3514"/>
      <c r="AQ68" s="3957"/>
      <c r="AR68" s="1272"/>
      <c r="AS68" s="1218"/>
      <c r="AT68" s="1872"/>
      <c r="AU68" s="1872"/>
      <c r="AV68" s="1872"/>
      <c r="AW68" s="1872"/>
      <c r="AX68" s="1872"/>
      <c r="AY68" s="1872"/>
      <c r="AZ68" s="1872"/>
      <c r="BA68" s="1872"/>
      <c r="BB68" s="1872"/>
      <c r="BC68" s="1872"/>
      <c r="BD68" s="1872"/>
      <c r="BE68" s="1872"/>
      <c r="BF68" s="1872"/>
      <c r="BG68" s="1872"/>
      <c r="BH68" s="1872"/>
      <c r="BI68" s="1872"/>
    </row>
    <row r="69" spans="1:61" ht="12" customHeight="1" x14ac:dyDescent="0.2">
      <c r="A69" s="10"/>
      <c r="B69" s="1233"/>
      <c r="C69" s="3956"/>
      <c r="D69" s="3514"/>
      <c r="E69" s="3514"/>
      <c r="F69" s="3514"/>
      <c r="G69" s="3514"/>
      <c r="H69" s="3514"/>
      <c r="I69" s="3514"/>
      <c r="J69" s="3514"/>
      <c r="K69" s="3514"/>
      <c r="L69" s="3514"/>
      <c r="M69" s="3514"/>
      <c r="N69" s="3514"/>
      <c r="O69" s="3514"/>
      <c r="P69" s="3514"/>
      <c r="Q69" s="3514"/>
      <c r="R69" s="3514"/>
      <c r="S69" s="3514"/>
      <c r="T69" s="3514"/>
      <c r="U69" s="3514"/>
      <c r="V69" s="3514"/>
      <c r="W69" s="3957"/>
      <c r="X69" s="614"/>
      <c r="Y69" s="10"/>
      <c r="Z69" s="10"/>
      <c r="AA69" s="513"/>
      <c r="AB69" s="3956"/>
      <c r="AC69" s="3514"/>
      <c r="AD69" s="3514"/>
      <c r="AE69" s="3514"/>
      <c r="AF69" s="3514"/>
      <c r="AG69" s="3514"/>
      <c r="AH69" s="3514"/>
      <c r="AI69" s="3514"/>
      <c r="AJ69" s="3514"/>
      <c r="AK69" s="3514"/>
      <c r="AL69" s="3514"/>
      <c r="AM69" s="3514"/>
      <c r="AN69" s="3514"/>
      <c r="AO69" s="3514"/>
      <c r="AP69" s="3514"/>
      <c r="AQ69" s="3957"/>
      <c r="AR69" s="1272"/>
      <c r="AS69" s="1218"/>
      <c r="AT69" s="1872"/>
      <c r="AU69" s="1872"/>
      <c r="AV69" s="1872"/>
      <c r="AW69" s="1872"/>
      <c r="AX69" s="1872"/>
      <c r="AY69" s="1872"/>
      <c r="AZ69" s="1872"/>
      <c r="BA69" s="1872"/>
      <c r="BB69" s="1872"/>
      <c r="BC69" s="1872"/>
      <c r="BD69" s="1872"/>
      <c r="BE69" s="1872"/>
      <c r="BF69" s="1872"/>
      <c r="BG69" s="1872"/>
      <c r="BH69" s="1872"/>
      <c r="BI69" s="1872"/>
    </row>
    <row r="70" spans="1:61" ht="12" customHeight="1" x14ac:dyDescent="0.2">
      <c r="A70" s="10"/>
      <c r="B70" s="1233"/>
      <c r="C70" s="3956"/>
      <c r="D70" s="3514"/>
      <c r="E70" s="3514"/>
      <c r="F70" s="3514"/>
      <c r="G70" s="3514"/>
      <c r="H70" s="3514"/>
      <c r="I70" s="3514"/>
      <c r="J70" s="3514"/>
      <c r="K70" s="3514"/>
      <c r="L70" s="3514"/>
      <c r="M70" s="3514"/>
      <c r="N70" s="3514"/>
      <c r="O70" s="3514"/>
      <c r="P70" s="3514"/>
      <c r="Q70" s="3514"/>
      <c r="R70" s="3514"/>
      <c r="S70" s="3514"/>
      <c r="T70" s="3514"/>
      <c r="U70" s="3514"/>
      <c r="V70" s="3514"/>
      <c r="W70" s="3957"/>
      <c r="X70" s="614"/>
      <c r="Y70" s="10"/>
      <c r="Z70" s="10"/>
      <c r="AA70" s="513"/>
      <c r="AB70" s="3956"/>
      <c r="AC70" s="3514"/>
      <c r="AD70" s="3514"/>
      <c r="AE70" s="3514"/>
      <c r="AF70" s="3514"/>
      <c r="AG70" s="3514"/>
      <c r="AH70" s="3514"/>
      <c r="AI70" s="3514"/>
      <c r="AJ70" s="3514"/>
      <c r="AK70" s="3514"/>
      <c r="AL70" s="3514"/>
      <c r="AM70" s="3514"/>
      <c r="AN70" s="3514"/>
      <c r="AO70" s="3514"/>
      <c r="AP70" s="3514"/>
      <c r="AQ70" s="3957"/>
      <c r="AR70" s="1272"/>
      <c r="AS70" s="1218"/>
      <c r="AT70" s="1872"/>
      <c r="AU70" s="1872"/>
      <c r="AV70" s="1872"/>
      <c r="AW70" s="1872"/>
      <c r="AX70" s="1872"/>
      <c r="AY70" s="1872"/>
      <c r="AZ70" s="1872"/>
      <c r="BA70" s="1872"/>
      <c r="BB70" s="1872"/>
      <c r="BC70" s="1872"/>
      <c r="BD70" s="1872"/>
      <c r="BE70" s="1872"/>
      <c r="BF70" s="1872"/>
      <c r="BG70" s="1872"/>
      <c r="BH70" s="1872"/>
      <c r="BI70" s="1872"/>
    </row>
    <row r="71" spans="1:61" ht="12" customHeight="1" thickBot="1" x14ac:dyDescent="0.25">
      <c r="A71" s="10"/>
      <c r="B71" s="1233"/>
      <c r="C71" s="3958"/>
      <c r="D71" s="3959"/>
      <c r="E71" s="3959"/>
      <c r="F71" s="3959"/>
      <c r="G71" s="3959"/>
      <c r="H71" s="3959"/>
      <c r="I71" s="3959"/>
      <c r="J71" s="3959"/>
      <c r="K71" s="3959"/>
      <c r="L71" s="3959"/>
      <c r="M71" s="3959"/>
      <c r="N71" s="3959"/>
      <c r="O71" s="3959"/>
      <c r="P71" s="3959"/>
      <c r="Q71" s="3959"/>
      <c r="R71" s="3959"/>
      <c r="S71" s="3959"/>
      <c r="T71" s="3959"/>
      <c r="U71" s="3959"/>
      <c r="V71" s="3959"/>
      <c r="W71" s="3960"/>
      <c r="X71" s="614"/>
      <c r="Y71" s="10"/>
      <c r="Z71" s="10"/>
      <c r="AA71" s="513"/>
      <c r="AB71" s="3958"/>
      <c r="AC71" s="3959"/>
      <c r="AD71" s="3959"/>
      <c r="AE71" s="3959"/>
      <c r="AF71" s="3959"/>
      <c r="AG71" s="3959"/>
      <c r="AH71" s="3959"/>
      <c r="AI71" s="3959"/>
      <c r="AJ71" s="3959"/>
      <c r="AK71" s="3959"/>
      <c r="AL71" s="3959"/>
      <c r="AM71" s="3959"/>
      <c r="AN71" s="3959"/>
      <c r="AO71" s="3959"/>
      <c r="AP71" s="3959"/>
      <c r="AQ71" s="3960"/>
      <c r="AR71" s="1272"/>
      <c r="AS71" s="1218"/>
      <c r="AT71" s="1872"/>
      <c r="AU71" s="1872"/>
      <c r="AV71" s="1872"/>
      <c r="AW71" s="1872"/>
      <c r="AX71" s="1872"/>
      <c r="AY71" s="1872"/>
      <c r="AZ71" s="1872"/>
      <c r="BA71" s="1872"/>
      <c r="BB71" s="1872"/>
      <c r="BC71" s="1872"/>
      <c r="BD71" s="1872"/>
      <c r="BE71" s="1872"/>
      <c r="BF71" s="1872"/>
      <c r="BG71" s="1872"/>
      <c r="BH71" s="1872"/>
      <c r="BI71" s="1872"/>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1872"/>
      <c r="AU72" s="1872"/>
      <c r="AV72" s="1872"/>
      <c r="AW72" s="1872"/>
      <c r="AX72" s="1872"/>
      <c r="AY72" s="1872"/>
      <c r="AZ72" s="1872"/>
      <c r="BA72" s="1872"/>
      <c r="BB72" s="1872"/>
      <c r="BC72" s="1872"/>
      <c r="BD72" s="1872"/>
      <c r="BE72" s="1872"/>
      <c r="BF72" s="1872"/>
      <c r="BG72" s="1872"/>
      <c r="BH72" s="1872"/>
      <c r="BI72" s="1872"/>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891"/>
      <c r="AU73" s="1872"/>
      <c r="AV73" s="1872"/>
      <c r="AW73" s="1872"/>
      <c r="AX73" s="1872"/>
      <c r="AY73" s="1872"/>
      <c r="AZ73" s="1872"/>
      <c r="BA73" s="1872"/>
      <c r="BB73" s="1872"/>
      <c r="BC73" s="1872"/>
      <c r="BD73" s="1872"/>
      <c r="BE73" s="1872"/>
      <c r="BF73" s="1872"/>
      <c r="BG73" s="1872"/>
      <c r="BH73" s="1872"/>
      <c r="BI73" s="1872"/>
    </row>
  </sheetData>
  <sheetProtection selectLockedCells="1"/>
  <mergeCells count="361">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AF35:AP35"/>
    <mergeCell ref="AF36:AP36"/>
    <mergeCell ref="AF37:AP37"/>
    <mergeCell ref="AH19:AQ19"/>
    <mergeCell ref="AJ4:AK4"/>
    <mergeCell ref="AL4:AP4"/>
    <mergeCell ref="AL14:AQ14"/>
    <mergeCell ref="AH10:AK10"/>
    <mergeCell ref="AL10:AQ10"/>
    <mergeCell ref="AH15:AK15"/>
    <mergeCell ref="AJ6:AP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s>
  <phoneticPr fontId="9" type="noConversion"/>
  <conditionalFormatting sqref="AH57:AQ62 AF40:AF45">
    <cfRule type="cellIs" dxfId="1186" priority="113" stopIfTrue="1" operator="equal">
      <formula>0</formula>
    </cfRule>
  </conditionalFormatting>
  <conditionalFormatting sqref="I23:L23">
    <cfRule type="expression" dxfId="1185" priority="101" stopIfTrue="1">
      <formula>OR($E$20="Sin equipo",$E$20="")</formula>
    </cfRule>
  </conditionalFormatting>
  <conditionalFormatting sqref="I23">
    <cfRule type="expression" dxfId="1184" priority="92">
      <formula>$H$23&lt;&gt;""</formula>
    </cfRule>
  </conditionalFormatting>
  <conditionalFormatting sqref="E28 E49">
    <cfRule type="expression" dxfId="1183" priority="5990" stopIfTrue="1">
      <formula>COUNTIF(INDIRECT($C28),$E28)=0</formula>
    </cfRule>
  </conditionalFormatting>
  <conditionalFormatting sqref="C28">
    <cfRule type="expression" dxfId="1182" priority="5995" stopIfTrue="1">
      <formula>AND(C28="A dos manos",COUNTIF($R$22:$W$25,$C27&amp;" "&amp;$E28))</formula>
    </cfRule>
  </conditionalFormatting>
  <conditionalFormatting sqref="U22:W25">
    <cfRule type="expression" dxfId="1181" priority="6005" stopIfTrue="1">
      <formula>COUNTIF($R$22:$T$25,U22)&gt;0</formula>
    </cfRule>
    <cfRule type="expression" dxfId="1180" priority="6006" stopIfTrue="1">
      <formula>$R22=$U22</formula>
    </cfRule>
  </conditionalFormatting>
  <conditionalFormatting sqref="R22:T25">
    <cfRule type="expression" dxfId="1179" priority="6007" stopIfTrue="1">
      <formula>COUNTIF($R$22:$W$25,$R22)&gt;1</formula>
    </cfRule>
  </conditionalFormatting>
  <conditionalFormatting sqref="C18:G18">
    <cfRule type="notContainsBlanks" dxfId="1178" priority="91">
      <formula>LEN(TRIM(C18))&gt;0</formula>
    </cfRule>
  </conditionalFormatting>
  <conditionalFormatting sqref="H18:S18">
    <cfRule type="notContainsBlanks" dxfId="1177" priority="90">
      <formula>LEN(TRIM(H18))&gt;0</formula>
    </cfRule>
  </conditionalFormatting>
  <conditionalFormatting sqref="P49">
    <cfRule type="expression" dxfId="1176" priority="87" stopIfTrue="1">
      <formula>COUNTIF(INDIRECT($X49),$P49)=0</formula>
    </cfRule>
  </conditionalFormatting>
  <conditionalFormatting sqref="P58">
    <cfRule type="expression" dxfId="1175" priority="86" stopIfTrue="1">
      <formula>COUNTIF(INDIRECT($X58),$P58)=0</formula>
    </cfRule>
  </conditionalFormatting>
  <conditionalFormatting sqref="E58">
    <cfRule type="expression" dxfId="1174" priority="83" stopIfTrue="1">
      <formula>COUNTIF(INDIRECT($C58),$E58)=0</formula>
    </cfRule>
  </conditionalFormatting>
  <conditionalFormatting sqref="AD14:AD16 AF14:AF16">
    <cfRule type="cellIs" dxfId="1173" priority="70" stopIfTrue="1" operator="lessThan">
      <formula>0</formula>
    </cfRule>
    <cfRule type="cellIs" dxfId="1172" priority="71" stopIfTrue="1" operator="greaterThan">
      <formula>0</formula>
    </cfRule>
  </conditionalFormatting>
  <conditionalFormatting sqref="E63:J63">
    <cfRule type="containsText" dxfId="1171" priority="69" operator="containsText" text="Armas naturales a distancia no disponibles">
      <formula>NOT(ISERROR(SEARCH("Armas naturales a distancia no disponibles",E63)))</formula>
    </cfRule>
  </conditionalFormatting>
  <conditionalFormatting sqref="P63:U63">
    <cfRule type="containsText" dxfId="1170" priority="68" operator="containsText" text="Armas naturales a distancia no disponibles">
      <formula>NOT(ISERROR(SEARCH("Armas naturales a distancia no disponibles",P63)))</formula>
    </cfRule>
  </conditionalFormatting>
  <conditionalFormatting sqref="P54:U54">
    <cfRule type="containsText" dxfId="1169" priority="67" operator="containsText" text="Armas naturales a distancia no disponibles">
      <formula>NOT(ISERROR(SEARCH("Armas naturales a distancia no disponibles",P54)))</formula>
    </cfRule>
  </conditionalFormatting>
  <conditionalFormatting sqref="E54:J54">
    <cfRule type="containsText" dxfId="1168" priority="66" operator="containsText" text="Armas naturales a distancia no disponibles">
      <formula>NOT(ISERROR(SEARCH("Armas naturales a distancia no disponibles",E54)))</formula>
    </cfRule>
  </conditionalFormatting>
  <conditionalFormatting sqref="C32:H32">
    <cfRule type="containsText" dxfId="1167" priority="59" operator="containsText" text="Armas naturales cuerpo a cuerpo no disponibles">
      <formula>NOT(ISERROR(SEARCH("Armas naturales cuerpo a cuerpo no disponibles",C32)))</formula>
    </cfRule>
    <cfRule type="containsText" dxfId="1166" priority="65" operator="containsText" text="Armas naturales no disponibles">
      <formula>NOT(ISERROR(SEARCH("Armas naturales no disponibles",C32)))</formula>
    </cfRule>
  </conditionalFormatting>
  <conditionalFormatting sqref="C28:D28">
    <cfRule type="expression" dxfId="1165" priority="38" stopIfTrue="1">
      <formula>AND(E28&lt;&gt;"",NOT(COUNTIF(INDIRECT(M28),E28)&gt;0))</formula>
    </cfRule>
  </conditionalFormatting>
  <conditionalFormatting sqref="N28">
    <cfRule type="expression" dxfId="1164" priority="37" stopIfTrue="1">
      <formula>AND(N28="A dos manos",COUNTIF($R$22:$W$25,$N27&amp;" "&amp;$P28))</formula>
    </cfRule>
  </conditionalFormatting>
  <conditionalFormatting sqref="N32:S32">
    <cfRule type="containsText" dxfId="1163" priority="34" operator="containsText" text="Armas naturales cuerpo a cuerpo no disponibles">
      <formula>NOT(ISERROR(SEARCH("Armas naturales cuerpo a cuerpo no disponibles",N32)))</formula>
    </cfRule>
    <cfRule type="containsText" dxfId="1162" priority="35" operator="containsText" text="Armas naturales no disponibles">
      <formula>NOT(ISERROR(SEARCH("Armas naturales no disponibles",N32)))</formula>
    </cfRule>
  </conditionalFormatting>
  <conditionalFormatting sqref="N28:O28">
    <cfRule type="expression" dxfId="1161" priority="33" stopIfTrue="1">
      <formula>AND(P28&lt;&gt;"",NOT(COUNTIF(INDIRECT(X28),P28)&gt;0))</formula>
    </cfRule>
  </conditionalFormatting>
  <conditionalFormatting sqref="E35">
    <cfRule type="expression" dxfId="1160" priority="31" stopIfTrue="1">
      <formula>COUNTIF(INDIRECT($C35),$E35)=0</formula>
    </cfRule>
  </conditionalFormatting>
  <conditionalFormatting sqref="C35">
    <cfRule type="expression" dxfId="1159" priority="32" stopIfTrue="1">
      <formula>AND(C35="A dos manos",COUNTIF($R$22:$W$25,$C34&amp;" "&amp;$E35))</formula>
    </cfRule>
  </conditionalFormatting>
  <conditionalFormatting sqref="C39:H39">
    <cfRule type="containsText" dxfId="1158" priority="29" operator="containsText" text="Armas naturales cuerpo a cuerpo no disponibles">
      <formula>NOT(ISERROR(SEARCH("Armas naturales cuerpo a cuerpo no disponibles",C39)))</formula>
    </cfRule>
    <cfRule type="containsText" dxfId="1157" priority="30" operator="containsText" text="Armas naturales no disponibles">
      <formula>NOT(ISERROR(SEARCH("Armas naturales no disponibles",C39)))</formula>
    </cfRule>
  </conditionalFormatting>
  <conditionalFormatting sqref="C35:D35">
    <cfRule type="expression" dxfId="1156" priority="28" stopIfTrue="1">
      <formula>AND(E35&lt;&gt;"",NOT(COUNTIF(INDIRECT(M35),E35)&gt;0))</formula>
    </cfRule>
  </conditionalFormatting>
  <conditionalFormatting sqref="N35">
    <cfRule type="expression" dxfId="1155" priority="27" stopIfTrue="1">
      <formula>AND(N35="A dos manos",COUNTIF($R$22:$W$25,$N34&amp;" "&amp;$P35))</formula>
    </cfRule>
  </conditionalFormatting>
  <conditionalFormatting sqref="N39:S39">
    <cfRule type="containsText" dxfId="1154" priority="24" operator="containsText" text="Armas naturales cuerpo a cuerpo no disponibles">
      <formula>NOT(ISERROR(SEARCH("Armas naturales cuerpo a cuerpo no disponibles",N39)))</formula>
    </cfRule>
    <cfRule type="containsText" dxfId="1153" priority="25" operator="containsText" text="Armas naturales no disponibles">
      <formula>NOT(ISERROR(SEARCH("Armas naturales no disponibles",N39)))</formula>
    </cfRule>
  </conditionalFormatting>
  <conditionalFormatting sqref="N35:O35">
    <cfRule type="expression" dxfId="1152" priority="23" stopIfTrue="1">
      <formula>AND(P35&lt;&gt;"",NOT(COUNTIF(INDIRECT(X35),P35)&gt;0))</formula>
    </cfRule>
  </conditionalFormatting>
  <conditionalFormatting sqref="C42">
    <cfRule type="expression" dxfId="1151" priority="22" stopIfTrue="1">
      <formula>AND(C42="A dos manos",COUNTIF($R$22:$W$25,$C41&amp;" "&amp;$E42))</formula>
    </cfRule>
  </conditionalFormatting>
  <conditionalFormatting sqref="C46:H46">
    <cfRule type="containsText" dxfId="1150" priority="19" operator="containsText" text="Armas naturales cuerpo a cuerpo no disponibles">
      <formula>NOT(ISERROR(SEARCH("Armas naturales cuerpo a cuerpo no disponibles",C46)))</formula>
    </cfRule>
    <cfRule type="containsText" dxfId="1149" priority="20" operator="containsText" text="Armas naturales no disponibles">
      <formula>NOT(ISERROR(SEARCH("Armas naturales no disponibles",C46)))</formula>
    </cfRule>
  </conditionalFormatting>
  <conditionalFormatting sqref="C42:D42">
    <cfRule type="expression" dxfId="1148" priority="18" stopIfTrue="1">
      <formula>AND(E42&lt;&gt;"",NOT(COUNTIF(INDIRECT(M42),E42)&gt;0))</formula>
    </cfRule>
  </conditionalFormatting>
  <conditionalFormatting sqref="N42">
    <cfRule type="expression" dxfId="1147" priority="17" stopIfTrue="1">
      <formula>AND(N42="A dos manos",COUNTIF($R$22:$W$25,$N41&amp;" "&amp;$P42))</formula>
    </cfRule>
  </conditionalFormatting>
  <conditionalFormatting sqref="N46:S46">
    <cfRule type="containsText" dxfId="1146" priority="14" operator="containsText" text="Armas naturales cuerpo a cuerpo no disponibles">
      <formula>NOT(ISERROR(SEARCH("Armas naturales cuerpo a cuerpo no disponibles",N46)))</formula>
    </cfRule>
    <cfRule type="containsText" dxfId="1145" priority="15" operator="containsText" text="Armas naturales no disponibles">
      <formula>NOT(ISERROR(SEARCH("Armas naturales no disponibles",N46)))</formula>
    </cfRule>
  </conditionalFormatting>
  <conditionalFormatting sqref="N42:O42">
    <cfRule type="expression" dxfId="1144" priority="13" stopIfTrue="1">
      <formula>AND(P42&lt;&gt;"",NOT(COUNTIF(INDIRECT(X42),P42)&gt;0))</formula>
    </cfRule>
  </conditionalFormatting>
  <conditionalFormatting sqref="C13:E13">
    <cfRule type="expression" dxfId="1143" priority="8717" stopIfTrue="1">
      <formula>AND($AX$19="Dura",$AX$18="Dura")</formula>
    </cfRule>
    <cfRule type="expression" dxfId="1142" priority="8718" stopIfTrue="1">
      <formula>AND($AX$19="Natural",$AX$18="Natural")</formula>
    </cfRule>
  </conditionalFormatting>
  <conditionalFormatting sqref="C14:E14">
    <cfRule type="expression" dxfId="1141" priority="8719" stopIfTrue="1">
      <formula>AND($AX$20="Dura",OR($AX$19="Dura",$AX$18="Dura"))</formula>
    </cfRule>
    <cfRule type="expression" dxfId="1140" priority="8720" stopIfTrue="1">
      <formula>AND($AX$20="Natural",OR($AX$19="Natural",$AX$18="Natural"))</formula>
    </cfRule>
  </conditionalFormatting>
  <conditionalFormatting sqref="P35">
    <cfRule type="expression" dxfId="1139" priority="12" stopIfTrue="1">
      <formula>COUNTIF(INDIRECT($C35),$E35)=0</formula>
    </cfRule>
  </conditionalFormatting>
  <conditionalFormatting sqref="P28">
    <cfRule type="expression" dxfId="1138" priority="11" stopIfTrue="1">
      <formula>COUNTIF(INDIRECT($C28),$E28)=0</formula>
    </cfRule>
  </conditionalFormatting>
  <conditionalFormatting sqref="E42">
    <cfRule type="expression" dxfId="1137" priority="10" stopIfTrue="1">
      <formula>COUNTIF(INDIRECT($C42),$E42)=0</formula>
    </cfRule>
  </conditionalFormatting>
  <conditionalFormatting sqref="P42">
    <cfRule type="expression" dxfId="1136" priority="9" stopIfTrue="1">
      <formula>COUNTIF(INDIRECT($C42),$E42)=0</formula>
    </cfRule>
  </conditionalFormatting>
  <conditionalFormatting sqref="C49">
    <cfRule type="expression" dxfId="1135" priority="8" stopIfTrue="1">
      <formula>AND(C49="A dos manos",COUNTIF($R$22:$W$25,$C48&amp;" "&amp;$E49))</formula>
    </cfRule>
  </conditionalFormatting>
  <conditionalFormatting sqref="C49:D49">
    <cfRule type="expression" dxfId="1134" priority="7" stopIfTrue="1">
      <formula>AND(E49&lt;&gt;"",NOT(COUNTIF(INDIRECT(M49),E49)&gt;0))</formula>
    </cfRule>
  </conditionalFormatting>
  <conditionalFormatting sqref="N49">
    <cfRule type="expression" dxfId="1133" priority="6" stopIfTrue="1">
      <formula>AND(N49="A dos manos",COUNTIF($R$22:$W$25,$N48&amp;" "&amp;$P49))</formula>
    </cfRule>
  </conditionalFormatting>
  <conditionalFormatting sqref="N49:O49">
    <cfRule type="expression" dxfId="1132" priority="5" stopIfTrue="1">
      <formula>AND(P49&lt;&gt;"",NOT(COUNTIF(INDIRECT(X49),P49)&gt;0))</formula>
    </cfRule>
  </conditionalFormatting>
  <conditionalFormatting sqref="N58">
    <cfRule type="expression" dxfId="1131" priority="4" stopIfTrue="1">
      <formula>AND(N58="A dos manos",COUNTIF($R$22:$W$25,$N57&amp;" "&amp;$P58))</formula>
    </cfRule>
  </conditionalFormatting>
  <conditionalFormatting sqref="N58:O58">
    <cfRule type="expression" dxfId="1130" priority="3" stopIfTrue="1">
      <formula>AND(P58&lt;&gt;"",NOT(COUNTIF(INDIRECT(X58),P58)&gt;0))</formula>
    </cfRule>
  </conditionalFormatting>
  <conditionalFormatting sqref="C58">
    <cfRule type="expression" dxfId="1129" priority="2" stopIfTrue="1">
      <formula>AND(C58="A dos manos",COUNTIF($R$22:$W$25,$C57&amp;" "&amp;$E58))</formula>
    </cfRule>
  </conditionalFormatting>
  <conditionalFormatting sqref="C58:D58">
    <cfRule type="expression" dxfId="1128"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18" t="s">
        <v>8943</v>
      </c>
      <c r="AN1" s="2919"/>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18"/>
      <c r="AN2" s="2919"/>
    </row>
    <row r="3" spans="1:40" ht="12" customHeight="1" x14ac:dyDescent="0.2">
      <c r="A3" s="420"/>
      <c r="B3" s="1149"/>
      <c r="C3" s="4208"/>
      <c r="D3" s="4209"/>
      <c r="E3" s="4209"/>
      <c r="F3" s="4209"/>
      <c r="G3" s="4209"/>
      <c r="H3" s="4209"/>
      <c r="I3" s="424"/>
      <c r="J3" s="424"/>
      <c r="K3" s="424"/>
      <c r="L3" s="424"/>
      <c r="M3" s="424"/>
      <c r="N3" s="424"/>
      <c r="O3" s="424"/>
      <c r="P3" s="424"/>
      <c r="Q3" s="425"/>
      <c r="R3" s="1138"/>
      <c r="S3" s="954"/>
      <c r="T3" s="954"/>
      <c r="U3" s="289"/>
      <c r="V3" s="4208"/>
      <c r="W3" s="4209"/>
      <c r="X3" s="4209"/>
      <c r="Y3" s="4209"/>
      <c r="Z3" s="4209"/>
      <c r="AA3" s="4209"/>
      <c r="AB3" s="424"/>
      <c r="AC3" s="424"/>
      <c r="AD3" s="424"/>
      <c r="AE3" s="424"/>
      <c r="AF3" s="424"/>
      <c r="AG3" s="424"/>
      <c r="AH3" s="424"/>
      <c r="AI3" s="424"/>
      <c r="AJ3" s="425"/>
      <c r="AK3" s="426"/>
      <c r="AL3" s="420"/>
      <c r="AM3" s="2918"/>
      <c r="AN3" s="2919"/>
    </row>
    <row r="4" spans="1:40" ht="12" customHeight="1" x14ac:dyDescent="0.2">
      <c r="A4" s="420"/>
      <c r="B4" s="1149"/>
      <c r="C4" s="4210"/>
      <c r="D4" s="4211"/>
      <c r="E4" s="4211"/>
      <c r="F4" s="4211"/>
      <c r="G4" s="4211"/>
      <c r="H4" s="4211"/>
      <c r="I4" s="340"/>
      <c r="J4" s="4214" t="s">
        <v>1326</v>
      </c>
      <c r="K4" s="4215"/>
      <c r="L4" s="3189" t="str">
        <f>IF(OR(General!$F$22="",General!$F$22=0),"",General!$F$22)</f>
        <v/>
      </c>
      <c r="M4" s="3189"/>
      <c r="N4" s="3189"/>
      <c r="O4" s="3189"/>
      <c r="P4" s="3189"/>
      <c r="Q4" s="375"/>
      <c r="R4" s="1139"/>
      <c r="S4" s="954"/>
      <c r="T4" s="954"/>
      <c r="U4" s="289"/>
      <c r="V4" s="4210"/>
      <c r="W4" s="4211"/>
      <c r="X4" s="4211"/>
      <c r="Y4" s="4211"/>
      <c r="Z4" s="4211"/>
      <c r="AA4" s="4211"/>
      <c r="AB4" s="340"/>
      <c r="AC4" s="4214" t="s">
        <v>1326</v>
      </c>
      <c r="AD4" s="4215"/>
      <c r="AE4" s="3189" t="str">
        <f>IF(OR(General!$F$22="",General!$F$22=0),"",General!$F$22)</f>
        <v/>
      </c>
      <c r="AF4" s="3189"/>
      <c r="AG4" s="3189"/>
      <c r="AH4" s="3189"/>
      <c r="AI4" s="3189"/>
      <c r="AJ4" s="375"/>
      <c r="AK4" s="426"/>
      <c r="AL4" s="420"/>
      <c r="AM4" s="2918"/>
      <c r="AN4" s="2919"/>
    </row>
    <row r="5" spans="1:40" ht="12" customHeight="1" x14ac:dyDescent="0.2">
      <c r="A5" s="420"/>
      <c r="B5" s="1149"/>
      <c r="C5" s="4210"/>
      <c r="D5" s="4211"/>
      <c r="E5" s="4211"/>
      <c r="F5" s="4211"/>
      <c r="G5" s="4211"/>
      <c r="H5" s="4211"/>
      <c r="I5" s="340"/>
      <c r="J5" s="4204" t="s">
        <v>1327</v>
      </c>
      <c r="K5" s="4205"/>
      <c r="L5" s="3002" t="str">
        <f>PDs!$J$8</f>
        <v/>
      </c>
      <c r="M5" s="3002"/>
      <c r="N5" s="3002"/>
      <c r="O5" s="2472" t="s">
        <v>1328</v>
      </c>
      <c r="P5" s="2473" t="str">
        <f>Principal!$O$6</f>
        <v>0</v>
      </c>
      <c r="Q5" s="427"/>
      <c r="R5" s="1139"/>
      <c r="S5" s="954"/>
      <c r="T5" s="954"/>
      <c r="U5" s="289"/>
      <c r="V5" s="4210"/>
      <c r="W5" s="4211"/>
      <c r="X5" s="4211"/>
      <c r="Y5" s="4211"/>
      <c r="Z5" s="4211"/>
      <c r="AA5" s="4211"/>
      <c r="AB5" s="340"/>
      <c r="AC5" s="4204" t="s">
        <v>1327</v>
      </c>
      <c r="AD5" s="4205"/>
      <c r="AE5" s="3002" t="str">
        <f>PDs!$J$8</f>
        <v/>
      </c>
      <c r="AF5" s="3002"/>
      <c r="AG5" s="3002"/>
      <c r="AH5" s="2472" t="s">
        <v>1328</v>
      </c>
      <c r="AI5" s="2473" t="str">
        <f>Principal!$O$6</f>
        <v>0</v>
      </c>
      <c r="AJ5" s="427"/>
      <c r="AK5" s="426"/>
      <c r="AL5" s="420"/>
      <c r="AM5" s="2918"/>
      <c r="AN5" s="2919"/>
    </row>
    <row r="6" spans="1:40" ht="12" customHeight="1" x14ac:dyDescent="0.2">
      <c r="A6" s="420"/>
      <c r="B6" s="1149"/>
      <c r="C6" s="4210"/>
      <c r="D6" s="4211"/>
      <c r="E6" s="4211"/>
      <c r="F6" s="4211"/>
      <c r="G6" s="4211"/>
      <c r="H6" s="4211"/>
      <c r="I6" s="340"/>
      <c r="J6" s="4206" t="s">
        <v>1587</v>
      </c>
      <c r="K6" s="4207"/>
      <c r="L6" s="4207"/>
      <c r="M6" s="4207"/>
      <c r="N6" s="4207"/>
      <c r="O6" s="4207"/>
      <c r="P6" s="4207"/>
      <c r="Q6" s="427"/>
      <c r="R6" s="1139"/>
      <c r="S6" s="954"/>
      <c r="T6" s="954"/>
      <c r="U6" s="289"/>
      <c r="V6" s="4210"/>
      <c r="W6" s="4211"/>
      <c r="X6" s="4211"/>
      <c r="Y6" s="4211"/>
      <c r="Z6" s="4211"/>
      <c r="AA6" s="4211"/>
      <c r="AB6" s="340"/>
      <c r="AC6" s="4206" t="s">
        <v>8700</v>
      </c>
      <c r="AD6" s="4207"/>
      <c r="AE6" s="4207"/>
      <c r="AF6" s="4207"/>
      <c r="AG6" s="4207"/>
      <c r="AH6" s="4207"/>
      <c r="AI6" s="4207"/>
      <c r="AJ6" s="427"/>
      <c r="AK6" s="426"/>
      <c r="AL6" s="420"/>
      <c r="AM6" s="2918"/>
      <c r="AN6" s="2919"/>
    </row>
    <row r="7" spans="1:40" ht="12" customHeight="1" x14ac:dyDescent="0.2">
      <c r="A7" s="420"/>
      <c r="B7" s="1149"/>
      <c r="C7" s="4210"/>
      <c r="D7" s="4211"/>
      <c r="E7" s="4211"/>
      <c r="F7" s="4211"/>
      <c r="G7" s="4211"/>
      <c r="H7" s="4211"/>
      <c r="I7" s="340"/>
      <c r="J7" s="4207"/>
      <c r="K7" s="4207"/>
      <c r="L7" s="4207"/>
      <c r="M7" s="4207"/>
      <c r="N7" s="4207"/>
      <c r="O7" s="4207"/>
      <c r="P7" s="4207"/>
      <c r="Q7" s="427"/>
      <c r="R7" s="1139"/>
      <c r="S7" s="954"/>
      <c r="T7" s="954"/>
      <c r="U7" s="289"/>
      <c r="V7" s="4210"/>
      <c r="W7" s="4211"/>
      <c r="X7" s="4211"/>
      <c r="Y7" s="4211"/>
      <c r="Z7" s="4211"/>
      <c r="AA7" s="4211"/>
      <c r="AB7" s="340"/>
      <c r="AC7" s="4207"/>
      <c r="AD7" s="4207"/>
      <c r="AE7" s="4207"/>
      <c r="AF7" s="4207"/>
      <c r="AG7" s="4207"/>
      <c r="AH7" s="4207"/>
      <c r="AI7" s="4207"/>
      <c r="AJ7" s="427"/>
      <c r="AK7" s="426"/>
      <c r="AL7" s="420"/>
      <c r="AM7" s="2918"/>
      <c r="AN7" s="2919"/>
    </row>
    <row r="8" spans="1:40" ht="12" customHeight="1" thickBot="1" x14ac:dyDescent="0.25">
      <c r="A8" s="420"/>
      <c r="B8" s="1149"/>
      <c r="C8" s="4212"/>
      <c r="D8" s="4213"/>
      <c r="E8" s="4213"/>
      <c r="F8" s="4213"/>
      <c r="G8" s="4213"/>
      <c r="H8" s="4213"/>
      <c r="I8" s="428"/>
      <c r="J8" s="428"/>
      <c r="K8" s="428"/>
      <c r="L8" s="428"/>
      <c r="M8" s="428"/>
      <c r="N8" s="428"/>
      <c r="O8" s="428"/>
      <c r="P8" s="428"/>
      <c r="Q8" s="429"/>
      <c r="R8" s="1139"/>
      <c r="S8" s="954"/>
      <c r="T8" s="954"/>
      <c r="U8" s="289"/>
      <c r="V8" s="4212"/>
      <c r="W8" s="4213"/>
      <c r="X8" s="4213"/>
      <c r="Y8" s="4213"/>
      <c r="Z8" s="4213"/>
      <c r="AA8" s="4213"/>
      <c r="AB8" s="428"/>
      <c r="AC8" s="428"/>
      <c r="AD8" s="428"/>
      <c r="AE8" s="428"/>
      <c r="AF8" s="428"/>
      <c r="AG8" s="428"/>
      <c r="AH8" s="428"/>
      <c r="AI8" s="428"/>
      <c r="AJ8" s="429"/>
      <c r="AK8" s="426"/>
      <c r="AL8" s="420"/>
      <c r="AM8" s="2918"/>
      <c r="AN8" s="2919"/>
    </row>
    <row r="9" spans="1:40" ht="12" customHeight="1" thickBot="1" x14ac:dyDescent="0.25">
      <c r="A9" s="420"/>
      <c r="B9" s="1149"/>
      <c r="R9" s="1139"/>
      <c r="S9" s="954"/>
      <c r="T9" s="954"/>
      <c r="U9" s="289"/>
      <c r="V9" s="4185" t="str">
        <f>IF(Tablas!G496+Tablas!G497+Tablas!G559+Tablas!G542+Tablas!G560&gt;0,"Empatía hacia elemento: -5 CM al coste de cada efecto relacionado con elemento afín (Coste mínimo 5 CM)","")</f>
        <v/>
      </c>
      <c r="W9" s="4185"/>
      <c r="X9" s="4185"/>
      <c r="Y9" s="4185"/>
      <c r="Z9" s="4185"/>
      <c r="AA9" s="4185"/>
      <c r="AB9" s="4185"/>
      <c r="AC9" s="4185"/>
      <c r="AD9" s="4185"/>
      <c r="AE9" s="4185"/>
      <c r="AF9" s="4185"/>
      <c r="AG9" s="4185"/>
      <c r="AH9" s="4185"/>
      <c r="AI9" s="4185"/>
      <c r="AJ9" s="4185"/>
      <c r="AK9" s="426"/>
      <c r="AL9" s="420"/>
      <c r="AM9" s="2918"/>
      <c r="AN9" s="2919"/>
    </row>
    <row r="10" spans="1:40" ht="12" customHeight="1" thickBot="1" x14ac:dyDescent="0.25">
      <c r="A10" s="420"/>
      <c r="B10" s="1149"/>
      <c r="C10" s="4201" t="s">
        <v>1589</v>
      </c>
      <c r="D10" s="4202"/>
      <c r="E10" s="4202"/>
      <c r="F10" s="4203"/>
      <c r="G10" s="2022"/>
      <c r="H10" s="1741" t="s">
        <v>8509</v>
      </c>
      <c r="I10" s="1652" t="s">
        <v>2094</v>
      </c>
      <c r="J10" s="1143"/>
      <c r="K10" s="4186" t="s">
        <v>1590</v>
      </c>
      <c r="L10" s="4187"/>
      <c r="M10" s="4187"/>
      <c r="N10" s="4187"/>
      <c r="O10" s="4187"/>
      <c r="P10" s="4190">
        <f>IF(Q10=0,40,"-")</f>
        <v>40</v>
      </c>
      <c r="Q10" s="4192"/>
      <c r="R10" s="4257" t="b">
        <f t="shared" ref="R10:R11" si="0">P10="-"</f>
        <v>0</v>
      </c>
      <c r="S10" s="954"/>
      <c r="T10" s="954"/>
      <c r="U10" s="289"/>
      <c r="V10" s="3923" t="s">
        <v>1591</v>
      </c>
      <c r="W10" s="4194"/>
      <c r="X10" s="4194"/>
      <c r="Y10" s="4195"/>
      <c r="Z10" s="450"/>
      <c r="AA10" s="4196" t="s">
        <v>1592</v>
      </c>
      <c r="AB10" s="4197"/>
      <c r="AC10" s="4197"/>
      <c r="AD10" s="4197"/>
      <c r="AE10" s="4197"/>
      <c r="AF10" s="4197"/>
      <c r="AG10" s="4197"/>
      <c r="AH10" s="4197"/>
      <c r="AI10" s="4197"/>
      <c r="AJ10" s="4198"/>
      <c r="AK10" s="426"/>
      <c r="AL10" s="420"/>
      <c r="AM10" s="2918"/>
      <c r="AN10" s="2919"/>
    </row>
    <row r="11" spans="1:40" ht="12" customHeight="1" thickBot="1" x14ac:dyDescent="0.25">
      <c r="A11" s="420"/>
      <c r="B11" s="1149"/>
      <c r="C11" s="464"/>
      <c r="D11" s="358" t="s">
        <v>1593</v>
      </c>
      <c r="E11" s="358" t="s">
        <v>8995</v>
      </c>
      <c r="F11" s="2021" t="s">
        <v>1594</v>
      </c>
      <c r="G11" s="4216" t="s">
        <v>1595</v>
      </c>
      <c r="H11" s="4217"/>
      <c r="I11" s="4218"/>
      <c r="J11" s="1143"/>
      <c r="K11" s="4188"/>
      <c r="L11" s="4189"/>
      <c r="M11" s="4189"/>
      <c r="N11" s="4189"/>
      <c r="O11" s="4189"/>
      <c r="P11" s="4191"/>
      <c r="Q11" s="4193"/>
      <c r="R11" s="4257" t="b">
        <f t="shared" si="0"/>
        <v>0</v>
      </c>
      <c r="S11" s="954"/>
      <c r="T11" s="954"/>
      <c r="U11" s="289"/>
      <c r="V11" s="4220" t="s">
        <v>1596</v>
      </c>
      <c r="W11" s="4255"/>
      <c r="X11" s="4256"/>
      <c r="Y11" s="4227"/>
      <c r="Z11" s="465"/>
      <c r="AA11" s="4235" t="s">
        <v>1597</v>
      </c>
      <c r="AB11" s="4199"/>
      <c r="AC11" s="4236"/>
      <c r="AD11" s="4199" t="s">
        <v>1598</v>
      </c>
      <c r="AE11" s="4199"/>
      <c r="AF11" s="4199"/>
      <c r="AG11" s="4199"/>
      <c r="AH11" s="4199"/>
      <c r="AI11" s="4199"/>
      <c r="AJ11" s="4200"/>
      <c r="AK11" s="426"/>
      <c r="AL11" s="420"/>
      <c r="AM11" s="2918"/>
      <c r="AN11" s="2919"/>
    </row>
    <row r="12" spans="1:40" ht="12" customHeight="1" x14ac:dyDescent="0.2">
      <c r="A12" s="420"/>
      <c r="B12" s="1149"/>
      <c r="C12" s="4219" t="s">
        <v>1376</v>
      </c>
      <c r="D12" s="4221">
        <f>PDs!$AA33</f>
        <v>0</v>
      </c>
      <c r="E12" s="4238">
        <f>IF(Tablas!$G$380,D12,CEILING(Ki!D12/2,1))</f>
        <v>0</v>
      </c>
      <c r="F12" s="4223" t="str">
        <f>IF(OR(Tablas!$G$383&gt;0,Tablas!$H$1412&gt;0,$I$10&lt;&gt;"No"),"-",PDs!$AA$27)</f>
        <v>-</v>
      </c>
      <c r="G12" s="4240"/>
      <c r="H12" s="4241"/>
      <c r="I12" s="4242"/>
      <c r="J12" s="1143"/>
      <c r="K12" s="4225" t="s">
        <v>1599</v>
      </c>
      <c r="L12" s="4226"/>
      <c r="M12" s="4226"/>
      <c r="N12" s="4226"/>
      <c r="O12" s="4226"/>
      <c r="P12" s="1567">
        <f>IF(Q12=0,30,"-")</f>
        <v>30</v>
      </c>
      <c r="Q12" s="1743"/>
      <c r="R12" s="1139" t="b">
        <f>P12="-"</f>
        <v>0</v>
      </c>
      <c r="S12" s="954"/>
      <c r="T12" s="954"/>
      <c r="U12" s="289"/>
      <c r="V12" s="4220"/>
      <c r="W12" s="4255"/>
      <c r="X12" s="4253"/>
      <c r="Y12" s="4228"/>
      <c r="Z12" s="465"/>
      <c r="AA12" s="4231"/>
      <c r="AB12" s="4232"/>
      <c r="AC12" s="4233"/>
      <c r="AD12" s="4247"/>
      <c r="AE12" s="4248"/>
      <c r="AF12" s="4248"/>
      <c r="AG12" s="4248"/>
      <c r="AH12" s="4248"/>
      <c r="AI12" s="4248"/>
      <c r="AJ12" s="4249"/>
      <c r="AK12" s="426"/>
      <c r="AL12" s="420"/>
      <c r="AM12" s="2918"/>
      <c r="AN12" s="2919"/>
    </row>
    <row r="13" spans="1:40" ht="12" customHeight="1" x14ac:dyDescent="0.2">
      <c r="A13" s="420"/>
      <c r="B13" s="1149"/>
      <c r="C13" s="4220"/>
      <c r="D13" s="4222"/>
      <c r="E13" s="4239"/>
      <c r="F13" s="4224"/>
      <c r="G13" s="4243"/>
      <c r="H13" s="3350"/>
      <c r="I13" s="3351"/>
      <c r="J13" s="1143"/>
      <c r="K13" s="466" t="s">
        <v>1600</v>
      </c>
      <c r="L13" s="4250" t="s">
        <v>1601</v>
      </c>
      <c r="M13" s="4250"/>
      <c r="N13" s="4250"/>
      <c r="O13" s="4250"/>
      <c r="P13" s="1567">
        <f>IF(Q13=0,20,"-")</f>
        <v>20</v>
      </c>
      <c r="Q13" s="1744"/>
      <c r="R13" s="1139" t="b">
        <f t="shared" ref="R13:R62" si="1">P13="-"</f>
        <v>0</v>
      </c>
      <c r="S13" s="954"/>
      <c r="T13" s="954"/>
      <c r="U13" s="289"/>
      <c r="V13" s="4220" t="s">
        <v>1602</v>
      </c>
      <c r="W13" s="4255"/>
      <c r="X13" s="4253"/>
      <c r="Y13" s="4228"/>
      <c r="Z13" s="373"/>
      <c r="AA13" s="3352"/>
      <c r="AB13" s="3353"/>
      <c r="AC13" s="4234"/>
      <c r="AD13" s="4251"/>
      <c r="AE13" s="3377"/>
      <c r="AF13" s="3377"/>
      <c r="AG13" s="3377"/>
      <c r="AH13" s="3377"/>
      <c r="AI13" s="3377"/>
      <c r="AJ13" s="4252"/>
      <c r="AK13" s="426"/>
      <c r="AL13" s="420"/>
      <c r="AM13" s="2918"/>
      <c r="AN13" s="2919"/>
    </row>
    <row r="14" spans="1:40" ht="12" customHeight="1" x14ac:dyDescent="0.2">
      <c r="A14" s="420"/>
      <c r="B14" s="1149"/>
      <c r="C14" s="4229" t="s">
        <v>1501</v>
      </c>
      <c r="D14" s="4230">
        <f>PDs!$AA34</f>
        <v>0</v>
      </c>
      <c r="E14" s="4259">
        <f>IF(Tablas!$G$380,D14,CEILING(Ki!D14/2,1))</f>
        <v>0</v>
      </c>
      <c r="F14" s="4237" t="str">
        <f>IF(OR(Tablas!$G$383&gt;0,Tablas!$H$1412&gt;0,$I$10&lt;&gt;"No"),"-",PDs!$AA$28)</f>
        <v>-</v>
      </c>
      <c r="G14" s="4244"/>
      <c r="H14" s="4245"/>
      <c r="I14" s="4246"/>
      <c r="J14" s="1143"/>
      <c r="K14" s="466" t="s">
        <v>1603</v>
      </c>
      <c r="L14" s="467" t="s">
        <v>1604</v>
      </c>
      <c r="M14" s="4254" t="s">
        <v>1605</v>
      </c>
      <c r="N14" s="4254"/>
      <c r="O14" s="4254"/>
      <c r="P14" s="1567">
        <f>IF(Q14=0,10,"-")</f>
        <v>10</v>
      </c>
      <c r="Q14" s="1744"/>
      <c r="R14" s="1139" t="b">
        <f t="shared" si="1"/>
        <v>0</v>
      </c>
      <c r="S14" s="954"/>
      <c r="T14" s="954"/>
      <c r="U14" s="289"/>
      <c r="V14" s="4220"/>
      <c r="W14" s="4255"/>
      <c r="X14" s="4253"/>
      <c r="Y14" s="4228"/>
      <c r="Z14" s="454"/>
      <c r="AA14" s="3352"/>
      <c r="AB14" s="3353"/>
      <c r="AC14" s="4234"/>
      <c r="AD14" s="4251"/>
      <c r="AE14" s="3377"/>
      <c r="AF14" s="3377"/>
      <c r="AG14" s="3377"/>
      <c r="AH14" s="3377"/>
      <c r="AI14" s="3377"/>
      <c r="AJ14" s="4252"/>
      <c r="AK14" s="426"/>
      <c r="AL14" s="420"/>
      <c r="AM14" s="2918"/>
      <c r="AN14" s="2919"/>
    </row>
    <row r="15" spans="1:40" ht="12" customHeight="1" x14ac:dyDescent="0.2">
      <c r="A15" s="420"/>
      <c r="B15" s="1149"/>
      <c r="C15" s="4229"/>
      <c r="D15" s="4230"/>
      <c r="E15" s="4259"/>
      <c r="F15" s="4237"/>
      <c r="G15" s="4244"/>
      <c r="H15" s="4245"/>
      <c r="I15" s="4246"/>
      <c r="J15" s="1143"/>
      <c r="K15" s="466" t="s">
        <v>1600</v>
      </c>
      <c r="L15" s="4254" t="s">
        <v>1606</v>
      </c>
      <c r="M15" s="4254"/>
      <c r="N15" s="4254"/>
      <c r="O15" s="4254"/>
      <c r="P15" s="1567">
        <f>IF(Q15=0,40,"-")</f>
        <v>40</v>
      </c>
      <c r="Q15" s="1744"/>
      <c r="R15" s="1139" t="b">
        <f t="shared" si="1"/>
        <v>0</v>
      </c>
      <c r="S15" s="954"/>
      <c r="T15" s="954"/>
      <c r="U15" s="289"/>
      <c r="V15" s="4220" t="s">
        <v>1607</v>
      </c>
      <c r="W15" s="4255"/>
      <c r="X15" s="4253"/>
      <c r="Y15" s="4228"/>
      <c r="Z15" s="468"/>
      <c r="AA15" s="3352"/>
      <c r="AB15" s="3353"/>
      <c r="AC15" s="4234"/>
      <c r="AD15" s="4251"/>
      <c r="AE15" s="3377"/>
      <c r="AF15" s="3377"/>
      <c r="AG15" s="3377"/>
      <c r="AH15" s="3377"/>
      <c r="AI15" s="3377"/>
      <c r="AJ15" s="4252"/>
      <c r="AK15" s="426"/>
      <c r="AL15" s="420"/>
      <c r="AM15" s="2918"/>
      <c r="AN15" s="2919"/>
    </row>
    <row r="16" spans="1:40" ht="12" customHeight="1" x14ac:dyDescent="0.2">
      <c r="A16" s="420"/>
      <c r="B16" s="1149"/>
      <c r="C16" s="4220" t="s">
        <v>1381</v>
      </c>
      <c r="D16" s="4222">
        <f>PDs!$AA35</f>
        <v>0</v>
      </c>
      <c r="E16" s="4260">
        <f>IF(Tablas!$G$380,D16,CEILING(Ki!D16/2,1))</f>
        <v>0</v>
      </c>
      <c r="F16" s="4224" t="str">
        <f>IF(OR(Tablas!$G$383&gt;0,Tablas!$H$1412&gt;0,$I$10&lt;&gt;"No"),"-",PDs!$AA$29)</f>
        <v>-</v>
      </c>
      <c r="G16" s="4243"/>
      <c r="H16" s="3350"/>
      <c r="I16" s="3351"/>
      <c r="J16" s="1143"/>
      <c r="K16" s="466" t="s">
        <v>1600</v>
      </c>
      <c r="L16" s="4254" t="s">
        <v>1608</v>
      </c>
      <c r="M16" s="4254"/>
      <c r="N16" s="4254"/>
      <c r="O16" s="4254"/>
      <c r="P16" s="1567">
        <f>IF(Q16=0,10,"-")</f>
        <v>10</v>
      </c>
      <c r="Q16" s="1744"/>
      <c r="R16" s="1139" t="b">
        <f t="shared" si="1"/>
        <v>0</v>
      </c>
      <c r="S16" s="954"/>
      <c r="T16" s="954"/>
      <c r="U16" s="289"/>
      <c r="V16" s="4220"/>
      <c r="W16" s="4255"/>
      <c r="X16" s="4253"/>
      <c r="Y16" s="4228"/>
      <c r="Z16" s="468"/>
      <c r="AA16" s="3352"/>
      <c r="AB16" s="3353"/>
      <c r="AC16" s="4234"/>
      <c r="AD16" s="4251"/>
      <c r="AE16" s="3377"/>
      <c r="AF16" s="3377"/>
      <c r="AG16" s="3377"/>
      <c r="AH16" s="3377"/>
      <c r="AI16" s="3377"/>
      <c r="AJ16" s="4252"/>
      <c r="AK16" s="426"/>
      <c r="AL16" s="420"/>
      <c r="AM16" s="2918"/>
      <c r="AN16" s="2919"/>
    </row>
    <row r="17" spans="1:40" ht="12" customHeight="1" x14ac:dyDescent="0.2">
      <c r="A17" s="420"/>
      <c r="B17" s="1149"/>
      <c r="C17" s="4220"/>
      <c r="D17" s="4222"/>
      <c r="E17" s="4260"/>
      <c r="F17" s="4224"/>
      <c r="G17" s="4243"/>
      <c r="H17" s="3350"/>
      <c r="I17" s="3351"/>
      <c r="J17" s="1143"/>
      <c r="K17" s="466" t="s">
        <v>1603</v>
      </c>
      <c r="L17" s="469" t="s">
        <v>1600</v>
      </c>
      <c r="M17" s="4250" t="s">
        <v>1609</v>
      </c>
      <c r="N17" s="4250"/>
      <c r="O17" s="4250"/>
      <c r="P17" s="1567">
        <f>IF(Q17=0,30,"-")</f>
        <v>30</v>
      </c>
      <c r="Q17" s="1744"/>
      <c r="R17" s="1139" t="b">
        <f t="shared" si="1"/>
        <v>0</v>
      </c>
      <c r="S17" s="954"/>
      <c r="T17" s="954"/>
      <c r="U17" s="289"/>
      <c r="V17" s="4220" t="s">
        <v>1610</v>
      </c>
      <c r="W17" s="4255"/>
      <c r="X17" s="4253"/>
      <c r="Y17" s="4228"/>
      <c r="Z17" s="470"/>
      <c r="AA17" s="3352"/>
      <c r="AB17" s="3353"/>
      <c r="AC17" s="4234"/>
      <c r="AD17" s="4251"/>
      <c r="AE17" s="3377"/>
      <c r="AF17" s="3377"/>
      <c r="AG17" s="3377"/>
      <c r="AH17" s="3377"/>
      <c r="AI17" s="3377"/>
      <c r="AJ17" s="4252"/>
      <c r="AK17" s="426"/>
      <c r="AL17" s="420"/>
      <c r="AM17" s="2918"/>
      <c r="AN17" s="2919"/>
    </row>
    <row r="18" spans="1:40" ht="12" customHeight="1" x14ac:dyDescent="0.2">
      <c r="A18" s="420"/>
      <c r="B18" s="1149"/>
      <c r="C18" s="4229" t="s">
        <v>1386</v>
      </c>
      <c r="D18" s="4230">
        <f>PDs!$AA36</f>
        <v>0</v>
      </c>
      <c r="E18" s="4259">
        <f>IF(Tablas!$G$380,D18,CEILING(Ki!D18/2,1))</f>
        <v>0</v>
      </c>
      <c r="F18" s="4237" t="str">
        <f>IF(OR(Tablas!$G$383&gt;0,Tablas!$H$1412&gt;0,$I$10&lt;&gt;"No"),"-",PDs!$AA$30)</f>
        <v>-</v>
      </c>
      <c r="G18" s="4244"/>
      <c r="H18" s="4245"/>
      <c r="I18" s="4246"/>
      <c r="J18" s="1143"/>
      <c r="K18" s="466" t="s">
        <v>1603</v>
      </c>
      <c r="L18" s="469" t="s">
        <v>1603</v>
      </c>
      <c r="M18" s="469" t="s">
        <v>1611</v>
      </c>
      <c r="N18" s="4258" t="s">
        <v>1612</v>
      </c>
      <c r="O18" s="4258"/>
      <c r="P18" s="1567">
        <f>IF(Q18=0,20,"-")</f>
        <v>20</v>
      </c>
      <c r="Q18" s="1744"/>
      <c r="R18" s="1139" t="b">
        <f t="shared" si="1"/>
        <v>0</v>
      </c>
      <c r="S18" s="954"/>
      <c r="T18" s="954"/>
      <c r="U18" s="289"/>
      <c r="V18" s="4220"/>
      <c r="W18" s="4255"/>
      <c r="X18" s="4253"/>
      <c r="Y18" s="4228"/>
      <c r="Z18" s="471"/>
      <c r="AA18" s="3352"/>
      <c r="AB18" s="3353"/>
      <c r="AC18" s="4234"/>
      <c r="AD18" s="4251"/>
      <c r="AE18" s="3377"/>
      <c r="AF18" s="3377"/>
      <c r="AG18" s="3377"/>
      <c r="AH18" s="3377"/>
      <c r="AI18" s="3377"/>
      <c r="AJ18" s="4252"/>
      <c r="AK18" s="426"/>
      <c r="AL18" s="420"/>
      <c r="AM18" s="2918"/>
      <c r="AN18" s="2919"/>
    </row>
    <row r="19" spans="1:40" ht="12" customHeight="1" x14ac:dyDescent="0.2">
      <c r="A19" s="420"/>
      <c r="B19" s="1149"/>
      <c r="C19" s="4229"/>
      <c r="D19" s="4230"/>
      <c r="E19" s="4259"/>
      <c r="F19" s="4237"/>
      <c r="G19" s="4244"/>
      <c r="H19" s="4245"/>
      <c r="I19" s="4246"/>
      <c r="J19" s="1143"/>
      <c r="K19" s="466" t="s">
        <v>1603</v>
      </c>
      <c r="L19" s="469" t="s">
        <v>1600</v>
      </c>
      <c r="M19" s="4250" t="s">
        <v>1613</v>
      </c>
      <c r="N19" s="4250"/>
      <c r="O19" s="4250"/>
      <c r="P19" s="1567">
        <f>IF(Q19=0,30,"-")</f>
        <v>30</v>
      </c>
      <c r="Q19" s="1744"/>
      <c r="R19" s="1139" t="b">
        <f t="shared" si="1"/>
        <v>0</v>
      </c>
      <c r="S19" s="954"/>
      <c r="T19" s="954"/>
      <c r="U19" s="289"/>
      <c r="V19" s="4220" t="s">
        <v>1614</v>
      </c>
      <c r="W19" s="4255"/>
      <c r="X19" s="4253"/>
      <c r="Y19" s="4228"/>
      <c r="Z19" s="471"/>
      <c r="AA19" s="3352"/>
      <c r="AB19" s="3353"/>
      <c r="AC19" s="4234"/>
      <c r="AD19" s="4251"/>
      <c r="AE19" s="3377"/>
      <c r="AF19" s="3377"/>
      <c r="AG19" s="3377"/>
      <c r="AH19" s="3377"/>
      <c r="AI19" s="3377"/>
      <c r="AJ19" s="4252"/>
      <c r="AK19" s="426"/>
      <c r="AL19" s="420"/>
      <c r="AM19" s="2918"/>
      <c r="AN19" s="2919"/>
    </row>
    <row r="20" spans="1:40" ht="12" customHeight="1" thickBot="1" x14ac:dyDescent="0.25">
      <c r="A20" s="420"/>
      <c r="B20" s="1149"/>
      <c r="C20" s="4220" t="s">
        <v>1394</v>
      </c>
      <c r="D20" s="4222">
        <f>PDs!$AA37</f>
        <v>0</v>
      </c>
      <c r="E20" s="4260">
        <f>IF(Tablas!$G$380,D20,CEILING(Ki!D20/2,1))</f>
        <v>0</v>
      </c>
      <c r="F20" s="4224" t="str">
        <f>IF(OR(Tablas!$G$383&gt;0,Tablas!$H$1412&gt;0,$I$10&lt;&gt;"No"),"-",PDs!$AA$31)</f>
        <v>-</v>
      </c>
      <c r="G20" s="4243"/>
      <c r="H20" s="3350"/>
      <c r="I20" s="3351"/>
      <c r="J20" s="1143"/>
      <c r="K20" s="466" t="s">
        <v>1603</v>
      </c>
      <c r="L20" s="469" t="s">
        <v>1603</v>
      </c>
      <c r="M20" s="469" t="s">
        <v>1600</v>
      </c>
      <c r="N20" s="4254" t="s">
        <v>1615</v>
      </c>
      <c r="O20" s="4254"/>
      <c r="P20" s="1567">
        <f>IF(Q20=0,30,"-")</f>
        <v>30</v>
      </c>
      <c r="Q20" s="1744"/>
      <c r="R20" s="1139" t="b">
        <f t="shared" si="1"/>
        <v>0</v>
      </c>
      <c r="S20" s="954"/>
      <c r="T20" s="954"/>
      <c r="U20" s="289"/>
      <c r="V20" s="4264"/>
      <c r="W20" s="4265"/>
      <c r="X20" s="4266"/>
      <c r="Y20" s="4267"/>
      <c r="Z20" s="471"/>
      <c r="AA20" s="4261"/>
      <c r="AB20" s="4262"/>
      <c r="AC20" s="4263"/>
      <c r="AD20" s="4275"/>
      <c r="AE20" s="4276"/>
      <c r="AF20" s="4276"/>
      <c r="AG20" s="4276"/>
      <c r="AH20" s="4276"/>
      <c r="AI20" s="4276"/>
      <c r="AJ20" s="4277"/>
      <c r="AK20" s="426"/>
      <c r="AL20" s="420"/>
      <c r="AM20" s="2918"/>
      <c r="AN20" s="2919"/>
    </row>
    <row r="21" spans="1:40" ht="12" customHeight="1" thickBot="1" x14ac:dyDescent="0.25">
      <c r="A21" s="420"/>
      <c r="B21" s="1149"/>
      <c r="C21" s="4220"/>
      <c r="D21" s="4222"/>
      <c r="E21" s="4260"/>
      <c r="F21" s="4224"/>
      <c r="G21" s="4243"/>
      <c r="H21" s="3350"/>
      <c r="I21" s="3351"/>
      <c r="J21" s="1143"/>
      <c r="K21" s="466" t="s">
        <v>1603</v>
      </c>
      <c r="L21" s="469" t="s">
        <v>1603</v>
      </c>
      <c r="M21" s="469" t="s">
        <v>1603</v>
      </c>
      <c r="N21" s="4250" t="s">
        <v>1616</v>
      </c>
      <c r="O21" s="4250"/>
      <c r="P21" s="1567">
        <f>IF(Q21=0,40,"-")</f>
        <v>40</v>
      </c>
      <c r="Q21" s="1744"/>
      <c r="R21" s="1139" t="b">
        <f t="shared" si="1"/>
        <v>0</v>
      </c>
      <c r="S21" s="954"/>
      <c r="T21" s="954"/>
      <c r="U21" s="289"/>
      <c r="AK21" s="426"/>
      <c r="AL21" s="420"/>
      <c r="AM21" s="2918"/>
      <c r="AN21" s="2919"/>
    </row>
    <row r="22" spans="1:40" ht="12" customHeight="1" thickBot="1" x14ac:dyDescent="0.25">
      <c r="A22" s="420"/>
      <c r="B22" s="1149"/>
      <c r="C22" s="4229" t="s">
        <v>1395</v>
      </c>
      <c r="D22" s="4230">
        <f>PDs!$AA38</f>
        <v>0</v>
      </c>
      <c r="E22" s="4259">
        <f>IF(Tablas!$G$380,D22,CEILING(Ki!D22/2,1))</f>
        <v>0</v>
      </c>
      <c r="F22" s="4237" t="str">
        <f>IF(OR(Tablas!$G$383&gt;0,Tablas!$H$1412&gt;0,$I$10&lt;&gt;"No"),"-",PDs!$AA$32)</f>
        <v>-</v>
      </c>
      <c r="G22" s="4244"/>
      <c r="H22" s="4245"/>
      <c r="I22" s="4246"/>
      <c r="J22" s="1143"/>
      <c r="K22" s="466" t="s">
        <v>1603</v>
      </c>
      <c r="L22" s="469" t="s">
        <v>1603</v>
      </c>
      <c r="M22" s="469" t="s">
        <v>1611</v>
      </c>
      <c r="N22" s="4254" t="s">
        <v>1617</v>
      </c>
      <c r="O22" s="4254"/>
      <c r="P22" s="1567">
        <f>IF(Q22=0,30,"-")</f>
        <v>30</v>
      </c>
      <c r="Q22" s="1744"/>
      <c r="R22" s="1139" t="b">
        <f t="shared" si="1"/>
        <v>0</v>
      </c>
      <c r="S22" s="954"/>
      <c r="T22" s="954"/>
      <c r="U22" s="289"/>
      <c r="V22" s="4268" t="s">
        <v>1640</v>
      </c>
      <c r="W22" s="4269"/>
      <c r="X22" s="4270"/>
      <c r="Y22" s="4271"/>
      <c r="Z22" s="4272"/>
      <c r="AA22" s="4273"/>
      <c r="AB22" s="4272"/>
      <c r="AC22" s="4273"/>
      <c r="AD22" s="4272"/>
      <c r="AE22" s="4273"/>
      <c r="AF22" s="4272"/>
      <c r="AG22" s="4273"/>
      <c r="AH22" s="4272"/>
      <c r="AI22" s="4273"/>
      <c r="AJ22" s="4274"/>
      <c r="AK22" s="426"/>
      <c r="AL22" s="420"/>
      <c r="AM22" s="2918"/>
      <c r="AN22" s="2919"/>
    </row>
    <row r="23" spans="1:40" ht="12" customHeight="1" thickBot="1" x14ac:dyDescent="0.25">
      <c r="A23" s="420"/>
      <c r="B23" s="1149"/>
      <c r="C23" s="4278"/>
      <c r="D23" s="4279"/>
      <c r="E23" s="4281"/>
      <c r="F23" s="4280"/>
      <c r="G23" s="4282"/>
      <c r="H23" s="4283"/>
      <c r="I23" s="4284"/>
      <c r="J23" s="1143"/>
      <c r="K23" s="466" t="s">
        <v>1603</v>
      </c>
      <c r="L23" s="469" t="s">
        <v>1603</v>
      </c>
      <c r="M23" s="472"/>
      <c r="N23" s="4250" t="s">
        <v>1618</v>
      </c>
      <c r="O23" s="4250"/>
      <c r="P23" s="1567">
        <f>IF(Q23=0,40,"-")</f>
        <v>40</v>
      </c>
      <c r="Q23" s="1744"/>
      <c r="R23" s="1139" t="b">
        <f t="shared" si="1"/>
        <v>0</v>
      </c>
      <c r="S23" s="954"/>
      <c r="T23" s="954"/>
      <c r="U23" s="473"/>
      <c r="AK23" s="426"/>
      <c r="AL23" s="420"/>
      <c r="AM23" s="2918"/>
      <c r="AN23" s="2919"/>
    </row>
    <row r="24" spans="1:40" ht="12" customHeight="1" thickBot="1" x14ac:dyDescent="0.25">
      <c r="A24" s="420"/>
      <c r="B24" s="1149"/>
      <c r="C24" s="1144" t="s">
        <v>1619</v>
      </c>
      <c r="D24" s="4221">
        <f>D12+D14+D16+D18+D20+D22</f>
        <v>0</v>
      </c>
      <c r="E24" s="4238">
        <f>E12+E14+E16+E18+E20+E22</f>
        <v>0</v>
      </c>
      <c r="F24" s="4223">
        <f>IF(OR(Tablas!$G$383&gt;0,Tablas!$H$1412&gt;0),((PDs!W31*6)+(PDs!V27+PDs!V28+PDs!V29+PDs!V30+PDs!V31+PDs!V32)),SUM(PDs!$AA$27:$AA$32))</f>
        <v>0</v>
      </c>
      <c r="G24" s="4290" t="str">
        <f>IF(I10&lt;&gt;"no","Con Unificación del Ki no se unifican las acumulaciones","")</f>
        <v>Con Unificación del Ki no se unifican las acumulaciones</v>
      </c>
      <c r="H24" s="4290"/>
      <c r="I24" s="4291"/>
      <c r="J24" s="1143"/>
      <c r="K24" s="466" t="s">
        <v>1603</v>
      </c>
      <c r="L24" s="469" t="s">
        <v>1611</v>
      </c>
      <c r="M24" s="4254" t="s">
        <v>1620</v>
      </c>
      <c r="N24" s="4254"/>
      <c r="O24" s="4254"/>
      <c r="P24" s="1567">
        <f>IF(Q24=0,20,"-")</f>
        <v>20</v>
      </c>
      <c r="Q24" s="1744"/>
      <c r="R24" s="1139" t="b">
        <f t="shared" si="1"/>
        <v>0</v>
      </c>
      <c r="S24" s="954"/>
      <c r="T24" s="954"/>
      <c r="U24" s="473"/>
      <c r="V24" s="4268" t="s">
        <v>1588</v>
      </c>
      <c r="W24" s="4269"/>
      <c r="X24" s="4269"/>
      <c r="Y24" s="4269"/>
      <c r="Z24" s="4269"/>
      <c r="AA24" s="4269"/>
      <c r="AB24" s="4269"/>
      <c r="AC24" s="4269"/>
      <c r="AD24" s="4269"/>
      <c r="AE24" s="4269"/>
      <c r="AF24" s="4269"/>
      <c r="AG24" s="4269"/>
      <c r="AH24" s="4269"/>
      <c r="AI24" s="4269"/>
      <c r="AJ24" s="4270"/>
      <c r="AK24" s="426"/>
      <c r="AL24" s="420"/>
      <c r="AM24" s="2918" t="s">
        <v>9498</v>
      </c>
      <c r="AN24" s="2919"/>
    </row>
    <row r="25" spans="1:40" ht="12" customHeight="1" thickBot="1" x14ac:dyDescent="0.25">
      <c r="A25" s="420"/>
      <c r="B25" s="1149"/>
      <c r="C25" s="474" t="s">
        <v>1352</v>
      </c>
      <c r="D25" s="4285"/>
      <c r="E25" s="4294"/>
      <c r="F25" s="4286"/>
      <c r="G25" s="4292"/>
      <c r="H25" s="4292"/>
      <c r="I25" s="4293"/>
      <c r="J25" s="1143"/>
      <c r="K25" s="466" t="s">
        <v>1600</v>
      </c>
      <c r="L25" s="4254" t="s">
        <v>1621</v>
      </c>
      <c r="M25" s="4254"/>
      <c r="N25" s="4254"/>
      <c r="O25" s="4254"/>
      <c r="P25" s="1567">
        <f>IF(Q25=0,50,"-")</f>
        <v>50</v>
      </c>
      <c r="Q25" s="1744"/>
      <c r="R25" s="1139" t="b">
        <f t="shared" si="1"/>
        <v>0</v>
      </c>
      <c r="S25" s="954"/>
      <c r="T25" s="954"/>
      <c r="U25" s="473">
        <f>IF(V26=0,0,1)</f>
        <v>0</v>
      </c>
      <c r="AK25" s="426"/>
      <c r="AL25" s="420"/>
      <c r="AM25" s="2918" t="s">
        <v>1368</v>
      </c>
      <c r="AN25" s="2919" t="s">
        <v>3198</v>
      </c>
    </row>
    <row r="26" spans="1:40" ht="12" customHeight="1" thickBot="1" x14ac:dyDescent="0.25">
      <c r="A26" s="420"/>
      <c r="B26" s="1149"/>
      <c r="J26" s="1143"/>
      <c r="K26" s="466" t="s">
        <v>1611</v>
      </c>
      <c r="L26" s="4254" t="s">
        <v>1622</v>
      </c>
      <c r="M26" s="4254"/>
      <c r="N26" s="4254"/>
      <c r="O26" s="4254"/>
      <c r="P26" s="1567">
        <f>IF(Q26=0,20,"-")</f>
        <v>20</v>
      </c>
      <c r="Q26" s="1744"/>
      <c r="R26" s="1139" t="b">
        <f t="shared" si="1"/>
        <v>0</v>
      </c>
      <c r="S26" s="954"/>
      <c r="T26" s="954"/>
      <c r="U26" s="473"/>
      <c r="V26" s="4287"/>
      <c r="W26" s="4288"/>
      <c r="X26" s="4288"/>
      <c r="Y26" s="4288"/>
      <c r="Z26" s="4288"/>
      <c r="AA26" s="4289"/>
      <c r="AB26" s="2127" t="s">
        <v>1503</v>
      </c>
      <c r="AD26" s="4287"/>
      <c r="AE26" s="4288"/>
      <c r="AF26" s="4288"/>
      <c r="AG26" s="4288"/>
      <c r="AH26" s="4288"/>
      <c r="AI26" s="4289"/>
      <c r="AJ26" s="2127" t="s">
        <v>1503</v>
      </c>
      <c r="AK26" s="426"/>
      <c r="AL26" s="420"/>
      <c r="AM26" s="291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19" t="str">
        <f>IFERROR(LEFT(AM26,LEN(AM26)-2),"")</f>
        <v/>
      </c>
    </row>
    <row r="27" spans="1:40" ht="12" customHeight="1" thickBot="1" x14ac:dyDescent="0.25">
      <c r="A27" s="420"/>
      <c r="B27" s="1149"/>
      <c r="C27" s="4268" t="s">
        <v>1623</v>
      </c>
      <c r="D27" s="4269"/>
      <c r="E27" s="4269"/>
      <c r="F27" s="4270"/>
      <c r="H27" s="4201" t="s">
        <v>1624</v>
      </c>
      <c r="I27" s="4203"/>
      <c r="J27" s="1143"/>
      <c r="K27" s="4225" t="s">
        <v>1625</v>
      </c>
      <c r="L27" s="4300"/>
      <c r="M27" s="4300"/>
      <c r="N27" s="4300"/>
      <c r="O27" s="4300"/>
      <c r="P27" s="1567">
        <f>IF(Q27=0,10,"-")</f>
        <v>10</v>
      </c>
      <c r="Q27" s="1744"/>
      <c r="R27" s="1139" t="b">
        <f t="shared" si="1"/>
        <v>0</v>
      </c>
      <c r="S27" s="954"/>
      <c r="T27" s="954"/>
      <c r="U27" s="473">
        <f>IF(V28=0,0,1)</f>
        <v>1</v>
      </c>
      <c r="V27" s="4301" t="str">
        <f>IF(V26="","",VLOOKUP(V26,'Tablas Técnicas'!$C$655:$H$838,6,FALSE))</f>
        <v/>
      </c>
      <c r="W27" s="4302"/>
      <c r="X27" s="4302"/>
      <c r="Y27" s="4302"/>
      <c r="Z27" s="2113" t="s">
        <v>1328</v>
      </c>
      <c r="AA27" s="1914" t="str">
        <f>IF(V26="","",VLOOKUP(V26,'Tablas Técnicas'!$C$655:$E$838,3,FALSE))</f>
        <v/>
      </c>
      <c r="AB27" s="2128">
        <f>IF(V26="",0,VLOOKUP(V26,'Tablas Técnicas'!$C$655:$K$838,5,FALSE))</f>
        <v>0</v>
      </c>
      <c r="AD27" s="4301" t="str">
        <f>IF(AD26="","",VLOOKUP(AD26,'Tablas Técnicas'!$C$655:$H$838,6,FALSE))</f>
        <v/>
      </c>
      <c r="AE27" s="4302"/>
      <c r="AF27" s="4302"/>
      <c r="AG27" s="4302"/>
      <c r="AH27" s="2113" t="s">
        <v>1328</v>
      </c>
      <c r="AI27" s="1914" t="str">
        <f>IF(AD26="","",VLOOKUP(AD26,'Tablas Técnicas'!$C$655:$E$838,3,FALSE))</f>
        <v/>
      </c>
      <c r="AJ27" s="2128">
        <f>IF(AD26="",0,VLOOKUP(AD26,'Tablas Técnicas'!$C$655:$K$838,5,FALSE))</f>
        <v>0</v>
      </c>
      <c r="AK27" s="426"/>
      <c r="AL27" s="420"/>
      <c r="AM27" s="2918"/>
      <c r="AN27" s="2919"/>
    </row>
    <row r="28" spans="1:40" ht="12" customHeight="1" x14ac:dyDescent="0.2">
      <c r="A28" s="420"/>
      <c r="B28" s="1149"/>
      <c r="C28" s="4320" t="s">
        <v>1626</v>
      </c>
      <c r="D28" s="4321"/>
      <c r="E28" s="4322" t="s">
        <v>1627</v>
      </c>
      <c r="F28" s="4323"/>
      <c r="G28" s="1236">
        <f>Tablas!H988</f>
        <v>0</v>
      </c>
      <c r="H28" s="4324"/>
      <c r="I28" s="4325"/>
      <c r="J28" s="1143"/>
      <c r="K28" s="466" t="s">
        <v>1611</v>
      </c>
      <c r="L28" s="4254" t="s">
        <v>1628</v>
      </c>
      <c r="M28" s="4254"/>
      <c r="N28" s="4254"/>
      <c r="O28" s="4254"/>
      <c r="P28" s="1567">
        <f>IF(Q28=0,20,"-")</f>
        <v>20</v>
      </c>
      <c r="Q28" s="1744"/>
      <c r="R28" s="1139" t="b">
        <f t="shared" si="1"/>
        <v>0</v>
      </c>
      <c r="S28" s="954"/>
      <c r="T28" s="954"/>
      <c r="U28" s="473"/>
      <c r="V28" s="4295" t="str">
        <f>IFERROR(VLOOKUP(V26,'Tablas Técnicas'!$C$655:$I$838,7,FALSE),"")</f>
        <v/>
      </c>
      <c r="W28" s="4296"/>
      <c r="X28" s="4296"/>
      <c r="Y28" s="4296"/>
      <c r="Z28" s="4296"/>
      <c r="AA28" s="4296"/>
      <c r="AB28" s="4297"/>
      <c r="AD28" s="4295" t="str">
        <f>IFERROR(VLOOKUP(AD26,'Tablas Técnicas'!$C$655:$I$838,7,FALSE),"")</f>
        <v/>
      </c>
      <c r="AE28" s="4296"/>
      <c r="AF28" s="4296"/>
      <c r="AG28" s="4296"/>
      <c r="AH28" s="4296"/>
      <c r="AI28" s="4296"/>
      <c r="AJ28" s="4297"/>
      <c r="AK28" s="426"/>
      <c r="AL28" s="420"/>
      <c r="AM28" s="2918"/>
      <c r="AN28" s="2919"/>
    </row>
    <row r="29" spans="1:40" ht="12" customHeight="1" x14ac:dyDescent="0.2">
      <c r="A29" s="420"/>
      <c r="B29" s="1149"/>
      <c r="C29" s="4314">
        <f>CM_final</f>
        <v>0</v>
      </c>
      <c r="D29" s="4315"/>
      <c r="E29" s="4315">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18"/>
      <c r="H29" s="4303"/>
      <c r="I29" s="4304"/>
      <c r="J29" s="1143"/>
      <c r="K29" s="475"/>
      <c r="L29" s="469" t="s">
        <v>1600</v>
      </c>
      <c r="M29" s="4254" t="s">
        <v>1629</v>
      </c>
      <c r="N29" s="4254"/>
      <c r="O29" s="4254"/>
      <c r="P29" s="1567">
        <f>IF(Q29=0,10,"-")</f>
        <v>10</v>
      </c>
      <c r="Q29" s="1744"/>
      <c r="R29" s="1139" t="b">
        <f t="shared" si="1"/>
        <v>0</v>
      </c>
      <c r="S29" s="954"/>
      <c r="T29" s="954"/>
      <c r="U29" s="473">
        <f>IF(V30=0,0,1)</f>
        <v>0</v>
      </c>
      <c r="V29" s="4295"/>
      <c r="W29" s="4296"/>
      <c r="X29" s="4296"/>
      <c r="Y29" s="4296"/>
      <c r="Z29" s="4296"/>
      <c r="AA29" s="4296"/>
      <c r="AB29" s="4297"/>
      <c r="AD29" s="4295"/>
      <c r="AE29" s="4296"/>
      <c r="AF29" s="4296"/>
      <c r="AG29" s="4296"/>
      <c r="AH29" s="4296"/>
      <c r="AI29" s="4296"/>
      <c r="AJ29" s="4297"/>
      <c r="AK29" s="426"/>
      <c r="AL29" s="420"/>
      <c r="AM29" s="2918"/>
      <c r="AN29" s="2919"/>
    </row>
    <row r="30" spans="1:40" ht="12" customHeight="1" x14ac:dyDescent="0.2">
      <c r="A30" s="420"/>
      <c r="B30" s="1149"/>
      <c r="C30" s="4316"/>
      <c r="D30" s="4317"/>
      <c r="E30" s="4317"/>
      <c r="F30" s="4319"/>
      <c r="H30" s="4298"/>
      <c r="I30" s="4299"/>
      <c r="J30" s="1143"/>
      <c r="K30" s="475"/>
      <c r="L30" s="469" t="s">
        <v>1603</v>
      </c>
      <c r="M30" s="469" t="s">
        <v>1611</v>
      </c>
      <c r="N30" s="1568" t="s">
        <v>8505</v>
      </c>
      <c r="O30" s="1568"/>
      <c r="P30" s="1567">
        <f>IF(Q30=0,20,"-")</f>
        <v>20</v>
      </c>
      <c r="Q30" s="1744"/>
      <c r="R30" s="1139" t="b">
        <f t="shared" si="1"/>
        <v>0</v>
      </c>
      <c r="S30" s="954"/>
      <c r="T30" s="954"/>
      <c r="U30" s="473"/>
      <c r="V30" s="4295"/>
      <c r="W30" s="4296"/>
      <c r="X30" s="4296"/>
      <c r="Y30" s="4296"/>
      <c r="Z30" s="4296"/>
      <c r="AA30" s="4296"/>
      <c r="AB30" s="4297"/>
      <c r="AD30" s="4295"/>
      <c r="AE30" s="4296"/>
      <c r="AF30" s="4296"/>
      <c r="AG30" s="4296"/>
      <c r="AH30" s="4296"/>
      <c r="AI30" s="4296"/>
      <c r="AJ30" s="4297"/>
      <c r="AK30" s="426"/>
      <c r="AL30" s="420"/>
      <c r="AM30" s="2918"/>
      <c r="AN30" s="2919"/>
    </row>
    <row r="31" spans="1:40" ht="12" customHeight="1" thickBot="1" x14ac:dyDescent="0.25">
      <c r="A31" s="420"/>
      <c r="B31" s="1149"/>
      <c r="C31" s="4311" t="str">
        <f>IF(E29&gt;C29,"Exceso de CM",IF(Tablas!$X$21,IF(E29&gt;C29*VLOOKUP(Nivel_Sobrenatural,Tablas!$S$9:$X$12,4,FALSE),"Exceso de CM inicial",""),""))</f>
        <v/>
      </c>
      <c r="D31" s="4312"/>
      <c r="E31" s="4312"/>
      <c r="F31" s="4313"/>
      <c r="H31" s="4298"/>
      <c r="I31" s="4299"/>
      <c r="J31" s="1143"/>
      <c r="K31" s="475"/>
      <c r="L31" s="469" t="s">
        <v>1611</v>
      </c>
      <c r="M31" s="4254" t="s">
        <v>1630</v>
      </c>
      <c r="N31" s="4254"/>
      <c r="O31" s="4254"/>
      <c r="P31" s="1567">
        <f>IF(Q31=0,20,"-")</f>
        <v>20</v>
      </c>
      <c r="Q31" s="1744"/>
      <c r="R31" s="1139" t="b">
        <f t="shared" si="1"/>
        <v>0</v>
      </c>
      <c r="S31" s="954"/>
      <c r="T31" s="954"/>
      <c r="U31" s="473">
        <f>IF(V32=0,0,1)</f>
        <v>0</v>
      </c>
      <c r="V31" s="4295" t="str">
        <f>IFERROR(IF(VLOOKUP(V26,'Tablas Técnicas'!$C$655:$J$838,8,FALSE)="","",VLOOKUP(V26,'Tablas Técnicas'!$C$655:$J$838,8,FALSE)),"")</f>
        <v/>
      </c>
      <c r="W31" s="4296"/>
      <c r="X31" s="4296"/>
      <c r="Y31" s="4296"/>
      <c r="Z31" s="4296"/>
      <c r="AA31" s="4296"/>
      <c r="AB31" s="4297"/>
      <c r="AD31" s="4295" t="str">
        <f>IFERROR(IF(VLOOKUP(AD26,'Tablas Técnicas'!$C$655:$J$838,8,FALSE)="","",VLOOKUP(AD26,'Tablas Técnicas'!$C$655:$J$838,8,FALSE)),"")</f>
        <v/>
      </c>
      <c r="AE31" s="4296"/>
      <c r="AF31" s="4296"/>
      <c r="AG31" s="4296"/>
      <c r="AH31" s="4296"/>
      <c r="AI31" s="4296"/>
      <c r="AJ31" s="4297"/>
      <c r="AK31" s="426"/>
      <c r="AL31" s="420"/>
      <c r="AM31" s="2918"/>
      <c r="AN31" s="2919"/>
    </row>
    <row r="32" spans="1:40" ht="12" customHeight="1" thickBot="1" x14ac:dyDescent="0.25">
      <c r="A32" s="420"/>
      <c r="B32" s="1149"/>
      <c r="H32" s="4303"/>
      <c r="I32" s="4304"/>
      <c r="J32" s="1143"/>
      <c r="K32" s="4225" t="s">
        <v>1631</v>
      </c>
      <c r="L32" s="4226"/>
      <c r="M32" s="4226"/>
      <c r="N32" s="4226"/>
      <c r="O32" s="4226"/>
      <c r="P32" s="1567">
        <f>IF(Q32=0,10,"-")</f>
        <v>10</v>
      </c>
      <c r="Q32" s="1744"/>
      <c r="R32" s="1139" t="b">
        <f t="shared" si="1"/>
        <v>0</v>
      </c>
      <c r="S32" s="954"/>
      <c r="T32" s="954"/>
      <c r="U32" s="473"/>
      <c r="V32" s="4308"/>
      <c r="W32" s="4309"/>
      <c r="X32" s="4309"/>
      <c r="Y32" s="4309"/>
      <c r="Z32" s="4309"/>
      <c r="AA32" s="4309"/>
      <c r="AB32" s="4310"/>
      <c r="AD32" s="4308"/>
      <c r="AE32" s="4309"/>
      <c r="AF32" s="4309"/>
      <c r="AG32" s="4309"/>
      <c r="AH32" s="4309"/>
      <c r="AI32" s="4309"/>
      <c r="AJ32" s="4310"/>
      <c r="AK32" s="426"/>
      <c r="AL32" s="420"/>
      <c r="AM32" s="2918"/>
      <c r="AN32" s="2919"/>
    </row>
    <row r="33" spans="1:40" ht="12" customHeight="1" thickBot="1" x14ac:dyDescent="0.25">
      <c r="A33" s="420"/>
      <c r="B33" s="1149"/>
      <c r="C33" s="4305" t="s">
        <v>1632</v>
      </c>
      <c r="D33" s="4306"/>
      <c r="E33" s="4306"/>
      <c r="F33" s="4307"/>
      <c r="H33" s="4303"/>
      <c r="I33" s="4304"/>
      <c r="J33" s="1143"/>
      <c r="K33" s="466" t="s">
        <v>1600</v>
      </c>
      <c r="L33" s="4300" t="s">
        <v>1633</v>
      </c>
      <c r="M33" s="4226"/>
      <c r="N33" s="4226"/>
      <c r="O33" s="4226"/>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18"/>
      <c r="AN33" s="2919"/>
    </row>
    <row r="34" spans="1:40" ht="12" customHeight="1" x14ac:dyDescent="0.2">
      <c r="A34" s="420"/>
      <c r="B34" s="1149"/>
      <c r="C34" s="4235" t="s">
        <v>1378</v>
      </c>
      <c r="D34" s="4199"/>
      <c r="E34" s="1746" t="s">
        <v>1421</v>
      </c>
      <c r="F34" s="1747" t="s">
        <v>1352</v>
      </c>
      <c r="H34" s="4298"/>
      <c r="I34" s="4299"/>
      <c r="J34" s="1143"/>
      <c r="K34" s="466" t="s">
        <v>1634</v>
      </c>
      <c r="L34" s="469" t="s">
        <v>1611</v>
      </c>
      <c r="M34" s="4300" t="s">
        <v>1635</v>
      </c>
      <c r="N34" s="4300"/>
      <c r="O34" s="4300"/>
      <c r="P34" s="1567">
        <f t="shared" si="2"/>
        <v>10</v>
      </c>
      <c r="Q34" s="1744"/>
      <c r="R34" s="1139" t="b">
        <f t="shared" si="1"/>
        <v>0</v>
      </c>
      <c r="S34" s="954"/>
      <c r="T34" s="954"/>
      <c r="U34" s="473"/>
      <c r="V34" s="4287"/>
      <c r="W34" s="4288"/>
      <c r="X34" s="4288"/>
      <c r="Y34" s="4288"/>
      <c r="Z34" s="4288"/>
      <c r="AA34" s="4289"/>
      <c r="AB34" s="2127" t="s">
        <v>1503</v>
      </c>
      <c r="AD34" s="4287"/>
      <c r="AE34" s="4288"/>
      <c r="AF34" s="4288"/>
      <c r="AG34" s="4288"/>
      <c r="AH34" s="4288"/>
      <c r="AI34" s="4289"/>
      <c r="AJ34" s="2127" t="s">
        <v>1503</v>
      </c>
      <c r="AK34" s="426"/>
      <c r="AL34" s="420"/>
      <c r="AM34" s="2918"/>
      <c r="AN34" s="2919"/>
    </row>
    <row r="35" spans="1:40" ht="12" customHeight="1" x14ac:dyDescent="0.2">
      <c r="A35" s="420"/>
      <c r="B35" s="1149"/>
      <c r="C35" s="4331" t="s">
        <v>1636</v>
      </c>
      <c r="D35" s="4332"/>
      <c r="E35" s="2431"/>
      <c r="F35" s="1915" t="str">
        <f>IF(Ki!P13="-",TRUNC((Ki!C29+Advertir_final)/2+E35+Tablas!$CD$225+IF(Tablas!$G$387&gt;0,10*PDs!$R$15,0),0),"-")</f>
        <v>-</v>
      </c>
      <c r="H35" s="4298"/>
      <c r="I35" s="4299"/>
      <c r="J35" s="1145"/>
      <c r="K35" s="466" t="s">
        <v>1634</v>
      </c>
      <c r="L35" s="420"/>
      <c r="M35" s="469" t="s">
        <v>1611</v>
      </c>
      <c r="N35" s="4333" t="s">
        <v>1637</v>
      </c>
      <c r="O35" s="4333"/>
      <c r="P35" s="1567">
        <f t="shared" si="2"/>
        <v>10</v>
      </c>
      <c r="Q35" s="1744"/>
      <c r="R35" s="1139" t="b">
        <f t="shared" si="1"/>
        <v>0</v>
      </c>
      <c r="S35" s="954"/>
      <c r="T35" s="954"/>
      <c r="U35" s="473">
        <f>IF(V36=0,0,1)</f>
        <v>1</v>
      </c>
      <c r="V35" s="4301" t="str">
        <f>IF(V34="","",VLOOKUP(V34,'Tablas Técnicas'!$C$655:$H$838,6,FALSE))</f>
        <v/>
      </c>
      <c r="W35" s="4302"/>
      <c r="X35" s="4302"/>
      <c r="Y35" s="4302"/>
      <c r="Z35" s="2113" t="s">
        <v>1328</v>
      </c>
      <c r="AA35" s="1914" t="str">
        <f>IF(V34="","",VLOOKUP(V34,'Tablas Técnicas'!$C$655:$E$838,3,FALSE))</f>
        <v/>
      </c>
      <c r="AB35" s="2128">
        <f>IF(V34="",0,VLOOKUP(V34,'Tablas Técnicas'!$C$655:$K$838,5,FALSE))</f>
        <v>0</v>
      </c>
      <c r="AD35" s="4301" t="str">
        <f>IF(AD34="","",VLOOKUP(AD34,'Tablas Técnicas'!$C$655:$H$838,6,FALSE))</f>
        <v/>
      </c>
      <c r="AE35" s="4302"/>
      <c r="AF35" s="4302"/>
      <c r="AG35" s="4302"/>
      <c r="AH35" s="2113" t="s">
        <v>1328</v>
      </c>
      <c r="AI35" s="1914" t="str">
        <f>IF(AD34="","",VLOOKUP(AD34,'Tablas Técnicas'!$C$655:$E$838,3,FALSE))</f>
        <v/>
      </c>
      <c r="AJ35" s="2128">
        <f>IF(AD34="",0,VLOOKUP(AD34,'Tablas Técnicas'!$C$655:$K$838,5,FALSE))</f>
        <v>0</v>
      </c>
      <c r="AK35" s="426"/>
      <c r="AL35" s="420"/>
      <c r="AM35" s="2918"/>
      <c r="AN35" s="2919"/>
    </row>
    <row r="36" spans="1:40" ht="12" customHeight="1" x14ac:dyDescent="0.2">
      <c r="A36" s="420"/>
      <c r="B36" s="1149"/>
      <c r="C36" s="4331" t="s">
        <v>1638</v>
      </c>
      <c r="D36" s="4332"/>
      <c r="E36" s="2432"/>
      <c r="F36" s="1916" t="str">
        <f>IF(OcultacióndelKi,TRUNC((Ocultarse_final+Ki!$C$29)/2+E36+IF(Raza="D'Anjayni",50,0)+IF(Nephilim="Nephilim D'Anjayni",30,0)+Tablas!$CE$225+IF(Tablas!$G$382&gt;0,10*PDs!$R$15,0),0),"-")</f>
        <v>-</v>
      </c>
      <c r="H36" s="4303"/>
      <c r="I36" s="4304"/>
      <c r="J36" s="1145"/>
      <c r="K36" s="466" t="s">
        <v>1600</v>
      </c>
      <c r="L36" s="4300" t="s">
        <v>1639</v>
      </c>
      <c r="M36" s="4226"/>
      <c r="N36" s="4226"/>
      <c r="O36" s="4226"/>
      <c r="P36" s="1567">
        <f t="shared" si="2"/>
        <v>10</v>
      </c>
      <c r="Q36" s="1744"/>
      <c r="R36" s="1139" t="b">
        <f t="shared" si="1"/>
        <v>0</v>
      </c>
      <c r="S36" s="954"/>
      <c r="T36" s="954"/>
      <c r="U36" s="473"/>
      <c r="V36" s="4295" t="str">
        <f>IFERROR(VLOOKUP(V34,'Tablas Técnicas'!$C$655:$I$838,7,FALSE),"")</f>
        <v/>
      </c>
      <c r="W36" s="4296"/>
      <c r="X36" s="4296"/>
      <c r="Y36" s="4296"/>
      <c r="Z36" s="4296"/>
      <c r="AA36" s="4296"/>
      <c r="AB36" s="4297"/>
      <c r="AD36" s="4295" t="str">
        <f>IFERROR(VLOOKUP(AD34,'Tablas Técnicas'!$C$655:$I$838,7,FALSE),"")</f>
        <v/>
      </c>
      <c r="AE36" s="4296"/>
      <c r="AF36" s="4296"/>
      <c r="AG36" s="4296"/>
      <c r="AH36" s="4296"/>
      <c r="AI36" s="4296"/>
      <c r="AJ36" s="4297"/>
      <c r="AK36" s="426"/>
      <c r="AL36" s="420"/>
      <c r="AM36" s="2918"/>
      <c r="AN36" s="2919"/>
    </row>
    <row r="37" spans="1:40" ht="12" customHeight="1" thickBot="1" x14ac:dyDescent="0.25">
      <c r="A37" s="420"/>
      <c r="B37" s="1149"/>
      <c r="C37" s="4326"/>
      <c r="D37" s="4327"/>
      <c r="E37" s="4327"/>
      <c r="F37" s="4328"/>
      <c r="H37" s="4329"/>
      <c r="I37" s="4330"/>
      <c r="J37" s="1145"/>
      <c r="K37" s="466" t="s">
        <v>1634</v>
      </c>
      <c r="L37" s="469" t="s">
        <v>1600</v>
      </c>
      <c r="M37" s="4300" t="s">
        <v>1640</v>
      </c>
      <c r="N37" s="4300"/>
      <c r="O37" s="4300"/>
      <c r="P37" s="1567">
        <f t="shared" si="2"/>
        <v>10</v>
      </c>
      <c r="Q37" s="1744"/>
      <c r="R37" s="1139" t="b">
        <f t="shared" si="1"/>
        <v>0</v>
      </c>
      <c r="S37" s="954"/>
      <c r="T37" s="954"/>
      <c r="U37" s="473">
        <f>IF(V38=0,0,1)</f>
        <v>0</v>
      </c>
      <c r="V37" s="4295"/>
      <c r="W37" s="4296"/>
      <c r="X37" s="4296"/>
      <c r="Y37" s="4296"/>
      <c r="Z37" s="4296"/>
      <c r="AA37" s="4296"/>
      <c r="AB37" s="4297"/>
      <c r="AD37" s="4295"/>
      <c r="AE37" s="4296"/>
      <c r="AF37" s="4296"/>
      <c r="AG37" s="4296"/>
      <c r="AH37" s="4296"/>
      <c r="AI37" s="4296"/>
      <c r="AJ37" s="4297"/>
      <c r="AK37" s="426"/>
      <c r="AL37" s="420"/>
      <c r="AM37" s="2918"/>
      <c r="AN37" s="2919"/>
    </row>
    <row r="38" spans="1:40" ht="12" customHeight="1" thickBot="1" x14ac:dyDescent="0.25">
      <c r="A38" s="420"/>
      <c r="B38" s="1149"/>
      <c r="J38" s="1145"/>
      <c r="K38" s="466" t="s">
        <v>1634</v>
      </c>
      <c r="L38" s="469" t="s">
        <v>1600</v>
      </c>
      <c r="M38" s="4300" t="s">
        <v>1641</v>
      </c>
      <c r="N38" s="4300"/>
      <c r="O38" s="4300"/>
      <c r="P38" s="1567">
        <f t="shared" si="2"/>
        <v>10</v>
      </c>
      <c r="Q38" s="1744"/>
      <c r="R38" s="1139" t="b">
        <f t="shared" si="1"/>
        <v>0</v>
      </c>
      <c r="S38" s="954"/>
      <c r="T38" s="954"/>
      <c r="U38" s="473"/>
      <c r="V38" s="4295"/>
      <c r="W38" s="4296"/>
      <c r="X38" s="4296"/>
      <c r="Y38" s="4296"/>
      <c r="Z38" s="4296"/>
      <c r="AA38" s="4296"/>
      <c r="AB38" s="4297"/>
      <c r="AD38" s="4295"/>
      <c r="AE38" s="4296"/>
      <c r="AF38" s="4296"/>
      <c r="AG38" s="4296"/>
      <c r="AH38" s="4296"/>
      <c r="AI38" s="4296"/>
      <c r="AJ38" s="4297"/>
      <c r="AK38" s="426"/>
      <c r="AL38" s="420"/>
      <c r="AM38" s="2918"/>
      <c r="AN38" s="2919"/>
    </row>
    <row r="39" spans="1:40" ht="12" customHeight="1" x14ac:dyDescent="0.2">
      <c r="A39" s="420"/>
      <c r="B39" s="1149"/>
      <c r="C39" s="4340" t="s">
        <v>1642</v>
      </c>
      <c r="D39" s="4341"/>
      <c r="E39" s="4341"/>
      <c r="F39" s="4342"/>
      <c r="G39" s="4343" t="s">
        <v>1643</v>
      </c>
      <c r="H39" s="4344"/>
      <c r="I39" s="1742">
        <f>IF(Tablas!$G$388&gt;0,2,1)-IF(Ki!C40="",0,1)-IF(Ki!C41="",0,1)</f>
        <v>1</v>
      </c>
      <c r="J39" s="1145"/>
      <c r="K39" s="466" t="s">
        <v>1634</v>
      </c>
      <c r="L39" s="469" t="s">
        <v>1600</v>
      </c>
      <c r="M39" s="4300" t="str">
        <f>"Alcance incrementado"</f>
        <v>Alcance incrementado</v>
      </c>
      <c r="N39" s="4300"/>
      <c r="O39" s="4300"/>
      <c r="P39" s="1567">
        <f t="shared" si="2"/>
        <v>10</v>
      </c>
      <c r="Q39" s="1744"/>
      <c r="R39" s="1139" t="b">
        <f t="shared" si="1"/>
        <v>0</v>
      </c>
      <c r="S39" s="954"/>
      <c r="T39" s="954"/>
      <c r="U39" s="473">
        <f>IF(V40=0,0,1)</f>
        <v>0</v>
      </c>
      <c r="V39" s="4295" t="str">
        <f>IFERROR(IF(VLOOKUP(V34,'Tablas Técnicas'!$C$655:$J$838,8,FALSE)="","",VLOOKUP(V34,'Tablas Técnicas'!$C$655:$J$838,8,FALSE)),"")</f>
        <v/>
      </c>
      <c r="W39" s="4296"/>
      <c r="X39" s="4296"/>
      <c r="Y39" s="4296"/>
      <c r="Z39" s="4296"/>
      <c r="AA39" s="4296"/>
      <c r="AB39" s="4297"/>
      <c r="AD39" s="4295" t="str">
        <f>IFERROR(IF(VLOOKUP(AD34,'Tablas Técnicas'!$C$655:$J$838,8,FALSE)="","",VLOOKUP(AD34,'Tablas Técnicas'!$C$655:$J$838,8,FALSE)),"")</f>
        <v/>
      </c>
      <c r="AE39" s="4296"/>
      <c r="AF39" s="4296"/>
      <c r="AG39" s="4296"/>
      <c r="AH39" s="4296"/>
      <c r="AI39" s="4296"/>
      <c r="AJ39" s="4297"/>
      <c r="AK39" s="426"/>
      <c r="AL39" s="420"/>
      <c r="AM39" s="2918"/>
      <c r="AN39" s="2919"/>
    </row>
    <row r="40" spans="1:40" ht="12" customHeight="1" thickBot="1" x14ac:dyDescent="0.25">
      <c r="A40" s="420"/>
      <c r="B40" s="1149"/>
      <c r="C40" s="4337"/>
      <c r="D40" s="4338"/>
      <c r="E40" s="4338"/>
      <c r="F40" s="4338"/>
      <c r="G40" s="4338"/>
      <c r="H40" s="4339"/>
      <c r="I40" s="541" t="str">
        <f>IF(C40=0,"",VLOOKUP(C40,Tablas!$D$1041:$M$1047,2))</f>
        <v/>
      </c>
      <c r="J40" s="1145"/>
      <c r="K40" s="466" t="s">
        <v>1634</v>
      </c>
      <c r="L40" s="469" t="s">
        <v>1611</v>
      </c>
      <c r="M40" s="4300" t="s">
        <v>1644</v>
      </c>
      <c r="N40" s="4300"/>
      <c r="O40" s="4300"/>
      <c r="P40" s="1567">
        <f t="shared" si="2"/>
        <v>10</v>
      </c>
      <c r="Q40" s="1744"/>
      <c r="R40" s="1139" t="b">
        <f t="shared" si="1"/>
        <v>0</v>
      </c>
      <c r="S40" s="954"/>
      <c r="T40" s="954"/>
      <c r="U40" s="473"/>
      <c r="V40" s="4308"/>
      <c r="W40" s="4309"/>
      <c r="X40" s="4309"/>
      <c r="Y40" s="4309"/>
      <c r="Z40" s="4309"/>
      <c r="AA40" s="4309"/>
      <c r="AB40" s="4310"/>
      <c r="AD40" s="4308"/>
      <c r="AE40" s="4309"/>
      <c r="AF40" s="4309"/>
      <c r="AG40" s="4309"/>
      <c r="AH40" s="4309"/>
      <c r="AI40" s="4309"/>
      <c r="AJ40" s="4310"/>
      <c r="AK40" s="426"/>
      <c r="AL40" s="420"/>
      <c r="AM40" s="2918"/>
      <c r="AN40" s="2919"/>
    </row>
    <row r="41" spans="1:40" ht="12" customHeight="1" thickBot="1" x14ac:dyDescent="0.25">
      <c r="A41" s="420"/>
      <c r="B41" s="1149"/>
      <c r="C41" s="4334"/>
      <c r="D41" s="4335"/>
      <c r="E41" s="4335"/>
      <c r="F41" s="4335"/>
      <c r="G41" s="4335"/>
      <c r="H41" s="4336"/>
      <c r="I41" s="542" t="str">
        <f>IF(C41=0,"",VLOOKUP(C41,Tablas!$D$1041:$M$1047,2))</f>
        <v/>
      </c>
      <c r="J41" s="1145"/>
      <c r="K41" s="466" t="s">
        <v>1600</v>
      </c>
      <c r="L41" s="4300" t="s">
        <v>1645</v>
      </c>
      <c r="M41" s="4226"/>
      <c r="N41" s="4226"/>
      <c r="O41" s="4226"/>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18"/>
      <c r="AN41" s="2919"/>
    </row>
    <row r="42" spans="1:40" ht="12" customHeight="1" thickBot="1" x14ac:dyDescent="0.25">
      <c r="A42" s="420"/>
      <c r="B42" s="1149"/>
      <c r="J42" s="1146"/>
      <c r="K42" s="466" t="s">
        <v>1600</v>
      </c>
      <c r="L42" s="4300" t="s">
        <v>1646</v>
      </c>
      <c r="M42" s="4226"/>
      <c r="N42" s="4226"/>
      <c r="O42" s="4226"/>
      <c r="P42" s="1567">
        <f>IF(Q42=0,30,"-")</f>
        <v>30</v>
      </c>
      <c r="Q42" s="1744"/>
      <c r="R42" s="1139" t="b">
        <f t="shared" si="1"/>
        <v>0</v>
      </c>
      <c r="S42" s="954"/>
      <c r="T42" s="954"/>
      <c r="U42" s="473"/>
      <c r="V42" s="4287"/>
      <c r="W42" s="4288"/>
      <c r="X42" s="4288"/>
      <c r="Y42" s="4288"/>
      <c r="Z42" s="4288"/>
      <c r="AA42" s="4289"/>
      <c r="AB42" s="2127" t="s">
        <v>1503</v>
      </c>
      <c r="AD42" s="4287"/>
      <c r="AE42" s="4288"/>
      <c r="AF42" s="4288"/>
      <c r="AG42" s="4288"/>
      <c r="AH42" s="4288"/>
      <c r="AI42" s="4289"/>
      <c r="AJ42" s="2127" t="s">
        <v>1503</v>
      </c>
      <c r="AK42" s="426"/>
      <c r="AL42" s="420"/>
      <c r="AM42" s="2918"/>
      <c r="AN42" s="2919"/>
    </row>
    <row r="43" spans="1:40" ht="12" customHeight="1" x14ac:dyDescent="0.2">
      <c r="A43" s="420"/>
      <c r="B43" s="1149"/>
      <c r="C43" s="4186" t="s">
        <v>1647</v>
      </c>
      <c r="D43" s="4187"/>
      <c r="E43" s="4187"/>
      <c r="F43" s="4187"/>
      <c r="G43" s="4187"/>
      <c r="H43" s="4190">
        <f>IF(I43=0,70,"-")</f>
        <v>70</v>
      </c>
      <c r="I43" s="4192"/>
      <c r="J43" s="1146"/>
      <c r="K43" s="466" t="s">
        <v>1611</v>
      </c>
      <c r="L43" s="4300" t="s">
        <v>1648</v>
      </c>
      <c r="M43" s="4226"/>
      <c r="N43" s="4226"/>
      <c r="O43" s="4226"/>
      <c r="P43" s="1567">
        <f>IF(Q43=0,10,"-")</f>
        <v>10</v>
      </c>
      <c r="Q43" s="1744"/>
      <c r="R43" s="1139" t="b">
        <f t="shared" si="1"/>
        <v>0</v>
      </c>
      <c r="S43" s="954"/>
      <c r="T43" s="954"/>
      <c r="U43" s="473">
        <f>IF(V44=0,0,1)</f>
        <v>1</v>
      </c>
      <c r="V43" s="4301" t="str">
        <f>IF(V42="","",VLOOKUP(V42,'Tablas Técnicas'!$C$655:$H$838,6,FALSE))</f>
        <v/>
      </c>
      <c r="W43" s="4302"/>
      <c r="X43" s="4302"/>
      <c r="Y43" s="4302"/>
      <c r="Z43" s="2113" t="s">
        <v>1328</v>
      </c>
      <c r="AA43" s="1914" t="str">
        <f>IF(V42="","",VLOOKUP(V42,'Tablas Técnicas'!$C$655:$E$838,3,FALSE))</f>
        <v/>
      </c>
      <c r="AB43" s="2128">
        <f>IF(V42="",0,VLOOKUP(V42,'Tablas Técnicas'!$C$655:$K$838,5,FALSE))</f>
        <v>0</v>
      </c>
      <c r="AD43" s="4301" t="str">
        <f>IF(AD42="","",VLOOKUP(AD42,'Tablas Técnicas'!$C$655:$H$838,6,FALSE))</f>
        <v/>
      </c>
      <c r="AE43" s="4302"/>
      <c r="AF43" s="4302"/>
      <c r="AG43" s="4302"/>
      <c r="AH43" s="2113" t="s">
        <v>1328</v>
      </c>
      <c r="AI43" s="1914" t="str">
        <f>IF(AD42="","",VLOOKUP(AD42,'Tablas Técnicas'!$C$655:$E$838,3,FALSE))</f>
        <v/>
      </c>
      <c r="AJ43" s="2128">
        <f>IF(AD42="",0,VLOOKUP(AD42,'Tablas Técnicas'!$C$655:$K$838,5,FALSE))</f>
        <v>0</v>
      </c>
      <c r="AK43" s="426"/>
      <c r="AL43" s="420"/>
      <c r="AM43" s="2918"/>
      <c r="AN43" s="2919"/>
    </row>
    <row r="44" spans="1:40" ht="12" customHeight="1" thickBot="1" x14ac:dyDescent="0.25">
      <c r="A44" s="420"/>
      <c r="B44" s="1149"/>
      <c r="C44" s="4188"/>
      <c r="D44" s="4189"/>
      <c r="E44" s="4189"/>
      <c r="F44" s="4189"/>
      <c r="G44" s="4189"/>
      <c r="H44" s="4191"/>
      <c r="I44" s="4193"/>
      <c r="J44" s="1146"/>
      <c r="K44" s="4225" t="s">
        <v>1649</v>
      </c>
      <c r="L44" s="4226"/>
      <c r="M44" s="4226"/>
      <c r="N44" s="4226"/>
      <c r="O44" s="4226"/>
      <c r="P44" s="1567">
        <f t="shared" ref="P44:P53" si="3">IF(Q44=0,10,"-")</f>
        <v>10</v>
      </c>
      <c r="Q44" s="1744"/>
      <c r="R44" s="1139" t="b">
        <f t="shared" si="1"/>
        <v>0</v>
      </c>
      <c r="S44" s="954"/>
      <c r="T44" s="954"/>
      <c r="U44" s="473"/>
      <c r="V44" s="4295" t="str">
        <f>IFERROR(VLOOKUP(V42,'Tablas Técnicas'!$C$655:$I$838,7,FALSE),"")</f>
        <v/>
      </c>
      <c r="W44" s="4296"/>
      <c r="X44" s="4296"/>
      <c r="Y44" s="4296"/>
      <c r="Z44" s="4296"/>
      <c r="AA44" s="4296"/>
      <c r="AB44" s="4297"/>
      <c r="AD44" s="4295" t="str">
        <f>IFERROR(VLOOKUP(AD42,'Tablas Técnicas'!$C$655:$I$838,7,FALSE),"")</f>
        <v/>
      </c>
      <c r="AE44" s="4296"/>
      <c r="AF44" s="4296"/>
      <c r="AG44" s="4296"/>
      <c r="AH44" s="4296"/>
      <c r="AI44" s="4296"/>
      <c r="AJ44" s="4297"/>
      <c r="AK44" s="426"/>
      <c r="AL44" s="420"/>
      <c r="AM44" s="2918"/>
      <c r="AN44" s="2919"/>
    </row>
    <row r="45" spans="1:40" ht="12" customHeight="1" x14ac:dyDescent="0.2">
      <c r="A45" s="420"/>
      <c r="B45" s="1140" t="b">
        <f t="shared" ref="B45:B62" si="4">H45="-"</f>
        <v>0</v>
      </c>
      <c r="C45" s="4225" t="s">
        <v>1650</v>
      </c>
      <c r="D45" s="4226"/>
      <c r="E45" s="4226"/>
      <c r="F45" s="4226"/>
      <c r="G45" s="4226"/>
      <c r="H45" s="1567">
        <f>IF(I45=0,20,"-")</f>
        <v>20</v>
      </c>
      <c r="I45" s="1743"/>
      <c r="K45" s="466" t="s">
        <v>1600</v>
      </c>
      <c r="L45" s="4300" t="s">
        <v>1651</v>
      </c>
      <c r="M45" s="4226"/>
      <c r="N45" s="4226"/>
      <c r="O45" s="4226"/>
      <c r="P45" s="1567">
        <f t="shared" si="3"/>
        <v>10</v>
      </c>
      <c r="Q45" s="1744"/>
      <c r="R45" s="1139" t="b">
        <f t="shared" si="1"/>
        <v>0</v>
      </c>
      <c r="S45" s="954"/>
      <c r="T45" s="954"/>
      <c r="U45" s="473">
        <f>IF(V46=0,0,1)</f>
        <v>0</v>
      </c>
      <c r="V45" s="4295"/>
      <c r="W45" s="4296"/>
      <c r="X45" s="4296"/>
      <c r="Y45" s="4296"/>
      <c r="Z45" s="4296"/>
      <c r="AA45" s="4296"/>
      <c r="AB45" s="4297"/>
      <c r="AD45" s="4295"/>
      <c r="AE45" s="4296"/>
      <c r="AF45" s="4296"/>
      <c r="AG45" s="4296"/>
      <c r="AH45" s="4296"/>
      <c r="AI45" s="4296"/>
      <c r="AJ45" s="4297"/>
      <c r="AK45" s="426"/>
      <c r="AL45" s="420"/>
      <c r="AM45" s="2918"/>
      <c r="AN45" s="2919"/>
    </row>
    <row r="46" spans="1:40" ht="12" customHeight="1" x14ac:dyDescent="0.2">
      <c r="A46" s="420"/>
      <c r="B46" s="1140" t="b">
        <f t="shared" si="4"/>
        <v>0</v>
      </c>
      <c r="C46" s="466" t="s">
        <v>1611</v>
      </c>
      <c r="D46" s="4300" t="s">
        <v>1652</v>
      </c>
      <c r="E46" s="4226"/>
      <c r="F46" s="4226"/>
      <c r="G46" s="4226"/>
      <c r="H46" s="1567">
        <f>IF(I46=0,30,"-")</f>
        <v>30</v>
      </c>
      <c r="I46" s="1744"/>
      <c r="K46" s="466" t="s">
        <v>1634</v>
      </c>
      <c r="L46" s="469" t="s">
        <v>1600</v>
      </c>
      <c r="M46" s="4300" t="s">
        <v>1653</v>
      </c>
      <c r="N46" s="4300"/>
      <c r="O46" s="4300"/>
      <c r="P46" s="1567">
        <f t="shared" si="3"/>
        <v>10</v>
      </c>
      <c r="Q46" s="1744"/>
      <c r="R46" s="1139" t="b">
        <f t="shared" si="1"/>
        <v>0</v>
      </c>
      <c r="S46" s="954"/>
      <c r="T46" s="954"/>
      <c r="U46" s="473"/>
      <c r="V46" s="4295"/>
      <c r="W46" s="4296"/>
      <c r="X46" s="4296"/>
      <c r="Y46" s="4296"/>
      <c r="Z46" s="4296"/>
      <c r="AA46" s="4296"/>
      <c r="AB46" s="4297"/>
      <c r="AD46" s="4295"/>
      <c r="AE46" s="4296"/>
      <c r="AF46" s="4296"/>
      <c r="AG46" s="4296"/>
      <c r="AH46" s="4296"/>
      <c r="AI46" s="4296"/>
      <c r="AJ46" s="4297"/>
      <c r="AK46" s="426"/>
      <c r="AL46" s="420"/>
      <c r="AM46" s="2918"/>
      <c r="AN46" s="2919"/>
    </row>
    <row r="47" spans="1:40" ht="12" customHeight="1" x14ac:dyDescent="0.2">
      <c r="A47" s="420"/>
      <c r="B47" s="1140" t="b">
        <f t="shared" si="4"/>
        <v>0</v>
      </c>
      <c r="C47" s="4225" t="s">
        <v>1654</v>
      </c>
      <c r="D47" s="4300"/>
      <c r="E47" s="4300"/>
      <c r="F47" s="4300"/>
      <c r="G47" s="4300"/>
      <c r="H47" s="1567">
        <f>IF(I47=0,30,"-")</f>
        <v>30</v>
      </c>
      <c r="I47" s="1744"/>
      <c r="K47" s="466" t="s">
        <v>1634</v>
      </c>
      <c r="L47" s="469" t="s">
        <v>1611</v>
      </c>
      <c r="M47" s="4300" t="s">
        <v>1655</v>
      </c>
      <c r="N47" s="4300"/>
      <c r="O47" s="4300"/>
      <c r="P47" s="1567">
        <f t="shared" si="3"/>
        <v>10</v>
      </c>
      <c r="Q47" s="1744"/>
      <c r="R47" s="1139" t="b">
        <f t="shared" si="1"/>
        <v>0</v>
      </c>
      <c r="S47" s="954"/>
      <c r="T47" s="954"/>
      <c r="U47" s="473">
        <f>IF(V48=0,0,1)</f>
        <v>0</v>
      </c>
      <c r="V47" s="4295" t="str">
        <f>IFERROR(IF(VLOOKUP(V42,'Tablas Técnicas'!$C$655:$J$838,8,FALSE)="","",VLOOKUP(V42,'Tablas Técnicas'!$C$655:$J$838,8,FALSE)),"")</f>
        <v/>
      </c>
      <c r="W47" s="4296"/>
      <c r="X47" s="4296"/>
      <c r="Y47" s="4296"/>
      <c r="Z47" s="4296"/>
      <c r="AA47" s="4296"/>
      <c r="AB47" s="4297"/>
      <c r="AD47" s="4295" t="str">
        <f>IFERROR(IF(VLOOKUP(AD42,'Tablas Técnicas'!$C$655:$J$838,8,FALSE)="","",VLOOKUP(AD42,'Tablas Técnicas'!$C$655:$J$838,8,FALSE)),"")</f>
        <v/>
      </c>
      <c r="AE47" s="4296"/>
      <c r="AF47" s="4296"/>
      <c r="AG47" s="4296"/>
      <c r="AH47" s="4296"/>
      <c r="AI47" s="4296"/>
      <c r="AJ47" s="4297"/>
      <c r="AK47" s="426"/>
      <c r="AL47" s="420"/>
      <c r="AM47" s="2918"/>
      <c r="AN47" s="2919"/>
    </row>
    <row r="48" spans="1:40" ht="12" customHeight="1" thickBot="1" x14ac:dyDescent="0.25">
      <c r="A48" s="420"/>
      <c r="B48" s="1140" t="b">
        <f t="shared" si="4"/>
        <v>0</v>
      </c>
      <c r="C48" s="466" t="s">
        <v>1611</v>
      </c>
      <c r="D48" s="4300" t="s">
        <v>1656</v>
      </c>
      <c r="E48" s="4300"/>
      <c r="F48" s="4300"/>
      <c r="G48" s="4300"/>
      <c r="H48" s="1567">
        <f>IF(I48=0,20,"-")</f>
        <v>20</v>
      </c>
      <c r="I48" s="1744"/>
      <c r="K48" s="466" t="s">
        <v>1611</v>
      </c>
      <c r="L48" s="4300" t="s">
        <v>1657</v>
      </c>
      <c r="M48" s="4226"/>
      <c r="N48" s="4226"/>
      <c r="O48" s="4226"/>
      <c r="P48" s="1567">
        <f t="shared" si="3"/>
        <v>10</v>
      </c>
      <c r="Q48" s="1744"/>
      <c r="R48" s="1139" t="b">
        <f t="shared" si="1"/>
        <v>0</v>
      </c>
      <c r="S48" s="954"/>
      <c r="T48" s="954"/>
      <c r="U48" s="473"/>
      <c r="V48" s="4308"/>
      <c r="W48" s="4309"/>
      <c r="X48" s="4309"/>
      <c r="Y48" s="4309"/>
      <c r="Z48" s="4309"/>
      <c r="AA48" s="4309"/>
      <c r="AB48" s="4310"/>
      <c r="AD48" s="4308"/>
      <c r="AE48" s="4309"/>
      <c r="AF48" s="4309"/>
      <c r="AG48" s="4309"/>
      <c r="AH48" s="4309"/>
      <c r="AI48" s="4309"/>
      <c r="AJ48" s="4310"/>
      <c r="AK48" s="426"/>
      <c r="AL48" s="420"/>
      <c r="AM48" s="2918"/>
      <c r="AN48" s="2919"/>
    </row>
    <row r="49" spans="1:40" ht="12" customHeight="1" thickBot="1" x14ac:dyDescent="0.25">
      <c r="A49" s="420"/>
      <c r="B49" s="1140" t="b">
        <f t="shared" si="4"/>
        <v>0</v>
      </c>
      <c r="C49" s="4225" t="s">
        <v>1658</v>
      </c>
      <c r="D49" s="4300"/>
      <c r="E49" s="4300"/>
      <c r="F49" s="4300"/>
      <c r="G49" s="4300"/>
      <c r="H49" s="1567">
        <f>IF(I49=0,30,"-")</f>
        <v>30</v>
      </c>
      <c r="I49" s="1744"/>
      <c r="K49" s="4225" t="s">
        <v>1659</v>
      </c>
      <c r="L49" s="4226"/>
      <c r="M49" s="4226"/>
      <c r="N49" s="4226"/>
      <c r="O49" s="4226"/>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18"/>
      <c r="AN49" s="2919"/>
    </row>
    <row r="50" spans="1:40" ht="12" customHeight="1" x14ac:dyDescent="0.2">
      <c r="A50" s="420"/>
      <c r="B50" s="1140" t="b">
        <f t="shared" si="4"/>
        <v>0</v>
      </c>
      <c r="C50" s="466" t="s">
        <v>1611</v>
      </c>
      <c r="D50" s="4300" t="s">
        <v>1660</v>
      </c>
      <c r="E50" s="4300"/>
      <c r="F50" s="4300"/>
      <c r="G50" s="4300"/>
      <c r="H50" s="1567">
        <f>IF(I50=0,20,"-")</f>
        <v>20</v>
      </c>
      <c r="I50" s="1744"/>
      <c r="K50" s="466" t="s">
        <v>1600</v>
      </c>
      <c r="L50" s="4300" t="s">
        <v>1661</v>
      </c>
      <c r="M50" s="4226"/>
      <c r="N50" s="4226"/>
      <c r="O50" s="4226"/>
      <c r="P50" s="1567">
        <f>IF(AND(Q50=0,NOT(Raza="D'Anjayni"),NOT(Nephilim="Nephilim D'Anjayni")),10,"-")</f>
        <v>10</v>
      </c>
      <c r="Q50" s="1744"/>
      <c r="R50" s="1139" t="b">
        <f>P50="-"</f>
        <v>0</v>
      </c>
      <c r="S50" s="954"/>
      <c r="T50" s="954"/>
      <c r="U50" s="473"/>
      <c r="V50" s="4287"/>
      <c r="W50" s="4288"/>
      <c r="X50" s="4288"/>
      <c r="Y50" s="4288"/>
      <c r="Z50" s="4288"/>
      <c r="AA50" s="4289"/>
      <c r="AB50" s="2127" t="s">
        <v>1503</v>
      </c>
      <c r="AD50" s="4287"/>
      <c r="AE50" s="4288"/>
      <c r="AF50" s="4288"/>
      <c r="AG50" s="4288"/>
      <c r="AH50" s="4288"/>
      <c r="AI50" s="4289"/>
      <c r="AJ50" s="2127" t="s">
        <v>1503</v>
      </c>
      <c r="AK50" s="426"/>
      <c r="AL50" s="420"/>
      <c r="AM50" s="2918"/>
      <c r="AN50" s="2919"/>
    </row>
    <row r="51" spans="1:40" ht="12" customHeight="1" x14ac:dyDescent="0.2">
      <c r="A51" s="420"/>
      <c r="B51" s="1140" t="b">
        <f t="shared" si="4"/>
        <v>0</v>
      </c>
      <c r="C51" s="4225" t="s">
        <v>1662</v>
      </c>
      <c r="D51" s="4300"/>
      <c r="E51" s="4300"/>
      <c r="F51" s="4300"/>
      <c r="G51" s="4300"/>
      <c r="H51" s="1567">
        <f>IF(I51=0,30,"-")</f>
        <v>30</v>
      </c>
      <c r="I51" s="1744"/>
      <c r="K51" s="466" t="s">
        <v>1634</v>
      </c>
      <c r="L51" s="469" t="s">
        <v>1600</v>
      </c>
      <c r="M51" s="4300" t="s">
        <v>1663</v>
      </c>
      <c r="N51" s="4300"/>
      <c r="O51" s="4300"/>
      <c r="P51" s="1567">
        <f t="shared" si="3"/>
        <v>10</v>
      </c>
      <c r="Q51" s="1744"/>
      <c r="R51" s="1139" t="b">
        <f t="shared" si="1"/>
        <v>0</v>
      </c>
      <c r="S51" s="954"/>
      <c r="T51" s="954"/>
      <c r="U51" s="473">
        <f>IF(V52=0,0,1)</f>
        <v>1</v>
      </c>
      <c r="V51" s="4301" t="str">
        <f>IF(V50="","",VLOOKUP(V50,'Tablas Técnicas'!$C$655:$H$838,6,FALSE))</f>
        <v/>
      </c>
      <c r="W51" s="4302"/>
      <c r="X51" s="4302"/>
      <c r="Y51" s="4302"/>
      <c r="Z51" s="2113" t="s">
        <v>1328</v>
      </c>
      <c r="AA51" s="1914" t="str">
        <f>IF(V50="","",VLOOKUP(V50,'Tablas Técnicas'!$C$655:$E$838,3,FALSE))</f>
        <v/>
      </c>
      <c r="AB51" s="2128">
        <f>IF(V50="",0,VLOOKUP(V50,'Tablas Técnicas'!$C$655:$K$838,5,FALSE))</f>
        <v>0</v>
      </c>
      <c r="AD51" s="4301" t="str">
        <f>IF(AD50="","",VLOOKUP(AD50,'Tablas Técnicas'!$C$655:$H$838,6,FALSE))</f>
        <v/>
      </c>
      <c r="AE51" s="4302"/>
      <c r="AF51" s="4302"/>
      <c r="AG51" s="4302"/>
      <c r="AH51" s="2113" t="s">
        <v>1328</v>
      </c>
      <c r="AI51" s="1914" t="str">
        <f>IF(AD50="","",VLOOKUP(AD50,'Tablas Técnicas'!$C$655:$E$838,3,FALSE))</f>
        <v/>
      </c>
      <c r="AJ51" s="2128">
        <f>IF(AD50="",0,VLOOKUP(AD50,'Tablas Técnicas'!$C$655:$K$838,5,FALSE))</f>
        <v>0</v>
      </c>
      <c r="AK51" s="426"/>
      <c r="AL51" s="420"/>
      <c r="AM51" s="2918"/>
      <c r="AN51" s="2919"/>
    </row>
    <row r="52" spans="1:40" ht="12" customHeight="1" x14ac:dyDescent="0.2">
      <c r="A52" s="420"/>
      <c r="B52" s="1140" t="b">
        <f t="shared" si="4"/>
        <v>0</v>
      </c>
      <c r="C52" s="466" t="s">
        <v>1611</v>
      </c>
      <c r="D52" s="4300" t="s">
        <v>1664</v>
      </c>
      <c r="E52" s="4300"/>
      <c r="F52" s="4300"/>
      <c r="G52" s="4300"/>
      <c r="H52" s="1567">
        <f>IF(I52=0,20,"-")</f>
        <v>20</v>
      </c>
      <c r="I52" s="1744"/>
      <c r="K52" s="466" t="s">
        <v>1634</v>
      </c>
      <c r="L52" s="469" t="s">
        <v>1611</v>
      </c>
      <c r="M52" s="4300" t="s">
        <v>1665</v>
      </c>
      <c r="N52" s="4300"/>
      <c r="O52" s="4300"/>
      <c r="P52" s="1567">
        <f t="shared" si="3"/>
        <v>10</v>
      </c>
      <c r="Q52" s="1744"/>
      <c r="R52" s="1139" t="b">
        <f t="shared" si="1"/>
        <v>0</v>
      </c>
      <c r="S52" s="954"/>
      <c r="T52" s="954"/>
      <c r="U52" s="473"/>
      <c r="V52" s="4295" t="str">
        <f>IFERROR(VLOOKUP(V50,'Tablas Técnicas'!$C$655:$I$838,7,FALSE),"")</f>
        <v/>
      </c>
      <c r="W52" s="4296"/>
      <c r="X52" s="4296"/>
      <c r="Y52" s="4296"/>
      <c r="Z52" s="4296"/>
      <c r="AA52" s="4296"/>
      <c r="AB52" s="4297"/>
      <c r="AD52" s="4295" t="str">
        <f>IFERROR(VLOOKUP(AD50,'Tablas Técnicas'!$C$655:$I$838,7,FALSE),"")</f>
        <v/>
      </c>
      <c r="AE52" s="4296"/>
      <c r="AF52" s="4296"/>
      <c r="AG52" s="4296"/>
      <c r="AH52" s="4296"/>
      <c r="AI52" s="4296"/>
      <c r="AJ52" s="4297"/>
      <c r="AK52" s="426"/>
      <c r="AL52" s="420"/>
      <c r="AM52" s="2918"/>
      <c r="AN52" s="2919"/>
    </row>
    <row r="53" spans="1:40" ht="12" customHeight="1" x14ac:dyDescent="0.2">
      <c r="A53" s="420"/>
      <c r="B53" s="1140" t="b">
        <f t="shared" si="4"/>
        <v>0</v>
      </c>
      <c r="C53" s="4225" t="s">
        <v>1666</v>
      </c>
      <c r="D53" s="4226"/>
      <c r="E53" s="4226"/>
      <c r="F53" s="4226"/>
      <c r="G53" s="4226"/>
      <c r="H53" s="1567">
        <f>IF(I53=0,30,"-")</f>
        <v>30</v>
      </c>
      <c r="I53" s="1744"/>
      <c r="K53" s="466" t="s">
        <v>1600</v>
      </c>
      <c r="L53" s="4300" t="s">
        <v>1667</v>
      </c>
      <c r="M53" s="4226"/>
      <c r="N53" s="4226"/>
      <c r="O53" s="4226"/>
      <c r="P53" s="1567">
        <f t="shared" si="3"/>
        <v>10</v>
      </c>
      <c r="Q53" s="1744"/>
      <c r="R53" s="1139" t="b">
        <f t="shared" si="1"/>
        <v>0</v>
      </c>
      <c r="S53" s="954"/>
      <c r="T53" s="954"/>
      <c r="U53" s="473">
        <f>IF(V54=0,0,1)</f>
        <v>0</v>
      </c>
      <c r="V53" s="4295"/>
      <c r="W53" s="4296"/>
      <c r="X53" s="4296"/>
      <c r="Y53" s="4296"/>
      <c r="Z53" s="4296"/>
      <c r="AA53" s="4296"/>
      <c r="AB53" s="4297"/>
      <c r="AD53" s="4295"/>
      <c r="AE53" s="4296"/>
      <c r="AF53" s="4296"/>
      <c r="AG53" s="4296"/>
      <c r="AH53" s="4296"/>
      <c r="AI53" s="4296"/>
      <c r="AJ53" s="4297"/>
      <c r="AK53" s="426"/>
      <c r="AL53" s="420"/>
      <c r="AM53" s="2918"/>
      <c r="AN53" s="2919"/>
    </row>
    <row r="54" spans="1:40" ht="12" customHeight="1" x14ac:dyDescent="0.2">
      <c r="A54" s="420"/>
      <c r="B54" s="1140" t="b">
        <f t="shared" si="4"/>
        <v>0</v>
      </c>
      <c r="C54" s="4225" t="s">
        <v>1668</v>
      </c>
      <c r="D54" s="4226"/>
      <c r="E54" s="4226"/>
      <c r="F54" s="4226"/>
      <c r="G54" s="4226"/>
      <c r="H54" s="1567">
        <f>IF(I54=0,30,"-")</f>
        <v>30</v>
      </c>
      <c r="I54" s="1744"/>
      <c r="K54" s="466" t="s">
        <v>1634</v>
      </c>
      <c r="L54" s="469" t="s">
        <v>1600</v>
      </c>
      <c r="M54" s="4300" t="s">
        <v>1669</v>
      </c>
      <c r="N54" s="4300"/>
      <c r="O54" s="4300"/>
      <c r="P54" s="1567">
        <f>IF(Q54=0,20,"-")</f>
        <v>20</v>
      </c>
      <c r="Q54" s="1744"/>
      <c r="R54" s="1139" t="b">
        <f t="shared" si="1"/>
        <v>0</v>
      </c>
      <c r="S54" s="954"/>
      <c r="T54" s="954"/>
      <c r="U54" s="473"/>
      <c r="V54" s="4295"/>
      <c r="W54" s="4296"/>
      <c r="X54" s="4296"/>
      <c r="Y54" s="4296"/>
      <c r="Z54" s="4296"/>
      <c r="AA54" s="4296"/>
      <c r="AB54" s="4297"/>
      <c r="AD54" s="4295"/>
      <c r="AE54" s="4296"/>
      <c r="AF54" s="4296"/>
      <c r="AG54" s="4296"/>
      <c r="AH54" s="4296"/>
      <c r="AI54" s="4296"/>
      <c r="AJ54" s="4297"/>
      <c r="AK54" s="426"/>
      <c r="AL54" s="420"/>
      <c r="AM54" s="2918"/>
      <c r="AN54" s="2919"/>
    </row>
    <row r="55" spans="1:40" ht="12" customHeight="1" x14ac:dyDescent="0.2">
      <c r="A55" s="420"/>
      <c r="B55" s="1140" t="b">
        <f t="shared" si="4"/>
        <v>0</v>
      </c>
      <c r="C55" s="466" t="s">
        <v>1600</v>
      </c>
      <c r="D55" s="4300" t="s">
        <v>1670</v>
      </c>
      <c r="E55" s="4226"/>
      <c r="F55" s="4226"/>
      <c r="G55" s="4226"/>
      <c r="H55" s="1567">
        <f>IF(I55=0,30,"-")</f>
        <v>30</v>
      </c>
      <c r="I55" s="1744"/>
      <c r="K55" s="466" t="s">
        <v>1634</v>
      </c>
      <c r="L55" s="469" t="s">
        <v>1600</v>
      </c>
      <c r="M55" s="4300" t="s">
        <v>1671</v>
      </c>
      <c r="N55" s="4300"/>
      <c r="O55" s="4300"/>
      <c r="P55" s="1567">
        <f>IF(Q55=0,20,"-")</f>
        <v>20</v>
      </c>
      <c r="Q55" s="1744"/>
      <c r="R55" s="1139" t="b">
        <f t="shared" si="1"/>
        <v>0</v>
      </c>
      <c r="S55" s="954"/>
      <c r="T55" s="954"/>
      <c r="U55" s="473">
        <f>IF(V56=0,0,1)</f>
        <v>0</v>
      </c>
      <c r="V55" s="4295" t="str">
        <f>IFERROR(IF(VLOOKUP(V50,'Tablas Técnicas'!$C$655:$J$838,8,FALSE)="","",VLOOKUP(V50,'Tablas Técnicas'!$C$655:$J$838,8,FALSE)),"")</f>
        <v/>
      </c>
      <c r="W55" s="4296"/>
      <c r="X55" s="4296"/>
      <c r="Y55" s="4296"/>
      <c r="Z55" s="4296"/>
      <c r="AA55" s="4296"/>
      <c r="AB55" s="4297"/>
      <c r="AD55" s="4295" t="str">
        <f>IFERROR(IF(VLOOKUP(AD50,'Tablas Técnicas'!$C$655:$J$838,8,FALSE)="","",VLOOKUP(AD50,'Tablas Técnicas'!$C$655:$J$838,8,FALSE)),"")</f>
        <v/>
      </c>
      <c r="AE55" s="4296"/>
      <c r="AF55" s="4296"/>
      <c r="AG55" s="4296"/>
      <c r="AH55" s="4296"/>
      <c r="AI55" s="4296"/>
      <c r="AJ55" s="4297"/>
      <c r="AK55" s="426"/>
      <c r="AL55" s="420"/>
      <c r="AM55" s="2918"/>
      <c r="AN55" s="2919"/>
    </row>
    <row r="56" spans="1:40" ht="12" customHeight="1" thickBot="1" x14ac:dyDescent="0.25">
      <c r="A56" s="420"/>
      <c r="B56" s="1140" t="b">
        <f t="shared" si="4"/>
        <v>0</v>
      </c>
      <c r="C56" s="4225" t="s">
        <v>1672</v>
      </c>
      <c r="D56" s="4226"/>
      <c r="E56" s="4226"/>
      <c r="F56" s="4226"/>
      <c r="G56" s="4226"/>
      <c r="H56" s="1567">
        <f>IF(I56=0,10,"-")</f>
        <v>10</v>
      </c>
      <c r="I56" s="1744"/>
      <c r="K56" s="466" t="s">
        <v>1634</v>
      </c>
      <c r="L56" s="469" t="s">
        <v>1611</v>
      </c>
      <c r="M56" s="4300" t="s">
        <v>1673</v>
      </c>
      <c r="N56" s="4300"/>
      <c r="O56" s="4300"/>
      <c r="P56" s="1567">
        <f>IF(Q56=0,20,"-")</f>
        <v>20</v>
      </c>
      <c r="Q56" s="1744"/>
      <c r="R56" s="1139" t="b">
        <f t="shared" si="1"/>
        <v>0</v>
      </c>
      <c r="S56" s="954"/>
      <c r="T56" s="954"/>
      <c r="U56" s="473"/>
      <c r="V56" s="4308"/>
      <c r="W56" s="4309"/>
      <c r="X56" s="4309"/>
      <c r="Y56" s="4309"/>
      <c r="Z56" s="4309"/>
      <c r="AA56" s="4309"/>
      <c r="AB56" s="4310"/>
      <c r="AD56" s="4308"/>
      <c r="AE56" s="4309"/>
      <c r="AF56" s="4309"/>
      <c r="AG56" s="4309"/>
      <c r="AH56" s="4309"/>
      <c r="AI56" s="4309"/>
      <c r="AJ56" s="4310"/>
      <c r="AK56" s="426"/>
      <c r="AL56" s="420"/>
      <c r="AM56" s="2918"/>
      <c r="AN56" s="2919"/>
    </row>
    <row r="57" spans="1:40" ht="12" customHeight="1" thickBot="1" x14ac:dyDescent="0.25">
      <c r="A57" s="420"/>
      <c r="B57" s="1140" t="b">
        <f t="shared" si="4"/>
        <v>0</v>
      </c>
      <c r="C57" s="466" t="s">
        <v>1600</v>
      </c>
      <c r="D57" s="4300" t="s">
        <v>1674</v>
      </c>
      <c r="E57" s="4226"/>
      <c r="F57" s="4226"/>
      <c r="G57" s="4226"/>
      <c r="H57" s="1567">
        <f>IF(I57=0,10,"-")</f>
        <v>10</v>
      </c>
      <c r="I57" s="1744"/>
      <c r="K57" s="466" t="s">
        <v>1600</v>
      </c>
      <c r="L57" s="4300" t="s">
        <v>1675</v>
      </c>
      <c r="M57" s="4226"/>
      <c r="N57" s="4226"/>
      <c r="O57" s="4226"/>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18"/>
      <c r="AN57" s="2919"/>
    </row>
    <row r="58" spans="1:40" ht="12" customHeight="1" x14ac:dyDescent="0.2">
      <c r="A58" s="420"/>
      <c r="B58" s="1140" t="b">
        <f t="shared" si="4"/>
        <v>0</v>
      </c>
      <c r="C58" s="466" t="s">
        <v>1600</v>
      </c>
      <c r="D58" s="4300" t="s">
        <v>1676</v>
      </c>
      <c r="E58" s="4226"/>
      <c r="F58" s="4226"/>
      <c r="G58" s="4226"/>
      <c r="H58" s="1567">
        <f>IF(I58=0,20,"-")</f>
        <v>20</v>
      </c>
      <c r="I58" s="1744"/>
      <c r="K58" s="466" t="s">
        <v>1634</v>
      </c>
      <c r="L58" s="469" t="s">
        <v>1611</v>
      </c>
      <c r="M58" s="4300" t="s">
        <v>1677</v>
      </c>
      <c r="N58" s="4300"/>
      <c r="O58" s="4300"/>
      <c r="P58" s="1567">
        <f>IF(Q58=0,20,"-")</f>
        <v>20</v>
      </c>
      <c r="Q58" s="1744"/>
      <c r="R58" s="1139" t="b">
        <f t="shared" si="1"/>
        <v>0</v>
      </c>
      <c r="S58" s="954"/>
      <c r="T58" s="954"/>
      <c r="U58" s="473"/>
      <c r="V58" s="4287"/>
      <c r="W58" s="4288"/>
      <c r="X58" s="4288"/>
      <c r="Y58" s="4288"/>
      <c r="Z58" s="4288"/>
      <c r="AA58" s="4289"/>
      <c r="AB58" s="2127" t="s">
        <v>1503</v>
      </c>
      <c r="AD58" s="4287"/>
      <c r="AE58" s="4288"/>
      <c r="AF58" s="4288"/>
      <c r="AG58" s="4288"/>
      <c r="AH58" s="4288"/>
      <c r="AI58" s="4289"/>
      <c r="AJ58" s="2127" t="s">
        <v>1503</v>
      </c>
      <c r="AK58" s="426"/>
      <c r="AL58" s="420"/>
      <c r="AM58" s="2918"/>
      <c r="AN58" s="2919"/>
    </row>
    <row r="59" spans="1:40" ht="12" customHeight="1" x14ac:dyDescent="0.2">
      <c r="A59" s="420"/>
      <c r="B59" s="1140" t="b">
        <f t="shared" si="4"/>
        <v>0</v>
      </c>
      <c r="C59" s="466" t="s">
        <v>1611</v>
      </c>
      <c r="D59" s="4300" t="s">
        <v>1678</v>
      </c>
      <c r="E59" s="4226"/>
      <c r="F59" s="4226"/>
      <c r="G59" s="4226"/>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301" t="str">
        <f>IF(V58="","",VLOOKUP(V58,'Tablas Técnicas'!$C$655:$H$838,6,FALSE))</f>
        <v/>
      </c>
      <c r="W59" s="4302"/>
      <c r="X59" s="4302"/>
      <c r="Y59" s="4302"/>
      <c r="Z59" s="2113" t="s">
        <v>1328</v>
      </c>
      <c r="AA59" s="1914" t="str">
        <f>IF(V58="","",VLOOKUP(V58,'Tablas Técnicas'!$C$655:$E$838,3,FALSE))</f>
        <v/>
      </c>
      <c r="AB59" s="2128">
        <f>IF(V58="",0,VLOOKUP(V58,'Tablas Técnicas'!$C$655:$K$838,5,FALSE))</f>
        <v>0</v>
      </c>
      <c r="AD59" s="4301" t="str">
        <f>IF(AD58="","",VLOOKUP(AD58,'Tablas Técnicas'!$C$655:$H$838,6,FALSE))</f>
        <v/>
      </c>
      <c r="AE59" s="4302"/>
      <c r="AF59" s="4302"/>
      <c r="AG59" s="4302"/>
      <c r="AH59" s="2113" t="s">
        <v>1328</v>
      </c>
      <c r="AI59" s="1914" t="str">
        <f>IF(AD58="","",VLOOKUP(AD58,'Tablas Técnicas'!$C$655:$E$838,3,FALSE))</f>
        <v/>
      </c>
      <c r="AJ59" s="2128">
        <f>IF(AD58="",0,VLOOKUP(AD58,'Tablas Técnicas'!$C$655:$K$838,5,FALSE))</f>
        <v>0</v>
      </c>
      <c r="AK59" s="426"/>
      <c r="AL59" s="420"/>
      <c r="AM59" s="2918"/>
      <c r="AN59" s="2919"/>
    </row>
    <row r="60" spans="1:40" ht="12" customHeight="1" x14ac:dyDescent="0.3">
      <c r="A60" s="420"/>
      <c r="B60" s="1140" t="b">
        <f t="shared" si="4"/>
        <v>0</v>
      </c>
      <c r="C60" s="476"/>
      <c r="D60" s="469" t="s">
        <v>1611</v>
      </c>
      <c r="E60" s="4300" t="s">
        <v>1680</v>
      </c>
      <c r="F60" s="4300"/>
      <c r="G60" s="4300"/>
      <c r="H60" s="1567">
        <f>IF(I60=0,40,"-")</f>
        <v>40</v>
      </c>
      <c r="I60" s="1744"/>
      <c r="K60" s="466" t="s">
        <v>1611</v>
      </c>
      <c r="L60" s="4300" t="s">
        <v>1681</v>
      </c>
      <c r="M60" s="4300"/>
      <c r="N60" s="4300"/>
      <c r="O60" s="4300"/>
      <c r="P60" s="1567">
        <f>IF(Q60=0,20,"-")</f>
        <v>20</v>
      </c>
      <c r="Q60" s="1744"/>
      <c r="R60" s="1139" t="b">
        <f t="shared" si="1"/>
        <v>0</v>
      </c>
      <c r="S60" s="954"/>
      <c r="T60" s="954"/>
      <c r="U60" s="473"/>
      <c r="V60" s="4295" t="str">
        <f>IFERROR(VLOOKUP(V58,'Tablas Técnicas'!$C$655:$I$838,7,FALSE),"")</f>
        <v/>
      </c>
      <c r="W60" s="4296"/>
      <c r="X60" s="4296"/>
      <c r="Y60" s="4296"/>
      <c r="Z60" s="4296"/>
      <c r="AA60" s="4296"/>
      <c r="AB60" s="4297"/>
      <c r="AD60" s="4295" t="str">
        <f>IFERROR(VLOOKUP(AD58,'Tablas Técnicas'!$C$655:$I$838,7,FALSE),"")</f>
        <v/>
      </c>
      <c r="AE60" s="4296"/>
      <c r="AF60" s="4296"/>
      <c r="AG60" s="4296"/>
      <c r="AH60" s="4296"/>
      <c r="AI60" s="4296"/>
      <c r="AJ60" s="4297"/>
      <c r="AK60" s="426"/>
      <c r="AL60" s="420"/>
      <c r="AM60" s="2918"/>
      <c r="AN60" s="2919"/>
    </row>
    <row r="61" spans="1:40" ht="12" customHeight="1" x14ac:dyDescent="0.2">
      <c r="A61" s="420"/>
      <c r="B61" s="1140" t="b">
        <f t="shared" si="4"/>
        <v>0</v>
      </c>
      <c r="C61" s="4225" t="s">
        <v>1682</v>
      </c>
      <c r="D61" s="4226"/>
      <c r="E61" s="4226"/>
      <c r="F61" s="4226"/>
      <c r="G61" s="4226"/>
      <c r="H61" s="1567">
        <f>IF(I61=0,30,"-")</f>
        <v>30</v>
      </c>
      <c r="I61" s="1744"/>
      <c r="K61" s="475"/>
      <c r="L61" s="469" t="s">
        <v>1611</v>
      </c>
      <c r="M61" s="4300" t="s">
        <v>1683</v>
      </c>
      <c r="N61" s="4300"/>
      <c r="O61" s="4300"/>
      <c r="P61" s="1567">
        <f>IF(Q61=0,20,"-")</f>
        <v>20</v>
      </c>
      <c r="Q61" s="1744"/>
      <c r="R61" s="1139" t="b">
        <f t="shared" si="1"/>
        <v>0</v>
      </c>
      <c r="S61" s="954"/>
      <c r="T61" s="954"/>
      <c r="U61" s="473">
        <f>IF(V62=0,0,1)</f>
        <v>0</v>
      </c>
      <c r="V61" s="4295"/>
      <c r="W61" s="4296"/>
      <c r="X61" s="4296"/>
      <c r="Y61" s="4296"/>
      <c r="Z61" s="4296"/>
      <c r="AA61" s="4296"/>
      <c r="AB61" s="4297"/>
      <c r="AD61" s="4295"/>
      <c r="AE61" s="4296"/>
      <c r="AF61" s="4296"/>
      <c r="AG61" s="4296"/>
      <c r="AH61" s="4296"/>
      <c r="AI61" s="4296"/>
      <c r="AJ61" s="4297"/>
      <c r="AK61" s="426"/>
      <c r="AL61" s="420"/>
      <c r="AM61" s="2918"/>
      <c r="AN61" s="2919"/>
    </row>
    <row r="62" spans="1:40" ht="12" customHeight="1" x14ac:dyDescent="0.2">
      <c r="A62" s="420"/>
      <c r="B62" s="1140" t="b">
        <f t="shared" si="4"/>
        <v>0</v>
      </c>
      <c r="C62" s="4225" t="s">
        <v>1684</v>
      </c>
      <c r="D62" s="4226"/>
      <c r="E62" s="4226"/>
      <c r="F62" s="4226"/>
      <c r="G62" s="4226"/>
      <c r="H62" s="1567">
        <f>IF(I62=0,10,"-")</f>
        <v>10</v>
      </c>
      <c r="I62" s="1744"/>
      <c r="K62" s="4225" t="s">
        <v>1685</v>
      </c>
      <c r="L62" s="4226"/>
      <c r="M62" s="4226"/>
      <c r="N62" s="4226"/>
      <c r="O62" s="4226"/>
      <c r="P62" s="1567">
        <f>IF(Q62=0,50,"-")</f>
        <v>50</v>
      </c>
      <c r="Q62" s="1744"/>
      <c r="R62" s="1139" t="b">
        <f t="shared" si="1"/>
        <v>0</v>
      </c>
      <c r="S62" s="954"/>
      <c r="T62" s="954"/>
      <c r="U62" s="473"/>
      <c r="V62" s="4295"/>
      <c r="W62" s="4296"/>
      <c r="X62" s="4296"/>
      <c r="Y62" s="4296"/>
      <c r="Z62" s="4296"/>
      <c r="AA62" s="4296"/>
      <c r="AB62" s="4297"/>
      <c r="AD62" s="4295"/>
      <c r="AE62" s="4296"/>
      <c r="AF62" s="4296"/>
      <c r="AG62" s="4296"/>
      <c r="AH62" s="4296"/>
      <c r="AI62" s="4296"/>
      <c r="AJ62" s="4297"/>
      <c r="AK62" s="426"/>
      <c r="AL62" s="420"/>
      <c r="AM62" s="2918"/>
      <c r="AN62" s="2919"/>
    </row>
    <row r="63" spans="1:40" ht="12" customHeight="1" x14ac:dyDescent="0.2">
      <c r="A63" s="420"/>
      <c r="B63" s="1150">
        <f>IF(COUNTIF(HabilidadesEsenciales_Adquiridas,"Inhumanidad")+COUNTIF(Principal!V30:AE35,"Inhumanidad")&gt;0,1,0)</f>
        <v>0</v>
      </c>
      <c r="C63" s="4225" t="s">
        <v>1686</v>
      </c>
      <c r="D63" s="4226"/>
      <c r="E63" s="4226"/>
      <c r="F63" s="4226"/>
      <c r="G63" s="4226"/>
      <c r="H63" s="1567">
        <f>IF(I63=0,20,"-")</f>
        <v>20</v>
      </c>
      <c r="I63" s="1744"/>
      <c r="K63" s="4225" t="s">
        <v>1686</v>
      </c>
      <c r="L63" s="4300"/>
      <c r="M63" s="4300"/>
      <c r="N63" s="4300"/>
      <c r="O63" s="4300"/>
      <c r="P63" s="1567">
        <f>IF(Q63=0,30,"-")</f>
        <v>30</v>
      </c>
      <c r="Q63" s="1744"/>
      <c r="R63" s="1139"/>
      <c r="S63" s="954"/>
      <c r="T63" s="954"/>
      <c r="U63" s="473">
        <f>IF(V64=0,0,1)</f>
        <v>0</v>
      </c>
      <c r="V63" s="4295" t="str">
        <f>IFERROR(IF(VLOOKUP(V58,'Tablas Técnicas'!$C$655:$J$838,8,FALSE)="","",VLOOKUP(V58,'Tablas Técnicas'!$C$655:$J$838,8,FALSE)),"")</f>
        <v/>
      </c>
      <c r="W63" s="4296"/>
      <c r="X63" s="4296"/>
      <c r="Y63" s="4296"/>
      <c r="Z63" s="4296"/>
      <c r="AA63" s="4296"/>
      <c r="AB63" s="4297"/>
      <c r="AD63" s="4295" t="str">
        <f>IFERROR(IF(VLOOKUP(AD58,'Tablas Técnicas'!$C$655:$J$838,8,FALSE)="","",VLOOKUP(AD58,'Tablas Técnicas'!$C$655:$J$838,8,FALSE)),"")</f>
        <v/>
      </c>
      <c r="AE63" s="4296"/>
      <c r="AF63" s="4296"/>
      <c r="AG63" s="4296"/>
      <c r="AH63" s="4296"/>
      <c r="AI63" s="4296"/>
      <c r="AJ63" s="4297"/>
      <c r="AK63" s="426"/>
      <c r="AL63" s="420"/>
      <c r="AM63" s="2918"/>
      <c r="AN63" s="2919"/>
    </row>
    <row r="64" spans="1:40" ht="12" customHeight="1" thickBot="1" x14ac:dyDescent="0.25">
      <c r="A64" s="420"/>
      <c r="B64" s="1150">
        <f>IF(COUNTIF(HabilidadesEsenciales_Adquiridas,"Zen")+COUNTIF(Principal!V30:AE35,"Zen")&gt;0,1,0)</f>
        <v>0</v>
      </c>
      <c r="C64" s="477" t="s">
        <v>1611</v>
      </c>
      <c r="D64" s="4345" t="s">
        <v>1687</v>
      </c>
      <c r="E64" s="4346"/>
      <c r="F64" s="4346"/>
      <c r="G64" s="4346"/>
      <c r="H64" s="1653">
        <f>IF(I64=0,40,"-")</f>
        <v>40</v>
      </c>
      <c r="I64" s="1745"/>
      <c r="K64" s="477" t="s">
        <v>1611</v>
      </c>
      <c r="L64" s="4345" t="s">
        <v>1687</v>
      </c>
      <c r="M64" s="4345"/>
      <c r="N64" s="4345"/>
      <c r="O64" s="4345"/>
      <c r="P64" s="1653">
        <f t="shared" ref="P64" si="5">IF(Q64=0,50,"-")</f>
        <v>50</v>
      </c>
      <c r="Q64" s="1745"/>
      <c r="R64" s="1139"/>
      <c r="S64" s="954"/>
      <c r="T64" s="954"/>
      <c r="U64" s="478"/>
      <c r="V64" s="4308"/>
      <c r="W64" s="4309"/>
      <c r="X64" s="4309"/>
      <c r="Y64" s="4309"/>
      <c r="Z64" s="4309"/>
      <c r="AA64" s="4309"/>
      <c r="AB64" s="4310"/>
      <c r="AD64" s="4308"/>
      <c r="AE64" s="4309"/>
      <c r="AF64" s="4309"/>
      <c r="AG64" s="4309"/>
      <c r="AH64" s="4309"/>
      <c r="AI64" s="4309"/>
      <c r="AJ64" s="4310"/>
      <c r="AK64" s="426"/>
      <c r="AL64" s="420"/>
      <c r="AM64" s="2918"/>
      <c r="AN64" s="2919"/>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18"/>
      <c r="AN65" s="2919"/>
    </row>
    <row r="66" spans="1:40" ht="12" customHeight="1" thickBot="1" x14ac:dyDescent="0.25">
      <c r="A66" s="420"/>
      <c r="B66" s="1150"/>
      <c r="C66" s="3197" t="s">
        <v>9819</v>
      </c>
      <c r="D66" s="3198"/>
      <c r="E66" s="3198"/>
      <c r="F66" s="3198"/>
      <c r="G66" s="3198"/>
      <c r="H66" s="3198"/>
      <c r="I66" s="3198"/>
      <c r="J66" s="3198"/>
      <c r="K66" s="3198"/>
      <c r="L66" s="3198"/>
      <c r="M66" s="3198"/>
      <c r="N66" s="3198"/>
      <c r="O66" s="3198"/>
      <c r="P66" s="3198"/>
      <c r="Q66" s="3199"/>
      <c r="R66" s="1139"/>
      <c r="S66" s="954"/>
      <c r="T66" s="954"/>
      <c r="U66" s="478"/>
      <c r="V66" s="4287"/>
      <c r="W66" s="4288"/>
      <c r="X66" s="4288"/>
      <c r="Y66" s="4288"/>
      <c r="Z66" s="4288"/>
      <c r="AA66" s="4289"/>
      <c r="AB66" s="2127" t="s">
        <v>1503</v>
      </c>
      <c r="AC66" s="333"/>
      <c r="AD66" s="4287"/>
      <c r="AE66" s="4288"/>
      <c r="AF66" s="4288"/>
      <c r="AG66" s="4288"/>
      <c r="AH66" s="4288"/>
      <c r="AI66" s="4289"/>
      <c r="AJ66" s="2127" t="s">
        <v>1503</v>
      </c>
      <c r="AK66" s="426"/>
      <c r="AL66" s="420"/>
      <c r="AM66" s="2918"/>
      <c r="AN66" s="2919"/>
    </row>
    <row r="67" spans="1:40" ht="12" customHeight="1" x14ac:dyDescent="0.2">
      <c r="A67" s="420"/>
      <c r="B67" s="1150"/>
      <c r="C67" s="4347"/>
      <c r="D67" s="4348"/>
      <c r="E67" s="4348"/>
      <c r="F67" s="4348"/>
      <c r="G67" s="4348"/>
      <c r="H67" s="4348"/>
      <c r="I67" s="4348"/>
      <c r="J67" s="4348"/>
      <c r="K67" s="4348"/>
      <c r="L67" s="4348"/>
      <c r="M67" s="4348"/>
      <c r="N67" s="4348"/>
      <c r="O67" s="4348"/>
      <c r="P67" s="4348"/>
      <c r="Q67" s="4349"/>
      <c r="R67" s="1139"/>
      <c r="S67" s="954"/>
      <c r="T67" s="954"/>
      <c r="U67" s="478"/>
      <c r="V67" s="4301" t="str">
        <f>IF(V66="","",VLOOKUP(V66,'Tablas Técnicas'!$C$655:$H$838,6,FALSE))</f>
        <v/>
      </c>
      <c r="W67" s="4302"/>
      <c r="X67" s="4302"/>
      <c r="Y67" s="4302"/>
      <c r="Z67" s="2113" t="s">
        <v>1328</v>
      </c>
      <c r="AA67" s="1914" t="str">
        <f>IF(V66="","",VLOOKUP(V66,'Tablas Técnicas'!$C$655:$E$838,3,FALSE))</f>
        <v/>
      </c>
      <c r="AB67" s="2128">
        <f>IF(V66="",0,VLOOKUP(V66,'Tablas Técnicas'!$C$655:$K$838,5,FALSE))</f>
        <v>0</v>
      </c>
      <c r="AC67" s="333"/>
      <c r="AD67" s="4301" t="str">
        <f>IF(AD66="","",VLOOKUP(AD66,'Tablas Técnicas'!$C$655:$H$838,6,FALSE))</f>
        <v/>
      </c>
      <c r="AE67" s="4302"/>
      <c r="AF67" s="4302"/>
      <c r="AG67" s="4302"/>
      <c r="AH67" s="2113" t="s">
        <v>1328</v>
      </c>
      <c r="AI67" s="1914" t="str">
        <f>IF(AD66="","",VLOOKUP(AD66,'Tablas Técnicas'!$C$655:$E$838,3,FALSE))</f>
        <v/>
      </c>
      <c r="AJ67" s="2128">
        <f>IF(AD66="",0,VLOOKUP(AD66,'Tablas Técnicas'!$C$655:$K$838,5,FALSE))</f>
        <v>0</v>
      </c>
      <c r="AK67" s="426"/>
      <c r="AL67" s="420"/>
      <c r="AM67" s="2918"/>
      <c r="AN67" s="2919"/>
    </row>
    <row r="68" spans="1:40" ht="12" customHeight="1" x14ac:dyDescent="0.2">
      <c r="A68" s="420"/>
      <c r="B68" s="1150"/>
      <c r="C68" s="4347"/>
      <c r="D68" s="4348"/>
      <c r="E68" s="4348"/>
      <c r="F68" s="4348"/>
      <c r="G68" s="4348"/>
      <c r="H68" s="4348"/>
      <c r="I68" s="4348"/>
      <c r="J68" s="4348"/>
      <c r="K68" s="4348"/>
      <c r="L68" s="4348"/>
      <c r="M68" s="4348"/>
      <c r="N68" s="4348"/>
      <c r="O68" s="4348"/>
      <c r="P68" s="4348"/>
      <c r="Q68" s="4349"/>
      <c r="R68" s="1139"/>
      <c r="S68" s="954"/>
      <c r="T68" s="954"/>
      <c r="U68" s="478"/>
      <c r="V68" s="4295" t="str">
        <f>IFERROR(VLOOKUP(V66,'Tablas Técnicas'!$C$655:$I$838,7,FALSE),"")</f>
        <v/>
      </c>
      <c r="W68" s="4296"/>
      <c r="X68" s="4296"/>
      <c r="Y68" s="4296"/>
      <c r="Z68" s="4296"/>
      <c r="AA68" s="4296"/>
      <c r="AB68" s="4297"/>
      <c r="AC68" s="333"/>
      <c r="AD68" s="4295" t="str">
        <f>IFERROR(VLOOKUP(AD66,'Tablas Técnicas'!$C$655:$I$838,7,FALSE),"")</f>
        <v/>
      </c>
      <c r="AE68" s="4296"/>
      <c r="AF68" s="4296"/>
      <c r="AG68" s="4296"/>
      <c r="AH68" s="4296"/>
      <c r="AI68" s="4296"/>
      <c r="AJ68" s="4297"/>
      <c r="AK68" s="426"/>
      <c r="AL68" s="420"/>
      <c r="AM68" s="2918"/>
      <c r="AN68" s="2919"/>
    </row>
    <row r="69" spans="1:40" ht="12" customHeight="1" x14ac:dyDescent="0.2">
      <c r="A69" s="420"/>
      <c r="B69" s="1150"/>
      <c r="C69" s="4347"/>
      <c r="D69" s="4348"/>
      <c r="E69" s="4348"/>
      <c r="F69" s="4348"/>
      <c r="G69" s="4348"/>
      <c r="H69" s="4348"/>
      <c r="I69" s="4348"/>
      <c r="J69" s="4348"/>
      <c r="K69" s="4348"/>
      <c r="L69" s="4348"/>
      <c r="M69" s="4348"/>
      <c r="N69" s="4348"/>
      <c r="O69" s="4348"/>
      <c r="P69" s="4348"/>
      <c r="Q69" s="4349"/>
      <c r="R69" s="1139"/>
      <c r="S69" s="954"/>
      <c r="T69" s="954"/>
      <c r="U69" s="478"/>
      <c r="V69" s="4295"/>
      <c r="W69" s="4296"/>
      <c r="X69" s="4296"/>
      <c r="Y69" s="4296"/>
      <c r="Z69" s="4296"/>
      <c r="AA69" s="4296"/>
      <c r="AB69" s="4297"/>
      <c r="AC69" s="333"/>
      <c r="AD69" s="4295"/>
      <c r="AE69" s="4296"/>
      <c r="AF69" s="4296"/>
      <c r="AG69" s="4296"/>
      <c r="AH69" s="4296"/>
      <c r="AI69" s="4296"/>
      <c r="AJ69" s="4297"/>
      <c r="AK69" s="426"/>
      <c r="AL69" s="420"/>
      <c r="AM69" s="2918"/>
      <c r="AN69" s="2919"/>
    </row>
    <row r="70" spans="1:40" ht="12" customHeight="1" x14ac:dyDescent="0.2">
      <c r="A70" s="420"/>
      <c r="B70" s="1150"/>
      <c r="C70" s="4347"/>
      <c r="D70" s="4348"/>
      <c r="E70" s="4348"/>
      <c r="F70" s="4348"/>
      <c r="G70" s="4348"/>
      <c r="H70" s="4348"/>
      <c r="I70" s="4348"/>
      <c r="J70" s="4348"/>
      <c r="K70" s="4348"/>
      <c r="L70" s="4348"/>
      <c r="M70" s="4348"/>
      <c r="N70" s="4348"/>
      <c r="O70" s="4348"/>
      <c r="P70" s="4348"/>
      <c r="Q70" s="4349"/>
      <c r="R70" s="1139"/>
      <c r="S70" s="954"/>
      <c r="T70" s="954"/>
      <c r="U70" s="478"/>
      <c r="V70" s="4295"/>
      <c r="W70" s="4296"/>
      <c r="X70" s="4296"/>
      <c r="Y70" s="4296"/>
      <c r="Z70" s="4296"/>
      <c r="AA70" s="4296"/>
      <c r="AB70" s="4297"/>
      <c r="AC70" s="333"/>
      <c r="AD70" s="4295"/>
      <c r="AE70" s="4296"/>
      <c r="AF70" s="4296"/>
      <c r="AG70" s="4296"/>
      <c r="AH70" s="4296"/>
      <c r="AI70" s="4296"/>
      <c r="AJ70" s="4297"/>
      <c r="AK70" s="426"/>
      <c r="AL70" s="420"/>
      <c r="AM70" s="2918"/>
      <c r="AN70" s="2919"/>
    </row>
    <row r="71" spans="1:40" ht="12" customHeight="1" x14ac:dyDescent="0.2">
      <c r="A71" s="420"/>
      <c r="B71" s="1150"/>
      <c r="C71" s="4347"/>
      <c r="D71" s="4348"/>
      <c r="E71" s="4348"/>
      <c r="F71" s="4348"/>
      <c r="G71" s="4348"/>
      <c r="H71" s="4348"/>
      <c r="I71" s="4348"/>
      <c r="J71" s="4348"/>
      <c r="K71" s="4348"/>
      <c r="L71" s="4348"/>
      <c r="M71" s="4348"/>
      <c r="N71" s="4348"/>
      <c r="O71" s="4348"/>
      <c r="P71" s="4348"/>
      <c r="Q71" s="4349"/>
      <c r="R71" s="1139"/>
      <c r="S71" s="954"/>
      <c r="T71" s="954"/>
      <c r="U71" s="478"/>
      <c r="V71" s="4295" t="str">
        <f>IFERROR(IF(VLOOKUP(V66,'Tablas Técnicas'!$C$655:$J$838,8,FALSE)="","",VLOOKUP(V66,'Tablas Técnicas'!$C$655:$J$838,8,FALSE)),"")</f>
        <v/>
      </c>
      <c r="W71" s="4296"/>
      <c r="X71" s="4296"/>
      <c r="Y71" s="4296"/>
      <c r="Z71" s="4296"/>
      <c r="AA71" s="4296"/>
      <c r="AB71" s="4297"/>
      <c r="AC71" s="333"/>
      <c r="AD71" s="4295" t="str">
        <f>IFERROR(IF(VLOOKUP(AD66,'Tablas Técnicas'!$C$655:$J$838,8,FALSE)="","",VLOOKUP(AD66,'Tablas Técnicas'!$C$655:$J$838,8,FALSE)),"")</f>
        <v/>
      </c>
      <c r="AE71" s="4296"/>
      <c r="AF71" s="4296"/>
      <c r="AG71" s="4296"/>
      <c r="AH71" s="4296"/>
      <c r="AI71" s="4296"/>
      <c r="AJ71" s="4297"/>
      <c r="AK71" s="426"/>
      <c r="AL71" s="420"/>
      <c r="AM71" s="2918"/>
      <c r="AN71" s="2919"/>
    </row>
    <row r="72" spans="1:40" ht="12" customHeight="1" thickBot="1" x14ac:dyDescent="0.25">
      <c r="A72" s="420"/>
      <c r="B72" s="1150"/>
      <c r="C72" s="4350"/>
      <c r="D72" s="4351"/>
      <c r="E72" s="4351"/>
      <c r="F72" s="4351"/>
      <c r="G72" s="4351"/>
      <c r="H72" s="4351"/>
      <c r="I72" s="4351"/>
      <c r="J72" s="4351"/>
      <c r="K72" s="4351"/>
      <c r="L72" s="4351"/>
      <c r="M72" s="4351"/>
      <c r="N72" s="4351"/>
      <c r="O72" s="4351"/>
      <c r="P72" s="4351"/>
      <c r="Q72" s="4352"/>
      <c r="R72" s="1139"/>
      <c r="S72" s="954"/>
      <c r="T72" s="954"/>
      <c r="U72" s="478"/>
      <c r="V72" s="4308"/>
      <c r="W72" s="4309"/>
      <c r="X72" s="4309"/>
      <c r="Y72" s="4309"/>
      <c r="Z72" s="4309"/>
      <c r="AA72" s="4309"/>
      <c r="AB72" s="4310"/>
      <c r="AC72" s="333"/>
      <c r="AD72" s="4308"/>
      <c r="AE72" s="4309"/>
      <c r="AF72" s="4309"/>
      <c r="AG72" s="4309"/>
      <c r="AH72" s="4309"/>
      <c r="AI72" s="4309"/>
      <c r="AJ72" s="4310"/>
      <c r="AK72" s="426"/>
      <c r="AL72" s="420"/>
      <c r="AM72" s="2918"/>
      <c r="AN72" s="2919"/>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18"/>
      <c r="AN73" s="2919"/>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18"/>
      <c r="AN74" s="291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126" priority="115" stopIfTrue="1">
      <formula>H28=0</formula>
    </cfRule>
  </conditionalFormatting>
  <conditionalFormatting sqref="Y11:Y20">
    <cfRule type="expression" dxfId="1125" priority="114" stopIfTrue="1">
      <formula>X11=0</formula>
    </cfRule>
  </conditionalFormatting>
  <conditionalFormatting sqref="C56:G56">
    <cfRule type="expression" dxfId="1124" priority="112" stopIfTrue="1">
      <formula>AND(NOT($H$43="-"),$H$56="-")</formula>
    </cfRule>
    <cfRule type="expression" dxfId="1123" priority="113" stopIfTrue="1">
      <formula>$H$56="-"</formula>
    </cfRule>
  </conditionalFormatting>
  <conditionalFormatting sqref="D57:G57">
    <cfRule type="expression" dxfId="1122" priority="111" stopIfTrue="1">
      <formula>AND(NOT($H$56="-"),$H$57="-")</formula>
    </cfRule>
  </conditionalFormatting>
  <conditionalFormatting sqref="D58:G58">
    <cfRule type="expression" dxfId="1121" priority="109" stopIfTrue="1">
      <formula>AND(NOT($H$56="-"),$H$58="-")</formula>
    </cfRule>
    <cfRule type="expression" dxfId="1120" priority="110" stopIfTrue="1">
      <formula>$H$58="-"</formula>
    </cfRule>
  </conditionalFormatting>
  <conditionalFormatting sqref="H28:I28">
    <cfRule type="expression" dxfId="1119" priority="108" stopIfTrue="1">
      <formula>$G$28=0</formula>
    </cfRule>
  </conditionalFormatting>
  <conditionalFormatting sqref="K12:O12">
    <cfRule type="expression" dxfId="1118" priority="107" stopIfTrue="1">
      <formula>AND(NOT($P$10="-"),$P$12="-")</formula>
    </cfRule>
  </conditionalFormatting>
  <conditionalFormatting sqref="L13:O13">
    <cfRule type="expression" dxfId="1117" priority="105" stopIfTrue="1">
      <formula>AND(NOT($P$12="-"),$P$13="-")</formula>
    </cfRule>
    <cfRule type="expression" dxfId="1116" priority="106" stopIfTrue="1">
      <formula>$P$13="-"</formula>
    </cfRule>
  </conditionalFormatting>
  <conditionalFormatting sqref="M14:O14">
    <cfRule type="expression" dxfId="1115" priority="104" stopIfTrue="1">
      <formula>AND(NOT($P$13="-"),$P$14="-")</formula>
    </cfRule>
  </conditionalFormatting>
  <conditionalFormatting sqref="L15:O15">
    <cfRule type="expression" dxfId="1114" priority="103" stopIfTrue="1">
      <formula>AND(NOT($P$12="-"),$P$15="-")</formula>
    </cfRule>
  </conditionalFormatting>
  <conditionalFormatting sqref="L16:O16">
    <cfRule type="expression" dxfId="1113" priority="101" stopIfTrue="1">
      <formula>AND(NOT($P$12="-"),$P$16="-")</formula>
    </cfRule>
    <cfRule type="expression" dxfId="1112" priority="102" stopIfTrue="1">
      <formula>$P$16="-"</formula>
    </cfRule>
  </conditionalFormatting>
  <conditionalFormatting sqref="M17:O17">
    <cfRule type="expression" dxfId="1111" priority="100" stopIfTrue="1">
      <formula>AND(NOT($P$16="-"),$P$17="-")</formula>
    </cfRule>
  </conditionalFormatting>
  <conditionalFormatting sqref="N18:O18">
    <cfRule type="expression" dxfId="1110" priority="99" stopIfTrue="1">
      <formula>AND(NOT($P$17="-"),$P$18="-")</formula>
    </cfRule>
  </conditionalFormatting>
  <conditionalFormatting sqref="M19:O19">
    <cfRule type="expression" dxfId="1109" priority="98" stopIfTrue="1">
      <formula>AND(NOT($P$16="-"),$P$19="-")</formula>
    </cfRule>
  </conditionalFormatting>
  <conditionalFormatting sqref="N20:O20">
    <cfRule type="expression" dxfId="1108" priority="97" stopIfTrue="1">
      <formula>AND(NOT($P$19="-"),$P$20="-")</formula>
    </cfRule>
  </conditionalFormatting>
  <conditionalFormatting sqref="N21:O21">
    <cfRule type="expression" dxfId="1107" priority="96" stopIfTrue="1">
      <formula>AND(NOT($P$20="-"),$P$21="-")</formula>
    </cfRule>
  </conditionalFormatting>
  <conditionalFormatting sqref="N22:O22">
    <cfRule type="expression" dxfId="1106" priority="95" stopIfTrue="1">
      <formula>AND(NOT($P$19="-"),$P$22="-")</formula>
    </cfRule>
  </conditionalFormatting>
  <conditionalFormatting sqref="N23:O23">
    <cfRule type="expression" dxfId="1105" priority="94" stopIfTrue="1">
      <formula>AND(NOT($P$22="-"),$P$23="-")</formula>
    </cfRule>
  </conditionalFormatting>
  <conditionalFormatting sqref="M24:O24">
    <cfRule type="expression" dxfId="1104" priority="93" stopIfTrue="1">
      <formula>AND(NOT($P$16="-"),$P$24="-")</formula>
    </cfRule>
  </conditionalFormatting>
  <conditionalFormatting sqref="L25:O25">
    <cfRule type="expression" dxfId="1103" priority="92" stopIfTrue="1">
      <formula>AND(NOT($P$12="-"),$P$25="-")</formula>
    </cfRule>
  </conditionalFormatting>
  <conditionalFormatting sqref="L26:O26">
    <cfRule type="expression" dxfId="1102" priority="91" stopIfTrue="1">
      <formula>AND(NOT($P$12="-"),$P$26="-")</formula>
    </cfRule>
  </conditionalFormatting>
  <conditionalFormatting sqref="K27:O27">
    <cfRule type="expression" dxfId="1101" priority="90" stopIfTrue="1">
      <formula>AND(NOT($P$10="-"),$P$27="-")</formula>
    </cfRule>
  </conditionalFormatting>
  <conditionalFormatting sqref="L28:O28">
    <cfRule type="expression" dxfId="1100" priority="89" stopIfTrue="1">
      <formula>AND(NOT($P$27="-"),$P$28="-")</formula>
    </cfRule>
  </conditionalFormatting>
  <conditionalFormatting sqref="M29:O29">
    <cfRule type="expression" dxfId="1099" priority="88" stopIfTrue="1">
      <formula>AND(NOT($P$28="-"),$P$29="-")</formula>
    </cfRule>
  </conditionalFormatting>
  <conditionalFormatting sqref="N30:O30">
    <cfRule type="expression" dxfId="1098" priority="87" stopIfTrue="1">
      <formula>AND(NOT($P$28="-"),$P$30="-")</formula>
    </cfRule>
  </conditionalFormatting>
  <conditionalFormatting sqref="M31:O31">
    <cfRule type="expression" dxfId="1097" priority="15" stopIfTrue="1">
      <formula>AND(NOT($P$28="-"),$P$31="-")</formula>
    </cfRule>
    <cfRule type="expression" dxfId="1096" priority="86">
      <formula>$P$31="-"</formula>
    </cfRule>
  </conditionalFormatting>
  <conditionalFormatting sqref="K32:O32">
    <cfRule type="expression" dxfId="1095" priority="85" stopIfTrue="1">
      <formula>AND(NOT($P$10="-"),$P$32="-")</formula>
    </cfRule>
  </conditionalFormatting>
  <conditionalFormatting sqref="L33:O33">
    <cfRule type="expression" dxfId="1094" priority="83" stopIfTrue="1">
      <formula>AND(NOT($P$32="-"),$P$33="-")</formula>
    </cfRule>
    <cfRule type="expression" dxfId="1093" priority="84" stopIfTrue="1">
      <formula>$P$33="-"</formula>
    </cfRule>
  </conditionalFormatting>
  <conditionalFormatting sqref="M37:O37">
    <cfRule type="expression" dxfId="1092" priority="14" stopIfTrue="1">
      <formula>AND(NOT($P$36="-"),$P$37="-")</formula>
    </cfRule>
    <cfRule type="expression" dxfId="1091" priority="82">
      <formula>$P$37="-"</formula>
    </cfRule>
  </conditionalFormatting>
  <conditionalFormatting sqref="M38:O38">
    <cfRule type="expression" dxfId="1090" priority="80" stopIfTrue="1">
      <formula>AND(NOT($P$36="-"),$P$38="-")</formula>
    </cfRule>
    <cfRule type="expression" dxfId="1089" priority="81" stopIfTrue="1">
      <formula>$P$38="-"</formula>
    </cfRule>
  </conditionalFormatting>
  <conditionalFormatting sqref="M40:O40">
    <cfRule type="expression" dxfId="1088" priority="78" stopIfTrue="1">
      <formula>AND(NOT($P$36="-"),$P$40="-")</formula>
    </cfRule>
    <cfRule type="expression" dxfId="1087" priority="79" stopIfTrue="1">
      <formula>$P$40="-"</formula>
    </cfRule>
  </conditionalFormatting>
  <conditionalFormatting sqref="L41:O41">
    <cfRule type="expression" dxfId="1086" priority="77" stopIfTrue="1">
      <formula>AND(NOT($P$32="-"),$P$41="-")</formula>
    </cfRule>
  </conditionalFormatting>
  <conditionalFormatting sqref="L42:O42">
    <cfRule type="expression" dxfId="1085" priority="76" stopIfTrue="1">
      <formula>AND(NOT($P$32="-"),$P$42="-")</formula>
    </cfRule>
  </conditionalFormatting>
  <conditionalFormatting sqref="L43:O43">
    <cfRule type="expression" dxfId="1084" priority="75" stopIfTrue="1">
      <formula>AND(NOT($P$32="-"),$P$43="-")</formula>
    </cfRule>
  </conditionalFormatting>
  <conditionalFormatting sqref="K44:O44">
    <cfRule type="expression" dxfId="1083" priority="74" stopIfTrue="1">
      <formula>AND(NOT($P$10="-"),$P$44="-")</formula>
    </cfRule>
  </conditionalFormatting>
  <conditionalFormatting sqref="L45:O45">
    <cfRule type="expression" dxfId="1082" priority="73" stopIfTrue="1">
      <formula>AND(NOT($P$44="-"),$P$45="-")</formula>
    </cfRule>
  </conditionalFormatting>
  <conditionalFormatting sqref="M46:O46">
    <cfRule type="expression" dxfId="1081" priority="72" stopIfTrue="1">
      <formula>AND(NOT($P$45="-"),$P$46="-")</formula>
    </cfRule>
  </conditionalFormatting>
  <conditionalFormatting sqref="M47:O47">
    <cfRule type="expression" dxfId="1080" priority="71" stopIfTrue="1">
      <formula>AND(NOT($P$45="-"),$P$47="-")</formula>
    </cfRule>
  </conditionalFormatting>
  <conditionalFormatting sqref="L48:O48">
    <cfRule type="expression" dxfId="1079" priority="70" stopIfTrue="1">
      <formula>AND(NOT($P$44="-"),$P$48="-")</formula>
    </cfRule>
  </conditionalFormatting>
  <conditionalFormatting sqref="K49:O49">
    <cfRule type="expression" dxfId="1078" priority="69" stopIfTrue="1">
      <formula>AND(NOT($P$10="-"),$P$49="-")</formula>
    </cfRule>
  </conditionalFormatting>
  <conditionalFormatting sqref="L50:O50">
    <cfRule type="expression" dxfId="1077" priority="13" stopIfTrue="1">
      <formula>AND(NOT($P$49="-"),Raza&lt;&gt;"D'Anjayni",Nephilim&lt;&gt;"Nephilim D'Anjayni",$P$50="-")</formula>
    </cfRule>
    <cfRule type="expression" dxfId="1076" priority="67">
      <formula>$P$50="-"</formula>
    </cfRule>
  </conditionalFormatting>
  <conditionalFormatting sqref="M51:O52">
    <cfRule type="expression" dxfId="1075" priority="65" stopIfTrue="1">
      <formula>AND(NOT(OcultacióndelKi),$P51="-")</formula>
    </cfRule>
  </conditionalFormatting>
  <conditionalFormatting sqref="L53:O53">
    <cfRule type="expression" dxfId="1074" priority="64" stopIfTrue="1">
      <formula>AND(NOT($P$49="-"),$P$53="-")</formula>
    </cfRule>
  </conditionalFormatting>
  <conditionalFormatting sqref="M54:O54">
    <cfRule type="expression" dxfId="1073" priority="63" stopIfTrue="1">
      <formula>AND(NOT($P$53="-"),$P$54="-")</formula>
    </cfRule>
  </conditionalFormatting>
  <conditionalFormatting sqref="M55:O55">
    <cfRule type="expression" dxfId="1072" priority="62" stopIfTrue="1">
      <formula>AND(NOT($P$53="-"),$P$55="-")</formula>
    </cfRule>
  </conditionalFormatting>
  <conditionalFormatting sqref="M56:O56">
    <cfRule type="expression" dxfId="1071" priority="61" stopIfTrue="1">
      <formula>AND(NOT($P$53="-"),$P$56="-")</formula>
    </cfRule>
  </conditionalFormatting>
  <conditionalFormatting sqref="L57:O57">
    <cfRule type="expression" dxfId="1070" priority="59" stopIfTrue="1">
      <formula>AND(NOT($P$49="-"),$P$57="-")</formula>
    </cfRule>
    <cfRule type="expression" dxfId="1069" priority="60" stopIfTrue="1">
      <formula>$P$57="-"</formula>
    </cfRule>
  </conditionalFormatting>
  <conditionalFormatting sqref="M58:O58">
    <cfRule type="expression" dxfId="1068" priority="58" stopIfTrue="1">
      <formula>AND(NOT($P$57="-"),$P$58="-")</formula>
    </cfRule>
  </conditionalFormatting>
  <conditionalFormatting sqref="N59:O59">
    <cfRule type="expression" dxfId="1067" priority="57" stopIfTrue="1">
      <formula>AND(NOT($P$57="-"),$P$59="-")</formula>
    </cfRule>
  </conditionalFormatting>
  <conditionalFormatting sqref="L60:O60">
    <cfRule type="expression" dxfId="1066" priority="56" stopIfTrue="1">
      <formula>AND(NOT($P$49="-"),$P$60="-")</formula>
    </cfRule>
  </conditionalFormatting>
  <conditionalFormatting sqref="M61:O61">
    <cfRule type="expression" dxfId="1065" priority="55" stopIfTrue="1">
      <formula>AND(NOT($P$60="-"),$P$61="-")</formula>
    </cfRule>
  </conditionalFormatting>
  <conditionalFormatting sqref="K62:O62">
    <cfRule type="expression" dxfId="1064" priority="54" stopIfTrue="1">
      <formula>AND(NOT($P$10="-"),$P$62="-")</formula>
    </cfRule>
  </conditionalFormatting>
  <conditionalFormatting sqref="C45:G45">
    <cfRule type="expression" dxfId="1063" priority="53" stopIfTrue="1">
      <formula>AND(NOT($H$43="-"),$H$45="-")</formula>
    </cfRule>
  </conditionalFormatting>
  <conditionalFormatting sqref="D46:G46">
    <cfRule type="expression" dxfId="1062" priority="52" stopIfTrue="1">
      <formula>AND(NOT($H$45="-"),$H$46="-")</formula>
    </cfRule>
  </conditionalFormatting>
  <conditionalFormatting sqref="C47:G47">
    <cfRule type="expression" dxfId="1061" priority="51" stopIfTrue="1">
      <formula>AND(NOT($H$43="-"),$H$47="-")</formula>
    </cfRule>
  </conditionalFormatting>
  <conditionalFormatting sqref="D48:G48">
    <cfRule type="expression" dxfId="1060" priority="50" stopIfTrue="1">
      <formula>AND(NOT($H$47="-"),$H$48="-")</formula>
    </cfRule>
  </conditionalFormatting>
  <conditionalFormatting sqref="C49:G49">
    <cfRule type="expression" dxfId="1059" priority="49" stopIfTrue="1">
      <formula>AND(NOT($H$43="-"),$H$49="-")</formula>
    </cfRule>
  </conditionalFormatting>
  <conditionalFormatting sqref="D50:G50">
    <cfRule type="expression" dxfId="1058" priority="48" stopIfTrue="1">
      <formula>AND(NOT($H$49="-"),$H$50="-")</formula>
    </cfRule>
  </conditionalFormatting>
  <conditionalFormatting sqref="C51:G51">
    <cfRule type="expression" dxfId="1057" priority="47" stopIfTrue="1">
      <formula>AND(NOT($H$43="-"),$H$51="-")</formula>
    </cfRule>
  </conditionalFormatting>
  <conditionalFormatting sqref="D52:G52">
    <cfRule type="expression" dxfId="1056" priority="46" stopIfTrue="1">
      <formula>AND(NOT($H$51="-"),$H$52="-")</formula>
    </cfRule>
  </conditionalFormatting>
  <conditionalFormatting sqref="C53:G53">
    <cfRule type="expression" dxfId="1055" priority="45" stopIfTrue="1">
      <formula>AND(NOT($H$43="-"),$H$53="-")</formula>
    </cfRule>
  </conditionalFormatting>
  <conditionalFormatting sqref="C54:G54">
    <cfRule type="expression" dxfId="1054" priority="44" stopIfTrue="1">
      <formula>AND(NOT($H$43="-"),$H$54="-")</formula>
    </cfRule>
  </conditionalFormatting>
  <conditionalFormatting sqref="D59:G59">
    <cfRule type="expression" dxfId="1053" priority="43" stopIfTrue="1">
      <formula>AND(NOT($H$56="-"),$H$59="-")</formula>
    </cfRule>
  </conditionalFormatting>
  <conditionalFormatting sqref="E60:G60">
    <cfRule type="expression" dxfId="1052" priority="42" stopIfTrue="1">
      <formula>AND(NOT($H$59="-"),$H$60="-")</formula>
    </cfRule>
  </conditionalFormatting>
  <conditionalFormatting sqref="I39">
    <cfRule type="cellIs" dxfId="1051" priority="41" stopIfTrue="1" operator="lessThan">
      <formula>0</formula>
    </cfRule>
  </conditionalFormatting>
  <conditionalFormatting sqref="C61:G61">
    <cfRule type="expression" dxfId="1050" priority="40" stopIfTrue="1">
      <formula>AND(NOT($H$43="-"),$H$61="-")</formula>
    </cfRule>
  </conditionalFormatting>
  <conditionalFormatting sqref="C62:G62">
    <cfRule type="expression" dxfId="1049" priority="39" stopIfTrue="1">
      <formula>AND(NOT($H$43="-"),$H$62="-")</formula>
    </cfRule>
  </conditionalFormatting>
  <conditionalFormatting sqref="E29:F30">
    <cfRule type="cellIs" dxfId="1048" priority="38" stopIfTrue="1" operator="greaterThan">
      <formula>$C$29</formula>
    </cfRule>
  </conditionalFormatting>
  <conditionalFormatting sqref="M34:O34">
    <cfRule type="expression" dxfId="1047" priority="37" stopIfTrue="1">
      <formula>AND(NOT($P$33="-"),$P$34="-")</formula>
    </cfRule>
  </conditionalFormatting>
  <conditionalFormatting sqref="N35:O35">
    <cfRule type="expression" dxfId="1046" priority="35" stopIfTrue="1">
      <formula>AND(NOT($P$34="-"),$P$35="-")</formula>
    </cfRule>
    <cfRule type="expression" dxfId="1045" priority="36" stopIfTrue="1">
      <formula>$P$35="-"</formula>
    </cfRule>
  </conditionalFormatting>
  <conditionalFormatting sqref="L36:O36">
    <cfRule type="expression" dxfId="1044" priority="33" stopIfTrue="1">
      <formula>AND(NOT($P$32="-"),$P$36="-")</formula>
    </cfRule>
    <cfRule type="expression" dxfId="1043" priority="34" stopIfTrue="1">
      <formula>AND($P$36="-",$M$39="Alcance incrementado")</formula>
    </cfRule>
  </conditionalFormatting>
  <conditionalFormatting sqref="M39:O39">
    <cfRule type="expression" dxfId="1042" priority="31" stopIfTrue="1">
      <formula>AND(NOT($P$36="-"),$P$39="-")</formula>
    </cfRule>
    <cfRule type="expression" dxfId="1041" priority="32" stopIfTrue="1">
      <formula>AND($P$39="-",$M$39="Aura incrementada")</formula>
    </cfRule>
  </conditionalFormatting>
  <conditionalFormatting sqref="D55:G55">
    <cfRule type="expression" dxfId="1040" priority="30" stopIfTrue="1">
      <formula>AND(OR(NOT($H$54="-"),NOT($H$56="-")),$H$55="-")</formula>
    </cfRule>
  </conditionalFormatting>
  <conditionalFormatting sqref="K63:O63">
    <cfRule type="expression" dxfId="1039" priority="4833" stopIfTrue="1">
      <formula>AND(NOT($P$10="-"),$P$63="-",NOT($B$63=1))</formula>
    </cfRule>
    <cfRule type="expression" dxfId="1038" priority="4834" stopIfTrue="1">
      <formula>$P$63="-"</formula>
    </cfRule>
  </conditionalFormatting>
  <conditionalFormatting sqref="L64:O65">
    <cfRule type="expression" dxfId="1037" priority="4835" stopIfTrue="1">
      <formula>AND(NOT($P$63="-"),$P$64="-",NOT($B$64=1))</formula>
    </cfRule>
    <cfRule type="expression" dxfId="1036" priority="4836" stopIfTrue="1">
      <formula>$P$64="-"</formula>
    </cfRule>
  </conditionalFormatting>
  <conditionalFormatting sqref="C63:G63">
    <cfRule type="expression" dxfId="1035" priority="4837" stopIfTrue="1">
      <formula>AND(NOT($H$43="-"),$H$63="-",NOT($B$63=1))</formula>
    </cfRule>
    <cfRule type="expression" dxfId="1034" priority="4838" stopIfTrue="1">
      <formula>$H$63="-"</formula>
    </cfRule>
  </conditionalFormatting>
  <conditionalFormatting sqref="D64:G65">
    <cfRule type="expression" dxfId="1033" priority="4839" stopIfTrue="1">
      <formula>AND(NOT($H$63="-"),$H$64="-",NOT($B$64=1))</formula>
    </cfRule>
    <cfRule type="expression" dxfId="1032" priority="4840" stopIfTrue="1">
      <formula>$H$64="-"</formula>
    </cfRule>
  </conditionalFormatting>
  <conditionalFormatting sqref="AI22:AJ22">
    <cfRule type="expression" dxfId="1031" priority="21">
      <formula>$Q$37=60</formula>
    </cfRule>
  </conditionalFormatting>
  <conditionalFormatting sqref="AG22:AH22">
    <cfRule type="expression" dxfId="1030" priority="20">
      <formula>$Q$37&gt;=50</formula>
    </cfRule>
  </conditionalFormatting>
  <conditionalFormatting sqref="AE22:AF22">
    <cfRule type="expression" dxfId="1029" priority="19">
      <formula>$Q$37&gt;=40</formula>
    </cfRule>
  </conditionalFormatting>
  <conditionalFormatting sqref="AC22:AD22">
    <cfRule type="expression" dxfId="1028" priority="18">
      <formula>$Q$37&gt;=30</formula>
    </cfRule>
  </conditionalFormatting>
  <conditionalFormatting sqref="AA22:AB22">
    <cfRule type="expression" dxfId="1027" priority="17">
      <formula>$Q$37&gt;=20</formula>
    </cfRule>
  </conditionalFormatting>
  <conditionalFormatting sqref="Y22:Z22">
    <cfRule type="expression" dxfId="1026" priority="16">
      <formula>$Q$37&gt;=10</formula>
    </cfRule>
  </conditionalFormatting>
  <conditionalFormatting sqref="V26">
    <cfRule type="expression" dxfId="1025" priority="12">
      <formula>LEN(V26)&gt;50</formula>
    </cfRule>
  </conditionalFormatting>
  <conditionalFormatting sqref="AD26">
    <cfRule type="expression" dxfId="1024" priority="11">
      <formula>LEN(AD26)&gt;50</formula>
    </cfRule>
  </conditionalFormatting>
  <conditionalFormatting sqref="V34">
    <cfRule type="expression" dxfId="1023" priority="10">
      <formula>LEN(V34)&gt;50</formula>
    </cfRule>
  </conditionalFormatting>
  <conditionalFormatting sqref="AD34">
    <cfRule type="expression" dxfId="1022" priority="9">
      <formula>LEN(AD34)&gt;50</formula>
    </cfRule>
  </conditionalFormatting>
  <conditionalFormatting sqref="V42">
    <cfRule type="expression" dxfId="1021" priority="8">
      <formula>LEN(V42)&gt;50</formula>
    </cfRule>
  </conditionalFormatting>
  <conditionalFormatting sqref="AD42">
    <cfRule type="expression" dxfId="1020" priority="7">
      <formula>LEN(AD42)&gt;50</formula>
    </cfRule>
  </conditionalFormatting>
  <conditionalFormatting sqref="V50">
    <cfRule type="expression" dxfId="1019" priority="6">
      <formula>LEN(V50)&gt;50</formula>
    </cfRule>
  </conditionalFormatting>
  <conditionalFormatting sqref="AD50">
    <cfRule type="expression" dxfId="1018" priority="5">
      <formula>LEN(AD50)&gt;50</formula>
    </cfRule>
  </conditionalFormatting>
  <conditionalFormatting sqref="V58">
    <cfRule type="expression" dxfId="1017" priority="4">
      <formula>LEN(V58)&gt;50</formula>
    </cfRule>
  </conditionalFormatting>
  <conditionalFormatting sqref="AD58">
    <cfRule type="expression" dxfId="1016" priority="3">
      <formula>LEN(AD58)&gt;50</formula>
    </cfRule>
  </conditionalFormatting>
  <conditionalFormatting sqref="V66">
    <cfRule type="expression" dxfId="1015" priority="2">
      <formula>LEN(V66)&gt;50</formula>
    </cfRule>
  </conditionalFormatting>
  <conditionalFormatting sqref="AD66">
    <cfRule type="expression" dxfId="101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20" t="s">
        <v>8943</v>
      </c>
      <c r="AK1" s="2920"/>
      <c r="AL1" s="2920"/>
      <c r="AM1" s="2920"/>
      <c r="AN1" s="2920"/>
      <c r="AO1" s="2920"/>
      <c r="AP1" s="2920"/>
      <c r="AQ1" s="2920"/>
      <c r="AR1" s="2921"/>
      <c r="AS1" s="2921"/>
      <c r="AT1" s="2921"/>
      <c r="AU1" s="2922"/>
      <c r="AV1" s="2922"/>
      <c r="AW1" s="2922"/>
      <c r="AX1" s="2922"/>
      <c r="AY1" s="2920"/>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23" t="s">
        <v>9509</v>
      </c>
      <c r="AK2" s="2920"/>
      <c r="AL2" s="2920"/>
      <c r="AM2" s="2920"/>
      <c r="AN2" s="2920"/>
      <c r="AO2" s="2920"/>
      <c r="AP2" s="2920"/>
      <c r="AQ2" s="2920"/>
      <c r="AR2" s="2921"/>
      <c r="AS2" s="2921"/>
      <c r="AT2" s="2921"/>
      <c r="AU2" s="2922"/>
      <c r="AV2" s="2922"/>
      <c r="AW2" s="2922"/>
      <c r="AX2" s="2922"/>
      <c r="AY2" s="2920"/>
    </row>
    <row r="3" spans="1:51" ht="12.2" customHeight="1" x14ac:dyDescent="0.2">
      <c r="A3" s="2360"/>
      <c r="B3" s="2252"/>
      <c r="C3" s="4208"/>
      <c r="D3" s="4209"/>
      <c r="E3" s="4209"/>
      <c r="F3" s="4209"/>
      <c r="G3" s="4209"/>
      <c r="H3" s="4209"/>
      <c r="I3" s="2785"/>
      <c r="J3" s="2785"/>
      <c r="K3" s="2785"/>
      <c r="L3" s="2785"/>
      <c r="M3" s="2785"/>
      <c r="N3" s="2785"/>
      <c r="O3" s="2785"/>
      <c r="P3" s="2785"/>
      <c r="Q3" s="2785"/>
      <c r="R3" s="2785"/>
      <c r="S3" s="2785"/>
      <c r="T3" s="2785"/>
      <c r="U3" s="2785"/>
      <c r="V3" s="2785"/>
      <c r="W3" s="2785"/>
      <c r="X3" s="2785"/>
      <c r="Y3" s="2785"/>
      <c r="Z3" s="2785"/>
      <c r="AA3" s="2785"/>
      <c r="AB3" s="2785"/>
      <c r="AC3" s="2785"/>
      <c r="AD3" s="4405"/>
      <c r="AE3" s="4405"/>
      <c r="AF3" s="4405"/>
      <c r="AG3" s="4406"/>
      <c r="AH3" s="2369"/>
      <c r="AI3" s="2073"/>
      <c r="AJ3" s="2920" t="s">
        <v>1459</v>
      </c>
      <c r="AK3" s="2920"/>
      <c r="AL3" s="2920"/>
      <c r="AM3" s="2920"/>
      <c r="AN3" s="2920"/>
      <c r="AO3" s="2920"/>
      <c r="AP3" s="2920"/>
      <c r="AQ3" s="2920"/>
      <c r="AR3" s="2921"/>
      <c r="AS3" s="2921"/>
      <c r="AT3" s="2921"/>
      <c r="AU3" s="2922"/>
      <c r="AV3" s="2922"/>
      <c r="AW3" s="2922"/>
      <c r="AX3" s="2922"/>
      <c r="AY3" s="2920"/>
    </row>
    <row r="4" spans="1:51" ht="12.2" customHeight="1" x14ac:dyDescent="0.2">
      <c r="A4" s="2360"/>
      <c r="B4" s="2252"/>
      <c r="C4" s="4210"/>
      <c r="D4" s="4211"/>
      <c r="E4" s="4211"/>
      <c r="F4" s="4211"/>
      <c r="G4" s="4211"/>
      <c r="H4" s="4211"/>
      <c r="I4" s="2753"/>
      <c r="J4" s="4525" t="s">
        <v>1326</v>
      </c>
      <c r="K4" s="4525"/>
      <c r="L4" s="4524" t="str">
        <f>IF(OR(General!$F$22="",General!$F$22=0),"",General!$F$22)</f>
        <v/>
      </c>
      <c r="M4" s="4524"/>
      <c r="N4" s="4524"/>
      <c r="O4" s="4524"/>
      <c r="P4" s="4524"/>
      <c r="Q4" s="4524"/>
      <c r="R4" s="4524"/>
      <c r="S4" s="4524"/>
      <c r="T4" s="4524"/>
      <c r="U4" s="2791"/>
      <c r="V4" s="2791"/>
      <c r="W4" s="4505" t="s">
        <v>9773</v>
      </c>
      <c r="X4" s="4506"/>
      <c r="Y4" s="4506"/>
      <c r="Z4" s="4506"/>
      <c r="AA4" s="4506"/>
      <c r="AB4" s="4506"/>
      <c r="AC4" s="2791"/>
      <c r="AD4" s="4407"/>
      <c r="AE4" s="4407"/>
      <c r="AF4" s="4407"/>
      <c r="AG4" s="4408"/>
      <c r="AH4" s="2369"/>
      <c r="AI4" s="2073"/>
      <c r="AJ4" s="2920" t="s">
        <v>5785</v>
      </c>
      <c r="AK4" s="2920"/>
      <c r="AL4" s="2920"/>
      <c r="AM4" s="2920"/>
      <c r="AN4" s="2920"/>
      <c r="AO4" s="2920"/>
      <c r="AP4" s="2920"/>
      <c r="AQ4" s="2921"/>
      <c r="AR4" s="2922"/>
      <c r="AS4" s="2922"/>
      <c r="AT4" s="2922"/>
      <c r="AU4" s="2922"/>
      <c r="AV4" s="2922"/>
      <c r="AW4" s="2922"/>
      <c r="AX4" s="2922"/>
      <c r="AY4" s="2920"/>
    </row>
    <row r="5" spans="1:51" ht="12.2" customHeight="1" x14ac:dyDescent="0.2">
      <c r="A5" s="2360"/>
      <c r="B5" s="2252"/>
      <c r="C5" s="4210"/>
      <c r="D5" s="4211"/>
      <c r="E5" s="4211"/>
      <c r="F5" s="4211"/>
      <c r="G5" s="4211"/>
      <c r="H5" s="4211"/>
      <c r="I5" s="2753"/>
      <c r="J5" s="4526" t="s">
        <v>1327</v>
      </c>
      <c r="K5" s="4526"/>
      <c r="L5" s="3631" t="str">
        <f>PDs!$J$8</f>
        <v/>
      </c>
      <c r="M5" s="3631"/>
      <c r="N5" s="3631"/>
      <c r="O5" s="2792" t="s">
        <v>1328</v>
      </c>
      <c r="P5" s="2793" t="str">
        <f>Principal!$O$6</f>
        <v>0</v>
      </c>
      <c r="Q5" s="2794"/>
      <c r="R5" s="2794"/>
      <c r="S5" s="2791"/>
      <c r="T5" s="2791"/>
      <c r="U5" s="2791"/>
      <c r="V5" s="2791"/>
      <c r="W5" s="4506"/>
      <c r="X5" s="4506"/>
      <c r="Y5" s="4506"/>
      <c r="Z5" s="4506"/>
      <c r="AA5" s="4506"/>
      <c r="AB5" s="4506"/>
      <c r="AC5" s="2794"/>
      <c r="AD5" s="4407"/>
      <c r="AE5" s="4407"/>
      <c r="AF5" s="4407"/>
      <c r="AG5" s="4408"/>
      <c r="AH5" s="2369"/>
      <c r="AI5" s="2073"/>
      <c r="AJ5" s="2920" t="s">
        <v>9037</v>
      </c>
      <c r="AK5" s="2920"/>
      <c r="AL5" s="2920"/>
      <c r="AM5" s="2920"/>
      <c r="AN5" s="2920"/>
      <c r="AO5" s="2920"/>
      <c r="AP5" s="2920"/>
      <c r="AQ5" s="2921"/>
      <c r="AR5" s="2922"/>
      <c r="AS5" s="2922"/>
      <c r="AT5" s="2922"/>
      <c r="AU5" s="2922"/>
      <c r="AV5" s="2922"/>
      <c r="AW5" s="2922"/>
      <c r="AX5" s="2922"/>
      <c r="AY5" s="2920"/>
    </row>
    <row r="6" spans="1:51" ht="12.2" customHeight="1" x14ac:dyDescent="0.2">
      <c r="A6" s="2360"/>
      <c r="B6" s="2252"/>
      <c r="C6" s="4210"/>
      <c r="D6" s="4211"/>
      <c r="E6" s="4211"/>
      <c r="F6" s="4211"/>
      <c r="G6" s="4211"/>
      <c r="H6" s="4211"/>
      <c r="I6" s="2753"/>
      <c r="J6" s="4505" t="s">
        <v>3217</v>
      </c>
      <c r="K6" s="4506"/>
      <c r="L6" s="4506"/>
      <c r="M6" s="4506"/>
      <c r="N6" s="4506"/>
      <c r="O6" s="4506"/>
      <c r="P6" s="4506"/>
      <c r="Q6" s="2794"/>
      <c r="R6" s="2794"/>
      <c r="S6" s="2791"/>
      <c r="T6" s="2791"/>
      <c r="U6" s="2791"/>
      <c r="V6" s="4527"/>
      <c r="W6" s="4528"/>
      <c r="X6" s="4528"/>
      <c r="Y6" s="4528"/>
      <c r="Z6" s="4528"/>
      <c r="AA6" s="4528"/>
      <c r="AB6" s="4528"/>
      <c r="AC6" s="4529"/>
      <c r="AD6" s="4407"/>
      <c r="AE6" s="4407"/>
      <c r="AF6" s="4407"/>
      <c r="AG6" s="4408"/>
      <c r="AH6" s="2369"/>
      <c r="AI6" s="2073"/>
      <c r="AJ6" s="2920" t="s">
        <v>9040</v>
      </c>
      <c r="AK6" s="2920"/>
      <c r="AL6" s="2920"/>
      <c r="AM6" s="2920"/>
      <c r="AN6" s="2920"/>
      <c r="AO6" s="2920"/>
      <c r="AP6" s="2920"/>
      <c r="AQ6" s="2921"/>
      <c r="AR6" s="2922"/>
      <c r="AS6" s="2922"/>
      <c r="AT6" s="2922"/>
      <c r="AU6" s="2922"/>
      <c r="AV6" s="2922"/>
      <c r="AW6" s="2922"/>
      <c r="AX6" s="2922"/>
      <c r="AY6" s="2920"/>
    </row>
    <row r="7" spans="1:51" ht="12.2" customHeight="1" x14ac:dyDescent="0.2">
      <c r="A7" s="2360"/>
      <c r="B7" s="2252"/>
      <c r="C7" s="4210"/>
      <c r="D7" s="4211"/>
      <c r="E7" s="4211"/>
      <c r="F7" s="4211"/>
      <c r="G7" s="4211"/>
      <c r="H7" s="4211"/>
      <c r="I7" s="2753"/>
      <c r="J7" s="4506"/>
      <c r="K7" s="4506"/>
      <c r="L7" s="4506"/>
      <c r="M7" s="4506"/>
      <c r="N7" s="4506"/>
      <c r="O7" s="4506"/>
      <c r="P7" s="4506"/>
      <c r="Q7" s="2791"/>
      <c r="R7" s="2791"/>
      <c r="S7" s="2791"/>
      <c r="T7" s="2791"/>
      <c r="U7" s="2791"/>
      <c r="V7" s="4530"/>
      <c r="W7" s="4531"/>
      <c r="X7" s="4531"/>
      <c r="Y7" s="4531"/>
      <c r="Z7" s="4531"/>
      <c r="AA7" s="4531"/>
      <c r="AB7" s="4531"/>
      <c r="AC7" s="4532"/>
      <c r="AD7" s="4407"/>
      <c r="AE7" s="4407"/>
      <c r="AF7" s="4407"/>
      <c r="AG7" s="4408"/>
      <c r="AH7" s="2369"/>
      <c r="AI7" s="2073"/>
      <c r="AJ7" s="2924"/>
      <c r="AK7" s="2920"/>
      <c r="AL7" s="2920"/>
      <c r="AM7" s="2920"/>
      <c r="AN7" s="2920"/>
      <c r="AO7" s="2920"/>
      <c r="AP7" s="2920"/>
      <c r="AQ7" s="2921"/>
      <c r="AR7" s="2922"/>
      <c r="AS7" s="2922"/>
      <c r="AT7" s="2922"/>
      <c r="AU7" s="2922"/>
      <c r="AV7" s="2922"/>
      <c r="AW7" s="2922"/>
      <c r="AX7" s="2922"/>
      <c r="AY7" s="2920"/>
    </row>
    <row r="8" spans="1:51" ht="12.2" customHeight="1" thickBot="1" x14ac:dyDescent="0.25">
      <c r="A8" s="2360"/>
      <c r="B8" s="2252"/>
      <c r="C8" s="4212"/>
      <c r="D8" s="4213"/>
      <c r="E8" s="4213"/>
      <c r="F8" s="4213"/>
      <c r="G8" s="4213"/>
      <c r="H8" s="4213"/>
      <c r="I8" s="2786"/>
      <c r="J8" s="2786"/>
      <c r="K8" s="2786"/>
      <c r="L8" s="2786"/>
      <c r="M8" s="2786"/>
      <c r="N8" s="2786"/>
      <c r="O8" s="2786"/>
      <c r="P8" s="2786"/>
      <c r="Q8" s="2786"/>
      <c r="R8" s="2786"/>
      <c r="S8" s="2786"/>
      <c r="T8" s="2786"/>
      <c r="U8" s="2786"/>
      <c r="V8" s="2786"/>
      <c r="W8" s="2786"/>
      <c r="X8" s="2786"/>
      <c r="Y8" s="2786"/>
      <c r="Z8" s="2786"/>
      <c r="AA8" s="2786"/>
      <c r="AB8" s="2786"/>
      <c r="AC8" s="2786"/>
      <c r="AD8" s="4409"/>
      <c r="AE8" s="4409"/>
      <c r="AF8" s="4409"/>
      <c r="AG8" s="4410"/>
      <c r="AH8" s="2369"/>
      <c r="AI8" s="2073"/>
      <c r="AJ8" s="2923" t="s">
        <v>2834</v>
      </c>
      <c r="AK8" s="2920"/>
      <c r="AL8" s="2920"/>
      <c r="AM8" s="2920"/>
      <c r="AN8" s="2920"/>
      <c r="AO8" s="2920"/>
      <c r="AP8" s="2920"/>
      <c r="AQ8" s="2921"/>
      <c r="AR8" s="2922"/>
      <c r="AS8" s="2922"/>
      <c r="AT8" s="2922"/>
      <c r="AU8" s="2922"/>
      <c r="AV8" s="2922"/>
      <c r="AW8" s="2922"/>
      <c r="AX8" s="2922"/>
      <c r="AY8" s="2920"/>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20" t="s">
        <v>9008</v>
      </c>
      <c r="AK9" s="2920"/>
      <c r="AL9" s="2920"/>
      <c r="AM9" s="2920"/>
      <c r="AN9" s="2920"/>
      <c r="AO9" s="2920"/>
      <c r="AP9" s="2920"/>
      <c r="AQ9" s="2921"/>
      <c r="AR9" s="2922"/>
      <c r="AS9" s="2922"/>
      <c r="AT9" s="2922"/>
      <c r="AU9" s="2922"/>
      <c r="AV9" s="2922"/>
      <c r="AW9" s="2922"/>
      <c r="AX9" s="2922"/>
      <c r="AY9" s="2920"/>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20" t="s">
        <v>526</v>
      </c>
      <c r="AK10" s="2920"/>
      <c r="AL10" s="2920"/>
      <c r="AM10" s="2920"/>
      <c r="AN10" s="2920"/>
      <c r="AO10" s="2920"/>
      <c r="AP10" s="2920"/>
      <c r="AQ10" s="2920"/>
      <c r="AR10" s="2920"/>
      <c r="AS10" s="2920"/>
      <c r="AT10" s="2920"/>
      <c r="AU10" s="2920"/>
      <c r="AV10" s="2920"/>
      <c r="AW10" s="2922"/>
      <c r="AX10" s="2922"/>
      <c r="AY10" s="2920"/>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510"/>
      <c r="AK11" s="4510"/>
      <c r="AL11" s="4510"/>
      <c r="AM11" s="4510"/>
      <c r="AN11" s="4510"/>
      <c r="AO11" s="4510"/>
      <c r="AP11" s="4510"/>
      <c r="AQ11" s="4510"/>
      <c r="AR11" s="4510"/>
      <c r="AS11" s="4510"/>
      <c r="AT11" s="4510"/>
      <c r="AU11" s="4510"/>
      <c r="AV11" s="4510"/>
      <c r="AW11" s="4510"/>
      <c r="AX11" s="4510"/>
      <c r="AY11" s="4510"/>
    </row>
    <row r="12" spans="1:51" ht="12.2" customHeight="1" x14ac:dyDescent="0.2">
      <c r="A12" s="2360"/>
      <c r="B12" s="2252">
        <v>1</v>
      </c>
      <c r="C12" s="4507" t="str">
        <f>"Técnica "&amp;B12</f>
        <v>Técnica 1</v>
      </c>
      <c r="D12" s="4497" t="s">
        <v>8918</v>
      </c>
      <c r="E12" s="4498"/>
      <c r="F12" s="4498"/>
      <c r="G12" s="4498"/>
      <c r="H12" s="4498"/>
      <c r="I12" s="4498"/>
      <c r="J12" s="4498"/>
      <c r="K12" s="4498"/>
      <c r="L12" s="4498"/>
      <c r="M12" s="4498"/>
      <c r="N12" s="4499"/>
      <c r="O12" s="4458" t="s">
        <v>1328</v>
      </c>
      <c r="P12" s="4460">
        <v>1</v>
      </c>
      <c r="Q12" s="4377" t="s">
        <v>9002</v>
      </c>
      <c r="R12" s="4453"/>
      <c r="S12" s="4455" t="s">
        <v>1384</v>
      </c>
      <c r="T12" s="4378" t="s">
        <v>1509</v>
      </c>
      <c r="U12" s="4440">
        <f>MAX(IF(P12=3,60,IF(P12=2,40,20)),MIN(SUM(N16:N23)-10*Y21+AC21+IF(S12="Si",10*P12,0)+IF(COUNTIF(K16:M20,"Mantenido")&gt;0,P12*10)+MAX(IF(COUNTIF(K16:M20,"Sostenimiento Menor")&gt;0,P12*20)+IF(COUNTIF(K16:M20,"Sostenimiento Mayor")&gt;0,P12*30))))</f>
        <v>20</v>
      </c>
      <c r="V12" s="4377" t="s">
        <v>9003</v>
      </c>
      <c r="W12" s="4378"/>
      <c r="X12" s="4381" t="str">
        <f>IFERROR(LEFT(AK28&amp;AL28&amp;AM28&amp;AN28&amp;AO28&amp;AP28,LEN(AK28&amp;AL28&amp;AM28&amp;AN28&amp;AO28&amp;AP28)-2),"")</f>
        <v/>
      </c>
      <c r="Y12" s="4381"/>
      <c r="Z12" s="4381"/>
      <c r="AA12" s="4381"/>
      <c r="AB12" s="4381"/>
      <c r="AC12" s="4381"/>
      <c r="AD12" s="4381"/>
      <c r="AE12" s="4381"/>
      <c r="AF12" s="4381"/>
      <c r="AG12" s="4382"/>
      <c r="AH12" s="2369"/>
      <c r="AI12" s="4511"/>
      <c r="AJ12" s="2925" t="s">
        <v>9547</v>
      </c>
      <c r="AK12" s="2925"/>
      <c r="AL12" s="2925"/>
      <c r="AM12" s="2925"/>
      <c r="AN12" s="2925"/>
      <c r="AO12" s="2925"/>
      <c r="AP12" s="2925"/>
      <c r="AQ12" s="2925"/>
      <c r="AR12" s="2925"/>
      <c r="AS12" s="2920"/>
      <c r="AT12" s="2920"/>
      <c r="AU12" s="2920"/>
      <c r="AV12" s="2920"/>
      <c r="AW12" s="2922"/>
      <c r="AX12" s="2922"/>
      <c r="AY12" s="2920"/>
    </row>
    <row r="13" spans="1:51" ht="12.2" customHeight="1" x14ac:dyDescent="0.2">
      <c r="A13" s="2360"/>
      <c r="B13" s="2252">
        <v>1</v>
      </c>
      <c r="C13" s="4508"/>
      <c r="D13" s="4500"/>
      <c r="E13" s="4501"/>
      <c r="F13" s="4501"/>
      <c r="G13" s="4501"/>
      <c r="H13" s="4501"/>
      <c r="I13" s="4501"/>
      <c r="J13" s="4501"/>
      <c r="K13" s="4501"/>
      <c r="L13" s="4501"/>
      <c r="M13" s="4501"/>
      <c r="N13" s="4502"/>
      <c r="O13" s="4459"/>
      <c r="P13" s="4456"/>
      <c r="Q13" s="4379"/>
      <c r="R13" s="4454"/>
      <c r="S13" s="4456"/>
      <c r="T13" s="4380"/>
      <c r="U13" s="4503"/>
      <c r="V13" s="4379"/>
      <c r="W13" s="4380"/>
      <c r="X13" s="4383"/>
      <c r="Y13" s="4383"/>
      <c r="Z13" s="4383"/>
      <c r="AA13" s="4383"/>
      <c r="AB13" s="4383"/>
      <c r="AC13" s="4383"/>
      <c r="AD13" s="4383"/>
      <c r="AE13" s="4383"/>
      <c r="AF13" s="4383"/>
      <c r="AG13" s="4384"/>
      <c r="AH13" s="2369"/>
      <c r="AI13" s="4511"/>
      <c r="AJ13" s="2925"/>
      <c r="AK13" s="2925" t="s">
        <v>9548</v>
      </c>
      <c r="AL13" s="2925" t="s">
        <v>10268</v>
      </c>
      <c r="AM13" s="2926"/>
      <c r="AN13" s="2926"/>
      <c r="AO13" s="2926"/>
      <c r="AP13" s="2926"/>
      <c r="AQ13" s="2926"/>
      <c r="AR13" s="2925"/>
      <c r="AS13" s="2920"/>
      <c r="AT13" s="2920"/>
      <c r="AU13" s="2920"/>
      <c r="AV13" s="2920"/>
      <c r="AW13" s="2922"/>
      <c r="AX13" s="4510" t="s">
        <v>9517</v>
      </c>
      <c r="AY13" s="4510"/>
    </row>
    <row r="14" spans="1:51" ht="12.2" customHeight="1" x14ac:dyDescent="0.2">
      <c r="A14" s="2360"/>
      <c r="B14" s="2252">
        <v>1</v>
      </c>
      <c r="C14" s="4508"/>
      <c r="D14" s="4386" t="s">
        <v>2858</v>
      </c>
      <c r="E14" s="4387"/>
      <c r="F14" s="4387"/>
      <c r="G14" s="4387"/>
      <c r="H14" s="4387"/>
      <c r="I14" s="4387"/>
      <c r="J14" s="4387"/>
      <c r="K14" s="4467" t="s">
        <v>9847</v>
      </c>
      <c r="L14" s="4467"/>
      <c r="M14" s="4467"/>
      <c r="N14" s="4387" t="s">
        <v>1503</v>
      </c>
      <c r="O14" s="4467" t="s">
        <v>2856</v>
      </c>
      <c r="P14" s="4467" t="s">
        <v>9004</v>
      </c>
      <c r="Q14" s="4387" t="s">
        <v>1367</v>
      </c>
      <c r="R14" s="4387"/>
      <c r="S14" s="4387"/>
      <c r="T14" s="4387"/>
      <c r="U14" s="4387"/>
      <c r="V14" s="4376" t="s">
        <v>1376</v>
      </c>
      <c r="W14" s="4354"/>
      <c r="X14" s="4376" t="s">
        <v>1501</v>
      </c>
      <c r="Y14" s="4464"/>
      <c r="Z14" s="4354" t="s">
        <v>1381</v>
      </c>
      <c r="AA14" s="4354"/>
      <c r="AB14" s="4376" t="s">
        <v>1386</v>
      </c>
      <c r="AC14" s="4464"/>
      <c r="AD14" s="4354" t="s">
        <v>1394</v>
      </c>
      <c r="AE14" s="4354"/>
      <c r="AF14" s="4376" t="s">
        <v>1395</v>
      </c>
      <c r="AG14" s="4355"/>
      <c r="AH14" s="2369"/>
      <c r="AI14" s="4511"/>
      <c r="AJ14" s="2920"/>
      <c r="AK14" s="2920"/>
      <c r="AL14" s="2920" t="s">
        <v>9825</v>
      </c>
      <c r="AM14" s="2920"/>
      <c r="AN14" s="2920"/>
      <c r="AO14" s="2920"/>
      <c r="AP14" s="2920"/>
      <c r="AQ14" s="2920"/>
      <c r="AR14" s="2922"/>
      <c r="AS14" s="2922" t="s">
        <v>9537</v>
      </c>
      <c r="AT14" s="2922" t="s">
        <v>9538</v>
      </c>
      <c r="AU14" s="2920" t="s">
        <v>9526</v>
      </c>
      <c r="AV14" s="2920" t="s">
        <v>9527</v>
      </c>
      <c r="AW14" s="2922" t="s">
        <v>1503</v>
      </c>
      <c r="AX14" s="2922" t="s">
        <v>9006</v>
      </c>
      <c r="AY14" s="2920" t="s">
        <v>9007</v>
      </c>
    </row>
    <row r="15" spans="1:51" ht="12.2" customHeight="1" x14ac:dyDescent="0.2">
      <c r="A15" s="2360"/>
      <c r="B15" s="2252">
        <v>1</v>
      </c>
      <c r="C15" s="4508"/>
      <c r="D15" s="4465"/>
      <c r="E15" s="4466"/>
      <c r="F15" s="4466"/>
      <c r="G15" s="4466"/>
      <c r="H15" s="4466"/>
      <c r="I15" s="4466"/>
      <c r="J15" s="4466"/>
      <c r="K15" s="4468"/>
      <c r="L15" s="4468"/>
      <c r="M15" s="4468"/>
      <c r="N15" s="4388"/>
      <c r="O15" s="4468"/>
      <c r="P15" s="4469"/>
      <c r="Q15" s="4388"/>
      <c r="R15" s="4388"/>
      <c r="S15" s="4388"/>
      <c r="T15" s="4388"/>
      <c r="U15" s="4388"/>
      <c r="V15" s="2795" t="s">
        <v>9516</v>
      </c>
      <c r="W15" s="2796" t="s">
        <v>2862</v>
      </c>
      <c r="X15" s="2795" t="s">
        <v>9516</v>
      </c>
      <c r="Y15" s="2796" t="s">
        <v>2862</v>
      </c>
      <c r="Z15" s="2795" t="s">
        <v>9516</v>
      </c>
      <c r="AA15" s="2796" t="s">
        <v>2862</v>
      </c>
      <c r="AB15" s="2795" t="s">
        <v>9516</v>
      </c>
      <c r="AC15" s="2796" t="s">
        <v>2862</v>
      </c>
      <c r="AD15" s="2795" t="s">
        <v>9516</v>
      </c>
      <c r="AE15" s="2796" t="s">
        <v>2862</v>
      </c>
      <c r="AF15" s="2795" t="s">
        <v>9516</v>
      </c>
      <c r="AG15" s="2797" t="s">
        <v>2862</v>
      </c>
      <c r="AH15" s="2369"/>
      <c r="AI15" s="4511"/>
      <c r="AJ15" s="2920"/>
      <c r="AK15" s="2920" t="s">
        <v>9518</v>
      </c>
      <c r="AL15" s="2920">
        <v>1</v>
      </c>
      <c r="AM15" s="2920">
        <v>2</v>
      </c>
      <c r="AN15" s="2920">
        <v>3</v>
      </c>
      <c r="AO15" s="2920">
        <v>4</v>
      </c>
      <c r="AP15" s="2920">
        <v>5</v>
      </c>
      <c r="AQ15" s="2920">
        <v>6</v>
      </c>
      <c r="AR15" s="2920">
        <v>7</v>
      </c>
      <c r="AS15" s="2922"/>
      <c r="AT15" s="2920" t="s">
        <v>9549</v>
      </c>
      <c r="AU15" s="2922"/>
      <c r="AV15" s="2922"/>
      <c r="AW15" s="2922" t="s">
        <v>9549</v>
      </c>
      <c r="AX15" s="2922"/>
      <c r="AY15" s="2920"/>
    </row>
    <row r="16" spans="1:51" ht="12.2" customHeight="1" x14ac:dyDescent="0.2">
      <c r="A16" s="2360"/>
      <c r="B16" s="2252">
        <v>1</v>
      </c>
      <c r="C16" s="4508"/>
      <c r="D16" s="4486" t="s">
        <v>9008</v>
      </c>
      <c r="E16" s="4487"/>
      <c r="F16" s="4488"/>
      <c r="G16" s="4489"/>
      <c r="H16" s="4489"/>
      <c r="I16" s="4489"/>
      <c r="J16" s="4411"/>
      <c r="K16" s="4490" t="s">
        <v>1459</v>
      </c>
      <c r="L16" s="4491"/>
      <c r="M16" s="4492"/>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93" t="str">
        <f>IFERROR(VLOOKUP(F16,'Tablas Técnicas'!$O$9:$T$88,5,FALSE),"")</f>
        <v/>
      </c>
      <c r="R16" s="4493"/>
      <c r="S16" s="4493"/>
      <c r="T16" s="4493"/>
      <c r="U16" s="4493"/>
      <c r="V16" s="2208"/>
      <c r="W16" s="2209"/>
      <c r="X16" s="2208"/>
      <c r="Y16" s="2210"/>
      <c r="Z16" s="2211"/>
      <c r="AA16" s="2209"/>
      <c r="AB16" s="2208"/>
      <c r="AC16" s="2210"/>
      <c r="AD16" s="2211"/>
      <c r="AE16" s="2209"/>
      <c r="AF16" s="2208"/>
      <c r="AG16" s="2212"/>
      <c r="AH16" s="2369"/>
      <c r="AI16" s="4511"/>
      <c r="AJ16" s="2920">
        <v>1</v>
      </c>
      <c r="AK16" s="2920">
        <f>P12</f>
        <v>1</v>
      </c>
      <c r="AL16" s="2920" t="str">
        <f>IF(AND(ISNUMBER(MATCH($F16,'Tablas Técnicas'!$L$10:$L$643,0)),INDEX($D29:$D35,Tablas!A$1)="",COUNTIF(AM16:$AS16,$F16)=0),$F16,IF(INDEX($D29:$D35,Tablas!A$1)="","",$F16&amp;INDEX($D29:$D35,Tablas!A$1)))</f>
        <v/>
      </c>
      <c r="AM16" s="2920" t="str">
        <f>IF(AND(ISNUMBER(MATCH($F16,'Tablas Técnicas'!$L$10:$L$643,0)),INDEX($D29:$D35,Tablas!B$1)="",COUNTIF(AN16:$AS16,$F16)=0),$F16,IF(INDEX($D29:$D35,Tablas!B$1)="","",$F16&amp;INDEX($D29:$D35,Tablas!B$1)))</f>
        <v/>
      </c>
      <c r="AN16" s="2920" t="str">
        <f>IF(AND(ISNUMBER(MATCH($F16,'Tablas Técnicas'!$L$10:$L$643,0)),INDEX($D29:$D35,Tablas!C$1)="",COUNTIF(AO16:$AS16,$F16)=0),$F16,IF(INDEX($D29:$D35,Tablas!C$1)="","",$F16&amp;INDEX($D29:$D35,Tablas!C$1)))</f>
        <v/>
      </c>
      <c r="AO16" s="2920" t="str">
        <f>IF(AND(ISNUMBER(MATCH($F16,'Tablas Técnicas'!$L$10:$L$643,0)),INDEX($D29:$D35,Tablas!D$1)="",COUNTIF(AP16:$AS16,$F16)=0),$F16,IF(INDEX($D29:$D35,Tablas!D$1)="","",$F16&amp;INDEX($D29:$D35,Tablas!D$1)))</f>
        <v/>
      </c>
      <c r="AP16" s="2920" t="str">
        <f>IF(AND(ISNUMBER(MATCH($F16,'Tablas Técnicas'!$L$10:$L$643,0)),INDEX($D29:$D35,Tablas!E$1)="",COUNTIF(AQ16:$AS16,$F16)=0),$F16,IF(INDEX($D29:$D35,Tablas!E$1)="","",$F16&amp;INDEX($D29:$D35,Tablas!E$1)))</f>
        <v/>
      </c>
      <c r="AQ16" s="2920" t="str">
        <f>IF(AND(ISNUMBER(MATCH($F16,'Tablas Técnicas'!$L$10:$L$643,0)),INDEX($D29:$D35,Tablas!F$1)="",COUNTIF(AR16:$AS16,$F16)=0),$F16,IF(INDEX($D29:$D35,Tablas!F$1)="","",$F16&amp;INDEX($D29:$D35,Tablas!F$1)))</f>
        <v/>
      </c>
      <c r="AR16" s="2920" t="str">
        <f>IF(AND(ISNUMBER(MATCH($F16,'Tablas Técnicas'!$L$10:$L$643,0)),INDEX($D29:$D35,Tablas!G$1)="",COUNTIF(AS16:$AS16,$F16)=0),$F16,IF(INDEX($D29:$D35,Tablas!G$1)="","",$F16&amp;INDEX($D29:$D35,Tablas!G$1)))</f>
        <v/>
      </c>
      <c r="AS16" s="2922">
        <f>V16+X16+Z16+AB16+AD16+AF16</f>
        <v>0</v>
      </c>
      <c r="AT16" s="2922">
        <f t="array" ref="AT16">SUM(IF($AL16:$AR16='Tablas Técnicas'!$L$10:$L$643,IF(D16="Primario",'Tablas Técnicas'!$E$10:$E$643,'Tablas Técnicas'!$F$10:$F$643)+IF(K16="Sostenimiento menor",'Tablas Técnicas'!$I$10:$I$643,IF(K16="sostenimiento mayor",'Tablas Técnicas'!$J$10:$J$643,0)),0),0)+VALUE(RIGHT(P16,2))+AU16+AV16</f>
        <v>0</v>
      </c>
      <c r="AU16" s="2922">
        <f>IFERROR(IF(V16=0,0,VALUE(MID(Q16,SEARCH("AGI",Q16)+4,1))),0)+IFERROR(IF(X16=0,0,VALUE(MID(Q16,SEARCH("CON",Q16)+4,1))),0)+IFERROR(IF(Z16=0,0,VALUE(MID(Q16,SEARCH("DES",Q16)+4,1))),0)+IFERROR(IF(AB16=0,0,VALUE(MID(Q16,SEARCH("FUE",Q16)+4,1))),0)+IFERROR(IF(AD16=0,0,VALUE(MID(Q16,SEARCH("POD",Q16)+4,1))),0)+IFERROR(IF(AF16=0,0,VALUE(MID(Q16,SEARCH("VOL",Q16)+4,1))),0)</f>
        <v>0</v>
      </c>
      <c r="AV16" s="2922">
        <f>(COUNTIF(AL16:AR16,"*Estado añadido:*")-1)*COUNTIF(AL16:AR16,"*Estado añadido:*")</f>
        <v>0</v>
      </c>
      <c r="AW16" s="2922">
        <f t="array" ref="AW16">SUM(IF($AL16:$AR16='Tablas Técnicas'!$L$10:$L$643,'Tablas Técnicas'!$G$10:$G$643,0))</f>
        <v>0</v>
      </c>
      <c r="AX16" s="2920" t="str">
        <f>IF(F16="","",F16&amp;" ("&amp;IF(AL16="","",SUBSTITUTE(AL16,F16,"")&amp;", ")&amp;IF(AM16="","",SUBSTITUTE(AM16,F16,"")&amp;", ")&amp;IF(AN16="","",SUBSTITUTE(AN16,F16,"")&amp;", ")&amp;IF(AO16="","",SUBSTITUTE(AO16,F16,"")&amp;", ")&amp;IF(AP16="","",SUBSTITUTE(AP16,F16,"")&amp;", ")&amp;IF(AQ16="","",SUBSTITUTE(AQ16,F16,"")&amp;", ")&amp;IF(AR16="","",SUBSTITUTE(AR16,F16,"")&amp;", ")&amp;IF(OR(K16="",K16="-"),"",K16&amp;", "))</f>
        <v/>
      </c>
      <c r="AY16" s="2920" t="str">
        <f t="shared" ref="AY16:AY18" si="0">IFERROR(LEFT(AX16,LEN(AX16)-2)&amp;"), ","")</f>
        <v/>
      </c>
    </row>
    <row r="17" spans="1:51" ht="12.2" customHeight="1" x14ac:dyDescent="0.2">
      <c r="A17" s="2360"/>
      <c r="B17" s="2252">
        <v>1</v>
      </c>
      <c r="C17" s="4508"/>
      <c r="D17" s="4392" t="s">
        <v>526</v>
      </c>
      <c r="E17" s="4393"/>
      <c r="F17" s="4473"/>
      <c r="G17" s="4474"/>
      <c r="H17" s="4474"/>
      <c r="I17" s="4474"/>
      <c r="J17" s="4420"/>
      <c r="K17" s="4475" t="s">
        <v>1459</v>
      </c>
      <c r="L17" s="4476"/>
      <c r="M17" s="4477"/>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394" t="str">
        <f>IFERROR(VLOOKUP(F17,'Tablas Técnicas'!$O$9:$T$88,5,FALSE),"")</f>
        <v/>
      </c>
      <c r="R17" s="4394"/>
      <c r="S17" s="4394"/>
      <c r="T17" s="4394"/>
      <c r="U17" s="4394"/>
      <c r="V17" s="2213"/>
      <c r="W17" s="2214"/>
      <c r="X17" s="2213"/>
      <c r="Y17" s="2215"/>
      <c r="Z17" s="2216"/>
      <c r="AA17" s="2214"/>
      <c r="AB17" s="2213"/>
      <c r="AC17" s="2215"/>
      <c r="AD17" s="2216"/>
      <c r="AE17" s="2214"/>
      <c r="AF17" s="2213"/>
      <c r="AG17" s="2217"/>
      <c r="AH17" s="2369"/>
      <c r="AI17" s="4511"/>
      <c r="AJ17" s="2920">
        <v>2</v>
      </c>
      <c r="AK17" s="2920">
        <f>P12</f>
        <v>1</v>
      </c>
      <c r="AL17" s="2920" t="str">
        <f>IF(AND(ISNUMBER(MATCH($F17,'Tablas Técnicas'!$L$10:$L$643,0)),INDEX($J29:$J35,Tablas!A$1)="",COUNTIF(AM17:$AS17,$F17)=0),$F17,IF(INDEX($J29:$J35,Tablas!A$1)="","",$F17&amp;INDEX($J29:$J35,Tablas!A$1)))</f>
        <v/>
      </c>
      <c r="AM17" s="2920" t="str">
        <f>IF(AND(ISNUMBER(MATCH($F17,'Tablas Técnicas'!$L$10:$L$643,0)),INDEX($J29:$J35,Tablas!B$1)="",COUNTIF(AN17:$AS17,$F17)=0),$F17,IF(INDEX($J29:$J35,Tablas!B$1)="","",$F17&amp;INDEX($J29:$J35,Tablas!B$1)))</f>
        <v/>
      </c>
      <c r="AN17" s="2920" t="str">
        <f>IF(AND(ISNUMBER(MATCH($F17,'Tablas Técnicas'!$L$10:$L$643,0)),INDEX($J29:$J35,Tablas!C$1)="",COUNTIF(AO17:$AS17,$F17)=0),$F17,IF(INDEX($J29:$J35,Tablas!C$1)="","",$F17&amp;INDEX($J29:$J35,Tablas!C$1)))</f>
        <v/>
      </c>
      <c r="AO17" s="2920" t="str">
        <f>IF(AND(ISNUMBER(MATCH($F17,'Tablas Técnicas'!$L$10:$L$643,0)),INDEX($J29:$J35,Tablas!D$1)="",COUNTIF(AP17:$AS17,$F17)=0),$F17,IF(INDEX($J29:$J35,Tablas!D$1)="","",$F17&amp;INDEX($J29:$J35,Tablas!D$1)))</f>
        <v/>
      </c>
      <c r="AP17" s="2920" t="str">
        <f>IF(AND(ISNUMBER(MATCH($F17,'Tablas Técnicas'!$L$10:$L$643,0)),INDEX($J29:$J35,Tablas!E$1)="",COUNTIF(AQ17:$AS17,$F17)=0),$F17,IF(INDEX($J29:$J35,Tablas!E$1)="","",$F17&amp;INDEX($J29:$J35,Tablas!E$1)))</f>
        <v/>
      </c>
      <c r="AQ17" s="2920" t="str">
        <f>IF(AND(ISNUMBER(MATCH($F17,'Tablas Técnicas'!$L$10:$L$643,0)),INDEX($J29:$J35,Tablas!F$1)="",COUNTIF(AR17:$AS17,$F17)=0),$F17,IF(INDEX($J29:$J35,Tablas!F$1)="","",$F17&amp;INDEX($J29:$J35,Tablas!F$1)))</f>
        <v/>
      </c>
      <c r="AR17" s="2920" t="str">
        <f>IF(AND(ISNUMBER(MATCH($F17,'Tablas Técnicas'!$L$10:$L$643,0)),INDEX($J29:$J35,Tablas!G$1)="",COUNTIF(AS17:$AS17,$F17)=0),$F17,IF(INDEX($J29:$J35,Tablas!G$1)="","",$F17&amp;INDEX($J29:$J35,Tablas!G$1)))</f>
        <v/>
      </c>
      <c r="AS17" s="2922">
        <f>V17+X17+Z17+AB17+AD17+AF17</f>
        <v>0</v>
      </c>
      <c r="AT17" s="2922">
        <f t="array" ref="AT17">SUM(IF($AL17:$AR17='Tablas Técnicas'!$L$10:$L$643,IF(D17="Primario",'Tablas Técnicas'!$E$10:$E$643,'Tablas Técnicas'!$F$10:$F$643)+IF(K17="Sostenimiento menor",'Tablas Técnicas'!$I$10:$I$643,IF(K17="sostenimiento mayor",'Tablas Técnicas'!$J$10:$J$643,0)),0),0)+VALUE(RIGHT(P17,2))+AU17+AV17</f>
        <v>0</v>
      </c>
      <c r="AU17" s="2922">
        <f>IFERROR(IF(V17=0,0,VALUE(MID(Q17,SEARCH("AGI",Q17)+4,1))),0)+IFERROR(IF(X17=0,0,VALUE(MID(Q17,SEARCH("CON",Q17)+4,1))),0)+IFERROR(IF(Z17=0,0,VALUE(MID(Q17,SEARCH("DES",Q17)+4,1))),0)+IFERROR(IF(AB17=0,0,VALUE(MID(Q17,SEARCH("FUE",Q17)+4,1))),0)+IFERROR(IF(AD17=0,0,VALUE(MID(Q17,SEARCH("POD",Q17)+4,1))),0)+IFERROR(IF(AF17=0,0,VALUE(MID(Q17,SEARCH("VOL",Q17)+4,1))),0)</f>
        <v>0</v>
      </c>
      <c r="AV17" s="2922">
        <f>(COUNTIF(AL17:AR17,"*Estado añadido:*")-1)*COUNTIF(AL17:AR17,"*Estado añadido:*")</f>
        <v>0</v>
      </c>
      <c r="AW17" s="2922">
        <f t="array" ref="AW17">SUM(IF($AL17:$AR17='Tablas Técnicas'!$L$10:$L$643,'Tablas Técnicas'!$G$10:$G$643,0))</f>
        <v>0</v>
      </c>
      <c r="AX17" s="292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20" t="str">
        <f t="shared" si="0"/>
        <v/>
      </c>
    </row>
    <row r="18" spans="1:51" ht="12.2" customHeight="1" x14ac:dyDescent="0.2">
      <c r="A18" s="2360"/>
      <c r="B18" s="2252">
        <v>1</v>
      </c>
      <c r="C18" s="4508"/>
      <c r="D18" s="4481" t="s">
        <v>526</v>
      </c>
      <c r="E18" s="4482"/>
      <c r="F18" s="4398"/>
      <c r="G18" s="4399"/>
      <c r="H18" s="4399"/>
      <c r="I18" s="4399"/>
      <c r="J18" s="4400"/>
      <c r="K18" s="4478" t="s">
        <v>1459</v>
      </c>
      <c r="L18" s="4479"/>
      <c r="M18" s="4480"/>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483" t="str">
        <f>IFERROR(VLOOKUP(F18,'Tablas Técnicas'!$O$9:$T$88,5,FALSE),"")</f>
        <v/>
      </c>
      <c r="R18" s="4483"/>
      <c r="S18" s="4483"/>
      <c r="T18" s="4483"/>
      <c r="U18" s="4483"/>
      <c r="V18" s="2218"/>
      <c r="W18" s="2219"/>
      <c r="X18" s="2218"/>
      <c r="Y18" s="2220"/>
      <c r="Z18" s="2221"/>
      <c r="AA18" s="2219"/>
      <c r="AB18" s="2218"/>
      <c r="AC18" s="2220"/>
      <c r="AD18" s="2221"/>
      <c r="AE18" s="2219"/>
      <c r="AF18" s="2218"/>
      <c r="AG18" s="2222"/>
      <c r="AH18" s="2369"/>
      <c r="AI18" s="4511"/>
      <c r="AJ18" s="2920">
        <v>3</v>
      </c>
      <c r="AK18" s="2920">
        <f>P12</f>
        <v>1</v>
      </c>
      <c r="AL18" s="2920" t="str">
        <f>IF(AND(ISNUMBER(MATCH($F18,'Tablas Técnicas'!$L$10:$L$643,0)),INDEX($P29:$P35,Tablas!A$1)="",COUNTIF(AM18:$AS18,$F18)=0),$F18,IF(INDEX($P29:$P35,Tablas!A$1)="","",$F18&amp;INDEX($P29:$P35,Tablas!A$1)))</f>
        <v/>
      </c>
      <c r="AM18" s="2920" t="str">
        <f>IF(AND(ISNUMBER(MATCH($F18,'Tablas Técnicas'!$L$10:$L$643,0)),INDEX($P29:$P35,Tablas!B$1)="",COUNTIF(AN18:$AS18,$F18)=0),$F18,IF(INDEX($P29:$P35,Tablas!B$1)="","",$F18&amp;INDEX($P29:$P35,Tablas!B$1)))</f>
        <v/>
      </c>
      <c r="AN18" s="2920" t="str">
        <f>IF(AND(ISNUMBER(MATCH($F18,'Tablas Técnicas'!$L$10:$L$643,0)),INDEX($P29:$P35,Tablas!C$1)="",COUNTIF(AO18:$AS18,$F18)=0),$F18,IF(INDEX($P29:$P35,Tablas!C$1)="","",$F18&amp;INDEX($P29:$P35,Tablas!C$1)))</f>
        <v/>
      </c>
      <c r="AO18" s="2920" t="str">
        <f>IF(AND(ISNUMBER(MATCH($F18,'Tablas Técnicas'!$L$10:$L$643,0)),INDEX($P29:$P35,Tablas!D$1)="",COUNTIF(AP18:$AS18,$F18)=0),$F18,IF(INDEX($P29:$P35,Tablas!D$1)="","",$F18&amp;INDEX($P29:$P35,Tablas!D$1)))</f>
        <v/>
      </c>
      <c r="AP18" s="2920" t="str">
        <f>IF(AND(ISNUMBER(MATCH($F18,'Tablas Técnicas'!$L$10:$L$643,0)),INDEX($P29:$P35,Tablas!E$1)="",COUNTIF(AQ18:$AS18,$F18)=0),$F18,IF(INDEX($P29:$P35,Tablas!E$1)="","",$F18&amp;INDEX($P29:$P35,Tablas!E$1)))</f>
        <v/>
      </c>
      <c r="AQ18" s="2920" t="str">
        <f>IF(AND(ISNUMBER(MATCH($F18,'Tablas Técnicas'!$L$10:$L$643,0)),INDEX($P29:$P35,Tablas!F$1)="",COUNTIF(AR18:$AS18,$F18)=0),$F18,IF(INDEX($P29:$P35,Tablas!F$1)="","",$F18&amp;INDEX($P29:$P35,Tablas!F$1)))</f>
        <v/>
      </c>
      <c r="AR18" s="2920" t="str">
        <f>IF(AND(ISNUMBER(MATCH($F18,'Tablas Técnicas'!$L$10:$L$643,0)),INDEX($P29:$P35,Tablas!G$1)="",COUNTIF(AS18:$AS18,$F18)=0),$F18,IF(INDEX($P29:$P35,Tablas!G$1)="","",$F18&amp;INDEX($P29:$P35,Tablas!G$1)))</f>
        <v/>
      </c>
      <c r="AS18" s="2922">
        <f>V18+X18+Z18+AB18+AD18+AF18</f>
        <v>0</v>
      </c>
      <c r="AT18" s="2922">
        <f t="array" ref="AT18">SUM(IF($AL18:$AR18='Tablas Técnicas'!$L$10:$L$643,IF(D18="Primario",'Tablas Técnicas'!$E$10:$E$643,'Tablas Técnicas'!$F$10:$F$643)+IF(K18="Sostenimiento menor",'Tablas Técnicas'!$I$10:$I$643,IF(K18="sostenimiento mayor",'Tablas Técnicas'!$J$10:$J$643,0)),0),0)+VALUE(RIGHT(P18,2))+AU18+AV18</f>
        <v>0</v>
      </c>
      <c r="AU18" s="2922">
        <f>IFERROR(IF(V18=0,0,VALUE(MID(Q18,SEARCH("AGI",Q18)+4,1))),0)+IFERROR(IF(X18=0,0,VALUE(MID(Q18,SEARCH("CON",Q18)+4,1))),0)+IFERROR(IF(Z18=0,0,VALUE(MID(Q18,SEARCH("DES",Q18)+4,1))),0)+IFERROR(IF(AB18=0,0,VALUE(MID(Q18,SEARCH("FUE",Q18)+4,1))),0)+IFERROR(IF(AD18=0,0,VALUE(MID(Q18,SEARCH("POD",Q18)+4,1))),0)+IFERROR(IF(AF18=0,0,VALUE(MID(Q18,SEARCH("VOL",Q18)+4,1))),0)</f>
        <v>0</v>
      </c>
      <c r="AV18" s="2922">
        <f>(COUNTIF(AL18:AR18,"*Estado añadido:*")-1)*COUNTIF(AL18:AR18,"*Estado añadido:*")</f>
        <v>0</v>
      </c>
      <c r="AW18" s="2922">
        <f t="array" ref="AW18">SUM(IF($AL18:$AR18='Tablas Técnicas'!$L$10:$L$643,'Tablas Técnicas'!$G$10:$G$643,0))</f>
        <v>0</v>
      </c>
      <c r="AX18" s="2920" t="str">
        <f t="shared" si="1"/>
        <v/>
      </c>
      <c r="AY18" s="2920" t="str">
        <f t="shared" si="0"/>
        <v/>
      </c>
    </row>
    <row r="19" spans="1:51" ht="12.2" customHeight="1" x14ac:dyDescent="0.2">
      <c r="A19" s="2360"/>
      <c r="B19" s="2252">
        <v>1</v>
      </c>
      <c r="C19" s="4508"/>
      <c r="D19" s="4392" t="s">
        <v>526</v>
      </c>
      <c r="E19" s="4393"/>
      <c r="F19" s="4473"/>
      <c r="G19" s="4474"/>
      <c r="H19" s="4474"/>
      <c r="I19" s="4474"/>
      <c r="J19" s="4420"/>
      <c r="K19" s="4475" t="s">
        <v>1459</v>
      </c>
      <c r="L19" s="4476"/>
      <c r="M19" s="4477"/>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394" t="str">
        <f>IFERROR(VLOOKUP(F19,'Tablas Técnicas'!$O$9:$T$88,5,FALSE),"")</f>
        <v/>
      </c>
      <c r="R19" s="4394"/>
      <c r="S19" s="4394"/>
      <c r="T19" s="4394"/>
      <c r="U19" s="4394"/>
      <c r="V19" s="2213"/>
      <c r="W19" s="2214"/>
      <c r="X19" s="2213"/>
      <c r="Y19" s="2215"/>
      <c r="Z19" s="2216"/>
      <c r="AA19" s="2214"/>
      <c r="AB19" s="2213"/>
      <c r="AC19" s="2215"/>
      <c r="AD19" s="2216"/>
      <c r="AE19" s="2214"/>
      <c r="AF19" s="2213"/>
      <c r="AG19" s="2217"/>
      <c r="AH19" s="2369"/>
      <c r="AI19" s="4511"/>
      <c r="AJ19" s="2920">
        <v>4</v>
      </c>
      <c r="AK19" s="2920">
        <f>P12</f>
        <v>1</v>
      </c>
      <c r="AL19" s="2920" t="str">
        <f>IF(AND(ISNUMBER(MATCH($F19,'Tablas Técnicas'!$L$10:$L$643,0)),INDEX($V29:$V35,Tablas!A$1)="",COUNTIF(AM19:$AS19,$F19)=0),$F19,IF(INDEX($V29:$V35,Tablas!A$1)="","",$F19&amp;INDEX($V29:$V35,Tablas!A$1)))</f>
        <v/>
      </c>
      <c r="AM19" s="2920" t="str">
        <f>IF(AND(ISNUMBER(MATCH($F19,'Tablas Técnicas'!$L$10:$L$643,0)),INDEX($V29:$V35,Tablas!B$1)="",COUNTIF(AN19:$AS19,$F19)=0),$F19,IF(INDEX($V29:$V35,Tablas!B$1)="","",$F19&amp;INDEX($V29:$V35,Tablas!B$1)))</f>
        <v/>
      </c>
      <c r="AN19" s="2920" t="str">
        <f>IF(AND(ISNUMBER(MATCH($F19,'Tablas Técnicas'!$L$10:$L$643,0)),INDEX($V29:$V35,Tablas!C$1)="",COUNTIF(AO19:$AS19,$F19)=0),$F19,IF(INDEX($V29:$V35,Tablas!C$1)="","",$F19&amp;INDEX($V29:$V35,Tablas!C$1)))</f>
        <v/>
      </c>
      <c r="AO19" s="2920" t="str">
        <f>IF(AND(ISNUMBER(MATCH($F19,'Tablas Técnicas'!$L$10:$L$643,0)),INDEX($V29:$V35,Tablas!D$1)="",COUNTIF(AP19:$AS19,$F19)=0),$F19,IF(INDEX($V29:$V35,Tablas!D$1)="","",$F19&amp;INDEX($V29:$V35,Tablas!D$1)))</f>
        <v/>
      </c>
      <c r="AP19" s="2920" t="str">
        <f>IF(AND(ISNUMBER(MATCH($F19,'Tablas Técnicas'!$L$10:$L$643,0)),INDEX($V29:$V35,Tablas!E$1)="",COUNTIF(AQ19:$AS19,$F19)=0),$F19,IF(INDEX($V29:$V35,Tablas!E$1)="","",$F19&amp;INDEX($V29:$V35,Tablas!E$1)))</f>
        <v/>
      </c>
      <c r="AQ19" s="2920" t="str">
        <f>IF(AND(ISNUMBER(MATCH($F19,'Tablas Técnicas'!$L$10:$L$643,0)),INDEX($V29:$V35,Tablas!F$1)="",COUNTIF(AR19:$AS19,$F19)=0),$F19,IF(INDEX($V29:$V35,Tablas!F$1)="","",$F19&amp;INDEX($V29:$V35,Tablas!F$1)))</f>
        <v/>
      </c>
      <c r="AR19" s="2920" t="str">
        <f>IF(AND(ISNUMBER(MATCH($F19,'Tablas Técnicas'!$L$10:$L$643,0)),INDEX($V29:$V35,Tablas!G$1)="",COUNTIF(AS19:$AS19,$F19)=0),$F19,IF(INDEX($V29:$V35,Tablas!G$1)="","",$F19&amp;INDEX($V29:$V35,Tablas!G$1)))</f>
        <v/>
      </c>
      <c r="AS19" s="2922">
        <f>V19+X19+Z19+AB19+AD19+AF19</f>
        <v>0</v>
      </c>
      <c r="AT19" s="2922">
        <f t="array" ref="AT19">SUM(IF($AL19:$AR19='Tablas Técnicas'!$L$10:$L$643,IF(D19="Primario",'Tablas Técnicas'!$E$10:$E$643,'Tablas Técnicas'!$F$10:$F$643)+IF(K19="Sostenimiento menor",'Tablas Técnicas'!$I$10:$I$643,IF(K19="sostenimiento mayor",'Tablas Técnicas'!$J$10:$J$643,0)),0),0)+VALUE(RIGHT(P19,2))+AU19+AV19</f>
        <v>0</v>
      </c>
      <c r="AU19" s="2922">
        <f>IFERROR(IF(V19=0,0,VALUE(MID(Q19,SEARCH("AGI",Q19)+4,1))),0)+IFERROR(IF(X19=0,0,VALUE(MID(Q19,SEARCH("CON",Q19)+4,1))),0)+IFERROR(IF(Z19=0,0,VALUE(MID(Q19,SEARCH("DES",Q19)+4,1))),0)+IFERROR(IF(AB19=0,0,VALUE(MID(Q19,SEARCH("FUE",Q19)+4,1))),0)+IFERROR(IF(AD19=0,0,VALUE(MID(Q19,SEARCH("POD",Q19)+4,1))),0)+IFERROR(IF(AF19=0,0,VALUE(MID(Q19,SEARCH("VOL",Q19)+4,1))),0)</f>
        <v>0</v>
      </c>
      <c r="AV19" s="2922">
        <f>(COUNTIF(AL19:AR19,"*Estado añadido:*")-1)*COUNTIF(AL19:AR19,"*Estado añadido:*")</f>
        <v>0</v>
      </c>
      <c r="AW19" s="2922">
        <f t="array" ref="AW19">SUM(IF($AL19:$AR19='Tablas Técnicas'!$L$10:$L$643,'Tablas Técnicas'!$G$10:$G$643,0))</f>
        <v>0</v>
      </c>
      <c r="AX19" s="2920" t="str">
        <f t="shared" si="1"/>
        <v/>
      </c>
      <c r="AY19" s="2920" t="str">
        <f>IFERROR(LEFT(AX19,LEN(AX19)-2)&amp;"), ","")</f>
        <v/>
      </c>
    </row>
    <row r="20" spans="1:51" ht="12.2" customHeight="1" thickBot="1" x14ac:dyDescent="0.25">
      <c r="A20" s="2360"/>
      <c r="B20" s="2252">
        <v>1</v>
      </c>
      <c r="C20" s="4508"/>
      <c r="D20" s="4395" t="s">
        <v>526</v>
      </c>
      <c r="E20" s="4396"/>
      <c r="F20" s="4494"/>
      <c r="G20" s="4495"/>
      <c r="H20" s="4495"/>
      <c r="I20" s="4495"/>
      <c r="J20" s="4496"/>
      <c r="K20" s="4470" t="s">
        <v>1459</v>
      </c>
      <c r="L20" s="4471"/>
      <c r="M20" s="4472"/>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397" t="str">
        <f>IFERROR(VLOOKUP(F20,'Tablas Técnicas'!$O$9:$T$88,5,FALSE),"")</f>
        <v/>
      </c>
      <c r="R20" s="4397"/>
      <c r="S20" s="4397"/>
      <c r="T20" s="4397"/>
      <c r="U20" s="4397"/>
      <c r="V20" s="2223"/>
      <c r="W20" s="2224"/>
      <c r="X20" s="2223"/>
      <c r="Y20" s="2225"/>
      <c r="Z20" s="2226"/>
      <c r="AA20" s="2224"/>
      <c r="AB20" s="2223"/>
      <c r="AC20" s="2225"/>
      <c r="AD20" s="2226"/>
      <c r="AE20" s="2224"/>
      <c r="AF20" s="2223"/>
      <c r="AG20" s="2227"/>
      <c r="AH20" s="2369"/>
      <c r="AI20" s="4511"/>
      <c r="AJ20" s="2920">
        <v>5</v>
      </c>
      <c r="AK20" s="2920">
        <f>P12</f>
        <v>1</v>
      </c>
      <c r="AL20" s="2920" t="str">
        <f>IF(AND(ISNUMBER(MATCH($F20,'Tablas Técnicas'!$L$10:$L$643,0)),INDEX($AB29:$AB35,Tablas!A$1)="",COUNTIF(AM20:$AS20,$F20)=0),$F20,IF(INDEX($AB29:$AB35,Tablas!A$1)="","",$F20&amp;INDEX($AB29:$AB35,Tablas!A$1)))</f>
        <v/>
      </c>
      <c r="AM20" s="2920" t="str">
        <f>IF(AND(ISNUMBER(MATCH($F20,'Tablas Técnicas'!$L$10:$L$643,0)),INDEX($AB29:$AB35,Tablas!B$1)="",COUNTIF(AN20:$AS20,$F20)=0),$F20,IF(INDEX($AB29:$AB35,Tablas!B$1)="","",$F20&amp;INDEX($AB29:$AB35,Tablas!B$1)))</f>
        <v/>
      </c>
      <c r="AN20" s="2920" t="str">
        <f>IF(AND(ISNUMBER(MATCH($F20,'Tablas Técnicas'!$L$10:$L$643,0)),INDEX($AB29:$AB35,Tablas!C$1)="",COUNTIF(AO20:$AS20,$F20)=0),$F20,IF(INDEX($AB29:$AB35,Tablas!C$1)="","",$F20&amp;INDEX($AB29:$AB35,Tablas!C$1)))</f>
        <v/>
      </c>
      <c r="AO20" s="2920" t="str">
        <f>IF(AND(ISNUMBER(MATCH($F20,'Tablas Técnicas'!$L$10:$L$643,0)),INDEX($AB29:$AB35,Tablas!D$1)="",COUNTIF(AP20:$AS20,$F20)=0),$F20,IF(INDEX($AB29:$AB35,Tablas!D$1)="","",$F20&amp;INDEX($AB29:$AB35,Tablas!D$1)))</f>
        <v/>
      </c>
      <c r="AP20" s="2920" t="str">
        <f>IF(AND(ISNUMBER(MATCH($F20,'Tablas Técnicas'!$L$10:$L$643,0)),INDEX($AB29:$AB35,Tablas!E$1)="",COUNTIF(AQ20:$AS20,$F20)=0),$F20,IF(INDEX($AB29:$AB35,Tablas!E$1)="","",$F20&amp;INDEX($AB29:$AB35,Tablas!E$1)))</f>
        <v/>
      </c>
      <c r="AQ20" s="2920" t="str">
        <f>IF(AND(ISNUMBER(MATCH($F20,'Tablas Técnicas'!$L$10:$L$643,0)),INDEX($AB29:$AB35,Tablas!F$1)="",COUNTIF(AR20:$AS20,$F20)=0),$F20,IF(INDEX($AB29:$AB35,Tablas!F$1)="","",$F20&amp;INDEX($AB29:$AB35,Tablas!F$1)))</f>
        <v/>
      </c>
      <c r="AR20" s="2920" t="str">
        <f>IF(AND(ISNUMBER(MATCH($F20,'Tablas Técnicas'!$L$10:$L$643,0)),INDEX($AB29:$AB35,Tablas!G$1)="",COUNTIF(AS20:$AS20,$F20)=0),$F20,IF(INDEX($AB29:$AB35,Tablas!G$1)="","",$F20&amp;INDEX($AB29:$AB35,Tablas!G$1)))</f>
        <v/>
      </c>
      <c r="AS20" s="2922">
        <f>V20+X20+Z20+AB20+AD20+AF20</f>
        <v>0</v>
      </c>
      <c r="AT20" s="2922">
        <f t="array" ref="AT20">SUM(IF($AL20:$AR20='Tablas Técnicas'!$L$10:$L$643,IF(D20="Primario",'Tablas Técnicas'!$E$10:$E$643,'Tablas Técnicas'!$F$10:$F$643)+IF(K20="Sostenimiento menor",'Tablas Técnicas'!$I$10:$I$643,IF(K20="sostenimiento mayor",'Tablas Técnicas'!$J$10:$J$643,0)),0),0)+VALUE(RIGHT(P20,2))+AU20+AV20</f>
        <v>0</v>
      </c>
      <c r="AU20" s="2922">
        <f>IFERROR(IF(V20=0,0,VALUE(MID(Q20,SEARCH("AGI",Q20)+4,1))),0)+IFERROR(IF(X20=0,0,VALUE(MID(Q20,SEARCH("CON",Q20)+4,1))),0)+IFERROR(IF(Z20=0,0,VALUE(MID(Q20,SEARCH("DES",Q20)+4,1))),0)+IFERROR(IF(AB20=0,0,VALUE(MID(Q20,SEARCH("FUE",Q20)+4,1))),0)+IFERROR(IF(AD20=0,0,VALUE(MID(Q20,SEARCH("POD",Q20)+4,1))),0)+IFERROR(IF(AF20=0,0,VALUE(MID(Q20,SEARCH("VOL",Q20)+4,1))),0)</f>
        <v>0</v>
      </c>
      <c r="AV20" s="2922">
        <f>(COUNTIF(AL20:AR20,"*Estado añadido:*")-1)*COUNTIF(AL20:AR20,"*Estado añadido:*")</f>
        <v>0</v>
      </c>
      <c r="AW20" s="2922">
        <f t="array" ref="AW20">SUM(IF($AL20:$AR20='Tablas Técnicas'!$L$10:$L$643,'Tablas Técnicas'!$G$10:$G$643,0))</f>
        <v>0</v>
      </c>
      <c r="AX20" s="2920" t="str">
        <f t="shared" si="1"/>
        <v/>
      </c>
      <c r="AY20" s="2920" t="str">
        <f t="shared" ref="AY20" si="2">IFERROR(LEFT(AX20,LEN(AX20)-2)&amp;"), ","")</f>
        <v/>
      </c>
    </row>
    <row r="21" spans="1:51" ht="12.2" customHeight="1" x14ac:dyDescent="0.2">
      <c r="A21" s="2360"/>
      <c r="B21" s="2252">
        <v>1</v>
      </c>
      <c r="C21" s="4508"/>
      <c r="D21" s="4447" t="s">
        <v>2853</v>
      </c>
      <c r="E21" s="4448"/>
      <c r="F21" s="4435"/>
      <c r="G21" s="4436"/>
      <c r="H21" s="4436"/>
      <c r="I21" s="4436"/>
      <c r="J21" s="4437"/>
      <c r="K21" s="4411"/>
      <c r="L21" s="4412"/>
      <c r="M21" s="4413"/>
      <c r="N21" s="2081" t="str">
        <f>IFERROR(INDEX('Tablas Técnicas'!$Q$200:$Q$299,MATCH(F21&amp;K21,'Tablas Técnicas'!$S$200:$S$299,0)),"")</f>
        <v/>
      </c>
      <c r="O21" s="4414"/>
      <c r="P21" s="4415"/>
      <c r="Q21" s="4416"/>
      <c r="R21" s="4415"/>
      <c r="S21" s="2789" t="str">
        <f>IFERROR("Nivel: "&amp;MAX(1,INDEX('Tablas Técnicas'!$R$200:$R$299,MATCH(F21&amp;K21,'Tablas Técnicas'!$S$200:$S$299,0))),"")</f>
        <v/>
      </c>
      <c r="T21" s="2082"/>
      <c r="U21" s="2083" t="str">
        <f>IFERROR("("&amp;VLOOKUP(F21,'Tablas Técnicas'!$V$199:$X$225,3,FALSE)&amp;")","")</f>
        <v/>
      </c>
      <c r="V21" s="4356" t="s">
        <v>9836</v>
      </c>
      <c r="W21" s="4357"/>
      <c r="X21" s="4358"/>
      <c r="Y21" s="2800">
        <v>0</v>
      </c>
      <c r="Z21" s="4372" t="s">
        <v>9013</v>
      </c>
      <c r="AA21" s="4360"/>
      <c r="AB21" s="4361"/>
      <c r="AC21" s="2800">
        <v>0</v>
      </c>
      <c r="AD21" s="4373" t="str">
        <f>"Ki sin repartir: "&amp;AL29-AL30&amp;IF(AM29=0,""," ("&amp;AM29-AM30&amp;")")</f>
        <v>Ki sin repartir: 0</v>
      </c>
      <c r="AE21" s="4363"/>
      <c r="AF21" s="4363"/>
      <c r="AG21" s="4364"/>
      <c r="AH21" s="2369"/>
      <c r="AI21" s="4511"/>
      <c r="AJ21" s="2920">
        <v>1</v>
      </c>
      <c r="AK21" s="2920">
        <f>P12</f>
        <v>1</v>
      </c>
      <c r="AL21" s="2920" t="e">
        <f>VLOOKUP(F21,'Tablas Técnicas'!$V$199:$X$221,2,FALSE)</f>
        <v>#N/A</v>
      </c>
      <c r="AM21" s="2920"/>
      <c r="AN21" s="2921"/>
      <c r="AO21" s="2920"/>
      <c r="AP21" s="2920"/>
      <c r="AQ21" s="2921"/>
      <c r="AR21" s="2920"/>
      <c r="AS21" s="2920"/>
      <c r="AT21" s="2920"/>
      <c r="AU21" s="2920"/>
      <c r="AV21" s="2920"/>
      <c r="AW21" s="2922"/>
      <c r="AX21" s="2922"/>
      <c r="AY21" s="2920" t="str">
        <f>IF(F21="","",F21&amp;IF(K21="",""," ("&amp;IF(F21="Atadura Elemental",O21&amp;IF(Q21="","",", "&amp;Q21),K21)&amp;")")&amp;", ")</f>
        <v/>
      </c>
    </row>
    <row r="22" spans="1:51" ht="12.2" customHeight="1" x14ac:dyDescent="0.2">
      <c r="A22" s="2360"/>
      <c r="B22" s="2252">
        <v>1</v>
      </c>
      <c r="C22" s="4508"/>
      <c r="D22" s="4449"/>
      <c r="E22" s="4450"/>
      <c r="F22" s="4417"/>
      <c r="G22" s="4418"/>
      <c r="H22" s="4418"/>
      <c r="I22" s="4418"/>
      <c r="J22" s="4419"/>
      <c r="K22" s="4420"/>
      <c r="L22" s="4421"/>
      <c r="M22" s="4422"/>
      <c r="N22" s="2084" t="str">
        <f>IFERROR(INDEX('Tablas Técnicas'!$Q$200:$Q$299,MATCH(F22&amp;K22,'Tablas Técnicas'!$S$200:$S$299,0)),"")</f>
        <v/>
      </c>
      <c r="O22" s="4423"/>
      <c r="P22" s="4424"/>
      <c r="Q22" s="4504"/>
      <c r="R22" s="4424"/>
      <c r="S22" s="2798" t="str">
        <f>IFERROR("Nivel: "&amp;MAX(1,INDEX('Tablas Técnicas'!$R$200:$R$299,MATCH(F22&amp;K22,'Tablas Técnicas'!$S$200:$S$299,0))),"")</f>
        <v/>
      </c>
      <c r="T22" s="2801"/>
      <c r="U22" s="2802" t="str">
        <f>IFERROR("("&amp;VLOOKUP(F22,'Tablas Técnicas'!$V$199:$X$225,3,FALSE)&amp;")","")</f>
        <v/>
      </c>
      <c r="V22" s="4353" t="str">
        <f>"Mod. "&amp;V14</f>
        <v>Mod. AGI</v>
      </c>
      <c r="W22" s="4354"/>
      <c r="X22" s="4353" t="str">
        <f t="shared" ref="X22" si="3">"Mod. "&amp;X14</f>
        <v>Mod. CON</v>
      </c>
      <c r="Y22" s="4354"/>
      <c r="Z22" s="4353" t="str">
        <f t="shared" ref="Z22" si="4">"Mod. "&amp;Z14</f>
        <v>Mod. DES</v>
      </c>
      <c r="AA22" s="4354"/>
      <c r="AB22" s="4353" t="str">
        <f t="shared" ref="AB22" si="5">"Mod. "&amp;AB14</f>
        <v>Mod. FUE</v>
      </c>
      <c r="AC22" s="4354"/>
      <c r="AD22" s="4353" t="str">
        <f t="shared" ref="AD22" si="6">"Mod. "&amp;AD14</f>
        <v>Mod. POD</v>
      </c>
      <c r="AE22" s="4354"/>
      <c r="AF22" s="4353" t="str">
        <f t="shared" ref="AF22" si="7">"Mod. "&amp;AF14</f>
        <v>Mod. VOL</v>
      </c>
      <c r="AG22" s="4355"/>
      <c r="AH22" s="2369"/>
      <c r="AI22" s="4511"/>
      <c r="AJ22" s="2920">
        <v>2</v>
      </c>
      <c r="AK22" s="2920">
        <f>P12</f>
        <v>1</v>
      </c>
      <c r="AL22" s="2920" t="e">
        <f>VLOOKUP(F22,'Tablas Técnicas'!$V$199:$X$221,2,FALSE)</f>
        <v>#N/A</v>
      </c>
      <c r="AM22" s="2920"/>
      <c r="AN22" s="2921"/>
      <c r="AO22" s="2920"/>
      <c r="AP22" s="2920"/>
      <c r="AQ22" s="2921"/>
      <c r="AR22" s="2920"/>
      <c r="AS22" s="2920"/>
      <c r="AT22" s="2920"/>
      <c r="AU22" s="2920"/>
      <c r="AV22" s="2920"/>
      <c r="AW22" s="2922"/>
      <c r="AX22" s="2922"/>
      <c r="AY22" s="2920" t="str">
        <f>IF(F22="","",F22&amp;IF(K22="",""," ("&amp;IF(F22="Atadura Elemental",O22&amp;IF(Q22="","",", "&amp;Q22),K22)&amp;")")&amp;", ")</f>
        <v/>
      </c>
    </row>
    <row r="23" spans="1:51" ht="12.2" customHeight="1" thickBot="1" x14ac:dyDescent="0.25">
      <c r="A23" s="2360"/>
      <c r="B23" s="2252">
        <v>1</v>
      </c>
      <c r="C23" s="4508"/>
      <c r="D23" s="4484"/>
      <c r="E23" s="4485"/>
      <c r="F23" s="4426"/>
      <c r="G23" s="4427"/>
      <c r="H23" s="4427"/>
      <c r="I23" s="4427"/>
      <c r="J23" s="4428"/>
      <c r="K23" s="4429"/>
      <c r="L23" s="4430"/>
      <c r="M23" s="4431"/>
      <c r="N23" s="2085" t="str">
        <f>IFERROR(INDEX('Tablas Técnicas'!$Q$200:$Q$299,MATCH(F23&amp;K23,'Tablas Técnicas'!$S$200:$S$299,0)),"")</f>
        <v/>
      </c>
      <c r="O23" s="4432"/>
      <c r="P23" s="4433"/>
      <c r="Q23" s="4462"/>
      <c r="R23" s="4433"/>
      <c r="S23" s="2799" t="str">
        <f>IFERROR("Nivel: "&amp;MAX(1,INDEX('Tablas Técnicas'!$R$200:$R$299,MATCH(F23&amp;K23,'Tablas Técnicas'!$S$200:$S$299,0))),"")</f>
        <v/>
      </c>
      <c r="T23" s="2803"/>
      <c r="U23" s="2804" t="str">
        <f>IFERROR("("&amp;VLOOKUP(F23,'Tablas Técnicas'!$V$199:$X$225,3,FALSE)&amp;")","")</f>
        <v/>
      </c>
      <c r="V23" s="4368"/>
      <c r="W23" s="4367"/>
      <c r="X23" s="4367"/>
      <c r="Y23" s="4367"/>
      <c r="Z23" s="4367"/>
      <c r="AA23" s="4367"/>
      <c r="AB23" s="4367"/>
      <c r="AC23" s="4367"/>
      <c r="AD23" s="4367"/>
      <c r="AE23" s="4367"/>
      <c r="AF23" s="4367"/>
      <c r="AG23" s="4438"/>
      <c r="AH23" s="2369"/>
      <c r="AI23" s="4511"/>
      <c r="AJ23" s="2920">
        <v>3</v>
      </c>
      <c r="AK23" s="2920">
        <f>P12</f>
        <v>1</v>
      </c>
      <c r="AL23" s="2920" t="e">
        <f>VLOOKUP(F23,'Tablas Técnicas'!$V$199:$X$221,2,FALSE)</f>
        <v>#N/A</v>
      </c>
      <c r="AM23" s="2920"/>
      <c r="AN23" s="2921"/>
      <c r="AO23" s="2920"/>
      <c r="AP23" s="2920"/>
      <c r="AQ23" s="2921"/>
      <c r="AR23" s="2922"/>
      <c r="AS23" s="2922"/>
      <c r="AT23" s="2922"/>
      <c r="AU23" s="2922"/>
      <c r="AV23" s="2922"/>
      <c r="AW23" s="2922"/>
      <c r="AX23" s="2922"/>
      <c r="AY23" s="2920" t="str">
        <f>IF(F23="","",F23&amp;IF(K23="",""," ("&amp;IF(F23="Atadura Elemental",O23&amp;IF(Q23="","",", "&amp;Q23),K23)&amp;")")&amp;", ")</f>
        <v/>
      </c>
    </row>
    <row r="24" spans="1:51" ht="12.2" customHeight="1" x14ac:dyDescent="0.2">
      <c r="A24" s="2360"/>
      <c r="B24" s="2252">
        <v>1</v>
      </c>
      <c r="C24" s="4508"/>
      <c r="D24" s="4386" t="s">
        <v>9511</v>
      </c>
      <c r="E24" s="4387"/>
      <c r="F24" s="4387"/>
      <c r="G24" s="4387"/>
      <c r="H24" s="4387"/>
      <c r="I24" s="4387"/>
      <c r="J24" s="4387"/>
      <c r="K24" s="4387"/>
      <c r="L24" s="4387"/>
      <c r="M24" s="4387"/>
      <c r="N24" s="4387"/>
      <c r="O24" s="4387"/>
      <c r="P24" s="4387"/>
      <c r="Q24" s="4387"/>
      <c r="R24" s="4387"/>
      <c r="S24" s="4387"/>
      <c r="T24" s="4387"/>
      <c r="U24" s="4387"/>
      <c r="V24" s="4388"/>
      <c r="W24" s="4388"/>
      <c r="X24" s="4388"/>
      <c r="Y24" s="4388"/>
      <c r="Z24" s="4388"/>
      <c r="AA24" s="4388"/>
      <c r="AB24" s="4388"/>
      <c r="AC24" s="4388"/>
      <c r="AD24" s="4388"/>
      <c r="AE24" s="4388"/>
      <c r="AF24" s="4388"/>
      <c r="AG24" s="4389"/>
      <c r="AH24" s="2369"/>
      <c r="AI24" s="4511"/>
      <c r="AJ24" s="2920"/>
      <c r="AK24" s="2920"/>
      <c r="AL24" s="2920"/>
      <c r="AM24" s="2920"/>
      <c r="AN24" s="2921" t="s">
        <v>9014</v>
      </c>
      <c r="AO24" s="2920" t="e">
        <f>LEFT(AY16&amp;AY17&amp;AY18&amp;AY19&amp;AY20,LEN(AY16&amp;AY17&amp;AY18&amp;AY19&amp;AY20)-2)</f>
        <v>#VALUE!</v>
      </c>
      <c r="AP24" s="2920"/>
      <c r="AQ24" s="2921"/>
      <c r="AR24" s="2922"/>
      <c r="AS24" s="2922"/>
      <c r="AT24" s="2922"/>
      <c r="AU24" s="2921"/>
      <c r="AV24" s="2921"/>
      <c r="AW24" s="2922"/>
      <c r="AX24" s="2922"/>
      <c r="AY24" s="2920"/>
    </row>
    <row r="25" spans="1:51" ht="12.2" customHeight="1" x14ac:dyDescent="0.2">
      <c r="A25" s="2360"/>
      <c r="B25" s="2252">
        <v>1</v>
      </c>
      <c r="C25" s="4508"/>
      <c r="D25" s="4369" t="str">
        <f>IF(F16="","",F16)</f>
        <v/>
      </c>
      <c r="E25" s="4370"/>
      <c r="F25" s="4370"/>
      <c r="G25" s="4370"/>
      <c r="H25" s="4370"/>
      <c r="I25" s="4371"/>
      <c r="J25" s="4369" t="str">
        <f>IF(F17="","",F17)</f>
        <v/>
      </c>
      <c r="K25" s="4370"/>
      <c r="L25" s="4370"/>
      <c r="M25" s="4370"/>
      <c r="N25" s="4370"/>
      <c r="O25" s="4371"/>
      <c r="P25" s="4370" t="str">
        <f>IF(F18="","",F18)</f>
        <v/>
      </c>
      <c r="Q25" s="4370"/>
      <c r="R25" s="4370"/>
      <c r="S25" s="4370"/>
      <c r="T25" s="4370"/>
      <c r="U25" s="4371"/>
      <c r="V25" s="4369" t="str">
        <f>IF(F19="","",F19)</f>
        <v/>
      </c>
      <c r="W25" s="4370"/>
      <c r="X25" s="4370"/>
      <c r="Y25" s="4370"/>
      <c r="Z25" s="4370"/>
      <c r="AA25" s="4371"/>
      <c r="AB25" s="4370" t="str">
        <f>IF(F20="","",F20)</f>
        <v/>
      </c>
      <c r="AC25" s="4370"/>
      <c r="AD25" s="4370"/>
      <c r="AE25" s="4370"/>
      <c r="AF25" s="4370"/>
      <c r="AG25" s="4385"/>
      <c r="AH25" s="2369"/>
      <c r="AI25" s="4511"/>
      <c r="AJ25" s="2920"/>
      <c r="AK25" s="2920"/>
      <c r="AL25" s="2920"/>
      <c r="AM25" s="2920"/>
      <c r="AN25" s="2921" t="s">
        <v>9015</v>
      </c>
      <c r="AO25" s="2920" t="e">
        <f>LEFT(AY21&amp;AY22&amp;AY23,LEN(AY21&amp;AY22&amp;AY23)-2)</f>
        <v>#VALUE!</v>
      </c>
      <c r="AP25" s="2920"/>
      <c r="AQ25" s="2921"/>
      <c r="AR25" s="2922"/>
      <c r="AS25" s="2922"/>
      <c r="AT25" s="2922"/>
      <c r="AU25" s="2921"/>
      <c r="AV25" s="2921"/>
      <c r="AW25" s="2922"/>
      <c r="AX25" s="2922"/>
      <c r="AY25" s="2920"/>
    </row>
    <row r="26" spans="1:51" ht="12.2" customHeight="1" x14ac:dyDescent="0.2">
      <c r="A26" s="2360"/>
      <c r="B26" s="2252">
        <v>1</v>
      </c>
      <c r="C26" s="4508"/>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511"/>
      <c r="AJ26" s="2920"/>
      <c r="AK26" s="2920"/>
      <c r="AL26" s="2920"/>
      <c r="AM26" s="2920"/>
      <c r="AN26" s="2921"/>
      <c r="AO26" s="2920"/>
      <c r="AP26" s="2920"/>
      <c r="AQ26" s="2921"/>
      <c r="AR26" s="2922"/>
      <c r="AS26" s="2922"/>
      <c r="AT26" s="2922"/>
      <c r="AU26" s="2922"/>
      <c r="AV26" s="2922"/>
      <c r="AW26" s="2922"/>
      <c r="AX26" s="2922"/>
      <c r="AY26" s="2920"/>
    </row>
    <row r="27" spans="1:51" ht="12.2" customHeight="1" x14ac:dyDescent="0.2">
      <c r="A27" s="2360"/>
      <c r="B27" s="2252">
        <v>1</v>
      </c>
      <c r="C27" s="4508"/>
      <c r="D27" s="2198" t="s">
        <v>9016</v>
      </c>
      <c r="E27" s="2806"/>
      <c r="F27" s="2805"/>
      <c r="G27" s="2807"/>
      <c r="H27" s="2807"/>
      <c r="I27" s="2804" t="str">
        <f>IFERROR(IF(D25="Ataque Elemental",IF(NOT(ISNA(VLOOKUP(D29,'Tablas Técnicas'!$Z$25:$Z$30,1,0))),D29,"Variable"),VLOOKUP(D25,'Tablas Técnicas'!$O$9:$W$88,9,FALSE)),"")</f>
        <v/>
      </c>
      <c r="J27" s="2808" t="s">
        <v>9016</v>
      </c>
      <c r="K27" s="2809"/>
      <c r="L27" s="2810"/>
      <c r="M27" s="2811"/>
      <c r="N27" s="2811"/>
      <c r="O27" s="2812" t="str">
        <f>IFERROR(IF(J25="Ataque Elemental",IF(NOT(ISNA(VLOOKUP(J29,'Tablas Técnicas'!$Z$25:$Z$30,1,0))),J29,"Variable"),VLOOKUP(J25,'Tablas Técnicas'!$O$9:$W$88,9,FALSE)),"")</f>
        <v/>
      </c>
      <c r="P27" s="2813" t="s">
        <v>9016</v>
      </c>
      <c r="Q27" s="2809"/>
      <c r="R27" s="2810"/>
      <c r="S27" s="2811"/>
      <c r="T27" s="2811"/>
      <c r="U27" s="2804" t="str">
        <f>IFERROR(IF(P25="Ataque Elemental",IF(NOT(ISNA(VLOOKUP(P29,'Tablas Técnicas'!$Z$25:$Z$30,1,0))),P29,"Variable"),VLOOKUP(P25,'Tablas Técnicas'!$O$9:$W$88,9,FALSE)),"")</f>
        <v/>
      </c>
      <c r="V27" s="2808" t="s">
        <v>9016</v>
      </c>
      <c r="W27" s="2809"/>
      <c r="X27" s="2810"/>
      <c r="Y27" s="2811"/>
      <c r="Z27" s="2811"/>
      <c r="AA27" s="2812" t="str">
        <f>IFERROR(IF(V25="Ataque Elemental",IF(NOT(ISNA(VLOOKUP(V29,'Tablas Técnicas'!$Z$25:$Z$30,1,0))),V29,"Variable"),VLOOKUP(V25,'Tablas Técnicas'!$O$9:$W$88,9,FALSE)),"")</f>
        <v/>
      </c>
      <c r="AB27" s="2813" t="s">
        <v>9016</v>
      </c>
      <c r="AC27" s="2809"/>
      <c r="AD27" s="2810"/>
      <c r="AE27" s="2811"/>
      <c r="AF27" s="2811"/>
      <c r="AG27" s="2203" t="str">
        <f>IFERROR(IF(AB25="Ataque Elemental",IF(NOT(ISNA(VLOOKUP(AB29,'Tablas Técnicas'!$Z$25:$Z$30,1,0))),AB29,"Variable"),VLOOKUP(AB25,'Tablas Técnicas'!$O$9:$W$88,9,FALSE)),"")</f>
        <v/>
      </c>
      <c r="AH27" s="2369"/>
      <c r="AI27" s="4511"/>
      <c r="AJ27" s="2920"/>
      <c r="AK27" s="2922" t="s">
        <v>1376</v>
      </c>
      <c r="AL27" s="2922" t="s">
        <v>1501</v>
      </c>
      <c r="AM27" s="2922" t="s">
        <v>1381</v>
      </c>
      <c r="AN27" s="2922" t="s">
        <v>1386</v>
      </c>
      <c r="AO27" s="2922" t="s">
        <v>1394</v>
      </c>
      <c r="AP27" s="2922" t="s">
        <v>1395</v>
      </c>
      <c r="AQ27" s="2921"/>
      <c r="AR27" s="2922"/>
      <c r="AS27" s="2922"/>
      <c r="AT27" s="2922"/>
      <c r="AU27" s="2922"/>
      <c r="AV27" s="2922"/>
      <c r="AW27" s="2922"/>
      <c r="AX27" s="2922"/>
      <c r="AY27" s="2920"/>
    </row>
    <row r="28" spans="1:51" ht="12.2" customHeight="1" x14ac:dyDescent="0.2">
      <c r="A28" s="2360"/>
      <c r="B28" s="2252">
        <v>1</v>
      </c>
      <c r="C28" s="4508"/>
      <c r="D28" s="4369" t="s">
        <v>2861</v>
      </c>
      <c r="E28" s="4370"/>
      <c r="F28" s="4370"/>
      <c r="G28" s="4370"/>
      <c r="H28" s="4371"/>
      <c r="I28" s="2090" t="s">
        <v>1406</v>
      </c>
      <c r="J28" s="4369" t="s">
        <v>2861</v>
      </c>
      <c r="K28" s="4370"/>
      <c r="L28" s="4370"/>
      <c r="M28" s="4370"/>
      <c r="N28" s="4371"/>
      <c r="O28" s="2091" t="s">
        <v>1406</v>
      </c>
      <c r="P28" s="4369" t="s">
        <v>2861</v>
      </c>
      <c r="Q28" s="4370"/>
      <c r="R28" s="4370"/>
      <c r="S28" s="4370"/>
      <c r="T28" s="4371"/>
      <c r="U28" s="2091" t="s">
        <v>1406</v>
      </c>
      <c r="V28" s="4369"/>
      <c r="W28" s="4370"/>
      <c r="X28" s="4370"/>
      <c r="Y28" s="4370"/>
      <c r="Z28" s="4371"/>
      <c r="AA28" s="2091" t="s">
        <v>1406</v>
      </c>
      <c r="AB28" s="4369" t="s">
        <v>2861</v>
      </c>
      <c r="AC28" s="4370"/>
      <c r="AD28" s="4370"/>
      <c r="AE28" s="4370"/>
      <c r="AF28" s="4371"/>
      <c r="AG28" s="2092" t="s">
        <v>1406</v>
      </c>
      <c r="AH28" s="2369"/>
      <c r="AI28" s="4511"/>
      <c r="AJ28" s="2925" t="s">
        <v>9548</v>
      </c>
      <c r="AK28" s="2920" t="str">
        <f>IF(V14="","",IF(SUM(V16:V20)=0,"",V14&amp;" "&amp;SUM(V16:V20)+V23&amp;IF(SUM(W16:W20)=0,""," ("&amp;SUM(W16:W20)&amp;")")&amp;", "))</f>
        <v/>
      </c>
      <c r="AL28" s="2920" t="str">
        <f>IF(X14="","",IF(SUM(X16:X20)=0,"",X14&amp;" "&amp;SUM(X16:X20)+X23&amp;IF(SUM(Y16:Y20)=0,""," ("&amp;SUM(Y16:Y20)&amp;")")&amp;", "))</f>
        <v/>
      </c>
      <c r="AM28" s="2920" t="str">
        <f>IF(Z14="","",IF(SUM(Z16:Z20)=0,"",Z14&amp;" "&amp;SUM(Z16:Z20)+Z23&amp;IF(SUM(AA16:AA20)=0,""," ("&amp;SUM(AA16:AA20)&amp;")")&amp;", "))</f>
        <v/>
      </c>
      <c r="AN28" s="2920" t="str">
        <f>IF(AB14="","",IF(SUM(AB16:AB20)=0,"",AB14&amp;" "&amp;SUM(AB16:AB20)+AB23&amp;IF(SUM(AC16:AC20)=0,""," ("&amp;SUM(AC16:AC20)&amp;")")&amp;", "))</f>
        <v/>
      </c>
      <c r="AO28" s="2920" t="str">
        <f>IF(AD14="","",IF(SUM(AD16:AD20)=0,"",AD14&amp;" "&amp;SUM(AD16:AD20)+AD23&amp;IF(SUM(AE16:AE20)=0,""," ("&amp;SUM(AE16:AE20)&amp;")")&amp;", "))</f>
        <v/>
      </c>
      <c r="AP28" s="2920" t="str">
        <f>IF(AF14="","",IF(SUM(AF16:AF20)=0,"",AF14&amp;" "&amp;SUM(AF16:AF20)+AF23&amp;IF(SUM(AG16:AG20)=0,""," ("&amp;SUM(AG16:AG20)&amp;")")&amp;", "))</f>
        <v/>
      </c>
      <c r="AQ28" s="2920"/>
      <c r="AR28" s="2920"/>
      <c r="AS28" s="2920"/>
      <c r="AT28" s="2920"/>
      <c r="AU28" s="2920"/>
      <c r="AV28" s="2920"/>
      <c r="AW28" s="2920"/>
      <c r="AX28" s="2920"/>
      <c r="AY28" s="2920"/>
    </row>
    <row r="29" spans="1:51" ht="12.2" customHeight="1" x14ac:dyDescent="0.2">
      <c r="A29" s="2360"/>
      <c r="B29" s="2252">
        <v>1</v>
      </c>
      <c r="C29" s="4508"/>
      <c r="D29" s="4390"/>
      <c r="E29" s="4366"/>
      <c r="F29" s="4366"/>
      <c r="G29" s="4366"/>
      <c r="H29" s="4366"/>
      <c r="I29" s="2093" t="str">
        <f>IF(OR(D25="",D29=""),"",MAX(1,SUMPRODUCT(--(INDEX('Tablas Técnicas'!$C$10:$L$643,,1)=D25),--(INDEX('Tablas Técnicas'!$C$10:$L$643,,2)=D29),INDEX('Tablas Técnicas'!$C$10:$L$643,,9))))</f>
        <v/>
      </c>
      <c r="J29" s="4365"/>
      <c r="K29" s="4366"/>
      <c r="L29" s="4366"/>
      <c r="M29" s="4366"/>
      <c r="N29" s="4366"/>
      <c r="O29" s="2093" t="str">
        <f>IF(OR(J25="",J29=""),"",MAX(1,SUMPRODUCT(--(INDEX('Tablas Técnicas'!$C$10:$L$643,,1)=J25),--(INDEX('Tablas Técnicas'!$C$10:$L$643,,2)=J29),INDEX('Tablas Técnicas'!$C$10:$L$643,,9))))</f>
        <v/>
      </c>
      <c r="P29" s="4365"/>
      <c r="Q29" s="4366"/>
      <c r="R29" s="4366"/>
      <c r="S29" s="4366"/>
      <c r="T29" s="4366"/>
      <c r="U29" s="2093" t="str">
        <f>IF(OR(P25="",P29=""),"",MAX(1,SUMPRODUCT(--(INDEX('Tablas Técnicas'!$C$10:$L$643,,1)=P25),--(INDEX('Tablas Técnicas'!$C$10:$L$643,,2)=P29),INDEX('Tablas Técnicas'!$C$10:$L$643,,9))))</f>
        <v/>
      </c>
      <c r="V29" s="4365"/>
      <c r="W29" s="4366"/>
      <c r="X29" s="4366"/>
      <c r="Y29" s="4366"/>
      <c r="Z29" s="4366"/>
      <c r="AA29" s="2093" t="str">
        <f>IF(OR(V25="",V29=""),"",MAX(1,SUMPRODUCT(--(INDEX('Tablas Técnicas'!$C$10:$L$643,,1)=V25),--(INDEX('Tablas Técnicas'!$C$10:$L$643,,2)=V29),INDEX('Tablas Técnicas'!$C$10:$L$643,,9))))</f>
        <v/>
      </c>
      <c r="AB29" s="4365"/>
      <c r="AC29" s="4366"/>
      <c r="AD29" s="4366"/>
      <c r="AE29" s="4366"/>
      <c r="AF29" s="4366"/>
      <c r="AG29" s="2094" t="str">
        <f>IF(OR(AB25="",AB29=""),"",MAX(1,SUMPRODUCT(--(INDEX('Tablas Técnicas'!$C$10:$L$643,,1)=AB25),--(INDEX('Tablas Técnicas'!$C$10:$L$643,,2)=AB29),INDEX('Tablas Técnicas'!$C$10:$L$643,,9))))</f>
        <v/>
      </c>
      <c r="AH29" s="2369">
        <f>P12</f>
        <v>1</v>
      </c>
      <c r="AI29" s="4511"/>
      <c r="AJ29" s="2920" t="s">
        <v>9512</v>
      </c>
      <c r="AK29" s="2920"/>
      <c r="AL29" s="2920">
        <f>MAX(0,SUM(AT16:AT20)+ABS($AC21*2/5))+IF(AM38,0,Y21)+IF(S12="Si",3*P12,0)</f>
        <v>0</v>
      </c>
      <c r="AM29" s="2920">
        <f t="array" ref="AM29">IF(ISNUMBER(SEARCH("Mantenido",K16&amp;K17&amp;K18&amp;K19&amp;K20)),MAX(0,SUM(VALUE(RIGHT($P16:$P20,2)))),0)</f>
        <v>0</v>
      </c>
      <c r="AN29" s="2922"/>
      <c r="AO29" s="2922"/>
      <c r="AP29" s="2927"/>
      <c r="AQ29" s="2927"/>
      <c r="AR29" s="2927"/>
      <c r="AS29" s="2927"/>
      <c r="AT29" s="2927"/>
      <c r="AU29" s="2927"/>
      <c r="AV29" s="2927"/>
      <c r="AW29" s="2927"/>
      <c r="AX29" s="2927"/>
      <c r="AY29" s="2920"/>
    </row>
    <row r="30" spans="1:51" ht="12.2" customHeight="1" x14ac:dyDescent="0.2">
      <c r="A30" s="2360"/>
      <c r="B30" s="2252">
        <v>1</v>
      </c>
      <c r="C30" s="4508"/>
      <c r="D30" s="4374"/>
      <c r="E30" s="4375"/>
      <c r="F30" s="4375"/>
      <c r="G30" s="4375"/>
      <c r="H30" s="4375"/>
      <c r="I30" s="2095" t="str">
        <f>IF(OR(D25="",D30=""),"",MAX(1,SUMPRODUCT(--(INDEX('Tablas Técnicas'!$C$10:$L$643,,1)=D25),--(INDEX('Tablas Técnicas'!$C$10:$L$643,,2)=D30),INDEX('Tablas Técnicas'!$C$10:$L$643,,9))))</f>
        <v/>
      </c>
      <c r="J30" s="4374"/>
      <c r="K30" s="4375"/>
      <c r="L30" s="4375"/>
      <c r="M30" s="4375"/>
      <c r="N30" s="4375"/>
      <c r="O30" s="2095" t="str">
        <f>IF(OR(J25="",J30=""),"",MAX(1,SUMPRODUCT(--(INDEX('Tablas Técnicas'!$C$10:$L$643,,1)=J25),--(INDEX('Tablas Técnicas'!$C$10:$L$643,,2)=J30),INDEX('Tablas Técnicas'!$C$10:$L$643,,9))))</f>
        <v/>
      </c>
      <c r="P30" s="4374"/>
      <c r="Q30" s="4375"/>
      <c r="R30" s="4375"/>
      <c r="S30" s="4375"/>
      <c r="T30" s="4375"/>
      <c r="U30" s="2095" t="str">
        <f>IF(OR(P25="",P30=""),"",MAX(1,SUMPRODUCT(--(INDEX('Tablas Técnicas'!$C$10:$L$643,,1)=P25),--(INDEX('Tablas Técnicas'!$C$10:$L$643,,2)=P30),INDEX('Tablas Técnicas'!$C$10:$L$643,,9))))</f>
        <v/>
      </c>
      <c r="V30" s="4374"/>
      <c r="W30" s="4375"/>
      <c r="X30" s="4375"/>
      <c r="Y30" s="4375"/>
      <c r="Z30" s="4375"/>
      <c r="AA30" s="2095" t="str">
        <f>IF(OR(V25="",V30=""),"",MAX(1,SUMPRODUCT(--(INDEX('Tablas Técnicas'!$C$10:$L$643,,1)=V25),--(INDEX('Tablas Técnicas'!$C$10:$L$643,,2)=V30),INDEX('Tablas Técnicas'!$C$10:$L$643,,9))))</f>
        <v/>
      </c>
      <c r="AB30" s="4374"/>
      <c r="AC30" s="4375"/>
      <c r="AD30" s="4375"/>
      <c r="AE30" s="4375"/>
      <c r="AF30" s="4375"/>
      <c r="AG30" s="2096" t="str">
        <f>IF(OR(AB25="",AB30=""),"",MAX(1,SUMPRODUCT(--(INDEX('Tablas Técnicas'!$C$10:$L$643,,1)=AB25),--(INDEX('Tablas Técnicas'!$C$10:$L$643,,2)=AB30),INDEX('Tablas Técnicas'!$C$10:$L$643,,9))))</f>
        <v/>
      </c>
      <c r="AH30" s="2369">
        <f>P12</f>
        <v>1</v>
      </c>
      <c r="AI30" s="4511"/>
      <c r="AJ30" s="2920" t="s">
        <v>9018</v>
      </c>
      <c r="AK30" s="2920"/>
      <c r="AL30" s="2920">
        <f>SUM(V16:V20,X16:X20,Z16:Z20,AB16:AB20,AD16:AD20,AF16:AF20)+SUM(V23:AG23)</f>
        <v>0</v>
      </c>
      <c r="AM30" s="2920">
        <f>SUM(W16:W20,Y16:Y20,AA16:AA20,AC16:AC20,AE16:AE20,AG16:AG20)</f>
        <v>0</v>
      </c>
      <c r="AN30" s="2920"/>
      <c r="AO30" s="2920"/>
      <c r="AP30" s="2920"/>
      <c r="AQ30" s="2920"/>
      <c r="AR30" s="2920"/>
      <c r="AS30" s="2920"/>
      <c r="AT30" s="2920"/>
      <c r="AU30" s="2920"/>
      <c r="AV30" s="2920"/>
      <c r="AW30" s="2922"/>
      <c r="AX30" s="2920"/>
      <c r="AY30" s="2920"/>
    </row>
    <row r="31" spans="1:51" ht="12.2" customHeight="1" x14ac:dyDescent="0.2">
      <c r="A31" s="2360"/>
      <c r="B31" s="2252">
        <v>1</v>
      </c>
      <c r="C31" s="4508"/>
      <c r="D31" s="4374"/>
      <c r="E31" s="4375"/>
      <c r="F31" s="4375"/>
      <c r="G31" s="4375"/>
      <c r="H31" s="4375"/>
      <c r="I31" s="2095" t="str">
        <f>IF(OR(D25="",D31=""),"",MAX(1,SUMPRODUCT(--(INDEX('Tablas Técnicas'!$C$10:$L$643,,1)=D25),--(INDEX('Tablas Técnicas'!$C$10:$L$643,,2)=D31),INDEX('Tablas Técnicas'!$C$10:$L$643,,9))))</f>
        <v/>
      </c>
      <c r="J31" s="4374"/>
      <c r="K31" s="4375"/>
      <c r="L31" s="4375"/>
      <c r="M31" s="4375"/>
      <c r="N31" s="4375"/>
      <c r="O31" s="2095" t="str">
        <f>IF(OR(J25="",J31=""),"",MAX(1,SUMPRODUCT(--(INDEX('Tablas Técnicas'!$C$10:$L$643,,1)=J25),--(INDEX('Tablas Técnicas'!$C$10:$L$643,,2)=J31),INDEX('Tablas Técnicas'!$C$10:$L$643,,9))))</f>
        <v/>
      </c>
      <c r="P31" s="4374"/>
      <c r="Q31" s="4375"/>
      <c r="R31" s="4375"/>
      <c r="S31" s="4375"/>
      <c r="T31" s="4375"/>
      <c r="U31" s="2095" t="str">
        <f>IF(OR(P25="",P31=""),"",MAX(1,SUMPRODUCT(--(INDEX('Tablas Técnicas'!$C$10:$L$643,,1)=P25),--(INDEX('Tablas Técnicas'!$C$10:$L$643,,2)=P31),INDEX('Tablas Técnicas'!$C$10:$L$643,,9))))</f>
        <v/>
      </c>
      <c r="V31" s="4374"/>
      <c r="W31" s="4375"/>
      <c r="X31" s="4375"/>
      <c r="Y31" s="4375"/>
      <c r="Z31" s="4375"/>
      <c r="AA31" s="2095" t="str">
        <f>IF(OR(V25="",V31=""),"",MAX(1,SUMPRODUCT(--(INDEX('Tablas Técnicas'!$C$10:$L$643,,1)=V25),--(INDEX('Tablas Técnicas'!$C$10:$L$643,,2)=V31),INDEX('Tablas Técnicas'!$C$10:$L$643,,9))))</f>
        <v/>
      </c>
      <c r="AB31" s="4374"/>
      <c r="AC31" s="4375"/>
      <c r="AD31" s="4375"/>
      <c r="AE31" s="4375"/>
      <c r="AF31" s="4375"/>
      <c r="AG31" s="2096" t="str">
        <f>IF(OR(AB25="",AB31=""),"",MAX(1,SUMPRODUCT(--(INDEX('Tablas Técnicas'!$C$10:$L$643,,1)=AB25),--(INDEX('Tablas Técnicas'!$C$10:$L$643,,2)=AB31),INDEX('Tablas Técnicas'!$C$10:$L$643,,9))))</f>
        <v/>
      </c>
      <c r="AH31" s="2369">
        <f>P12</f>
        <v>1</v>
      </c>
      <c r="AI31" s="4511"/>
      <c r="AJ31" s="2920"/>
      <c r="AK31" s="2920"/>
      <c r="AL31" s="2920"/>
      <c r="AM31" s="2920"/>
      <c r="AN31" s="2920"/>
      <c r="AO31" s="2920"/>
      <c r="AP31" s="2920"/>
      <c r="AQ31" s="2920"/>
      <c r="AR31" s="2920"/>
      <c r="AS31" s="2920"/>
      <c r="AT31" s="2920"/>
      <c r="AU31" s="2920"/>
      <c r="AV31" s="2920"/>
      <c r="AW31" s="2922"/>
      <c r="AX31" s="2922"/>
      <c r="AY31" s="2920"/>
    </row>
    <row r="32" spans="1:51" ht="12.2" customHeight="1" x14ac:dyDescent="0.2">
      <c r="A32" s="2360"/>
      <c r="B32" s="2252">
        <v>1</v>
      </c>
      <c r="C32" s="4508"/>
      <c r="D32" s="4374"/>
      <c r="E32" s="4375"/>
      <c r="F32" s="4375"/>
      <c r="G32" s="4375"/>
      <c r="H32" s="4375"/>
      <c r="I32" s="2095" t="str">
        <f>IF(OR(D25="",D32=""),"",MAX(1,SUMPRODUCT(--(INDEX('Tablas Técnicas'!$C$10:$L$643,,1)=D25),--(INDEX('Tablas Técnicas'!$C$10:$L$643,,2)=D32),INDEX('Tablas Técnicas'!$C$10:$L$643,,9))))</f>
        <v/>
      </c>
      <c r="J32" s="4374"/>
      <c r="K32" s="4375"/>
      <c r="L32" s="4375"/>
      <c r="M32" s="4375"/>
      <c r="N32" s="4375"/>
      <c r="O32" s="2095" t="str">
        <f>IF(OR(J25="",J32=""),"",MAX(1,SUMPRODUCT(--(INDEX('Tablas Técnicas'!$C$10:$L$643,,1)=J25),--(INDEX('Tablas Técnicas'!$C$10:$L$643,,2)=J32),INDEX('Tablas Técnicas'!$C$10:$L$643,,9))))</f>
        <v/>
      </c>
      <c r="P32" s="4374"/>
      <c r="Q32" s="4375"/>
      <c r="R32" s="4375"/>
      <c r="S32" s="4375"/>
      <c r="T32" s="4375"/>
      <c r="U32" s="2095" t="str">
        <f>IF(OR(P25="",P32=""),"",MAX(1,SUMPRODUCT(--(INDEX('Tablas Técnicas'!$C$10:$L$643,,1)=P25),--(INDEX('Tablas Técnicas'!$C$10:$L$643,,2)=P32),INDEX('Tablas Técnicas'!$C$10:$L$643,,9))))</f>
        <v/>
      </c>
      <c r="V32" s="4374"/>
      <c r="W32" s="4375"/>
      <c r="X32" s="4375"/>
      <c r="Y32" s="4375"/>
      <c r="Z32" s="4375"/>
      <c r="AA32" s="2095" t="str">
        <f>IF(OR(V25="",V32=""),"",MAX(1,SUMPRODUCT(--(INDEX('Tablas Técnicas'!$C$10:$L$643,,1)=V25),--(INDEX('Tablas Técnicas'!$C$10:$L$643,,2)=V32),INDEX('Tablas Técnicas'!$C$10:$L$643,,9))))</f>
        <v/>
      </c>
      <c r="AB32" s="4374"/>
      <c r="AC32" s="4375"/>
      <c r="AD32" s="4375"/>
      <c r="AE32" s="4375"/>
      <c r="AF32" s="4375"/>
      <c r="AG32" s="2096" t="str">
        <f>IF(OR(AB25="",AB32=""),"",MAX(1,SUMPRODUCT(--(INDEX('Tablas Técnicas'!$C$10:$L$643,,1)=AB25),--(INDEX('Tablas Técnicas'!$C$10:$L$643,,2)=AB32),INDEX('Tablas Técnicas'!$C$10:$L$643,,9))))</f>
        <v/>
      </c>
      <c r="AH32" s="2369">
        <f>P12</f>
        <v>1</v>
      </c>
      <c r="AI32" s="4511"/>
      <c r="AJ32" s="2920" t="s">
        <v>9019</v>
      </c>
      <c r="AK32" s="2920"/>
      <c r="AL32" s="2920"/>
      <c r="AM32" s="2920"/>
      <c r="AN32" s="2920"/>
      <c r="AO32" s="2920"/>
      <c r="AP32" s="2920"/>
      <c r="AQ32" s="2921"/>
      <c r="AR32" s="2922"/>
      <c r="AS32" s="2922"/>
      <c r="AT32" s="2922"/>
      <c r="AU32" s="2922"/>
      <c r="AV32" s="2922"/>
      <c r="AW32" s="2922"/>
      <c r="AX32" s="2922"/>
      <c r="AY32" s="2920"/>
    </row>
    <row r="33" spans="1:51" ht="12.2" customHeight="1" x14ac:dyDescent="0.2">
      <c r="A33" s="2360"/>
      <c r="B33" s="2252">
        <v>1</v>
      </c>
      <c r="C33" s="4508"/>
      <c r="D33" s="4374"/>
      <c r="E33" s="4375"/>
      <c r="F33" s="4375"/>
      <c r="G33" s="4375"/>
      <c r="H33" s="4375"/>
      <c r="I33" s="2095" t="str">
        <f>IF(OR(D25="",D33=""),"",MAX(1,SUMPRODUCT(--(INDEX('Tablas Técnicas'!$C$10:$L$643,,1)=D25),--(INDEX('Tablas Técnicas'!$C$10:$L$643,,2)=D33),INDEX('Tablas Técnicas'!$C$10:$L$643,,9))))</f>
        <v/>
      </c>
      <c r="J33" s="4374"/>
      <c r="K33" s="4375"/>
      <c r="L33" s="4375"/>
      <c r="M33" s="4375"/>
      <c r="N33" s="4375"/>
      <c r="O33" s="2095" t="str">
        <f>IF(OR(J25="",J33=""),"",MAX(1,SUMPRODUCT(--(INDEX('Tablas Técnicas'!$C$10:$L$643,,1)=J25),--(INDEX('Tablas Técnicas'!$C$10:$L$643,,2)=J33),INDEX('Tablas Técnicas'!$C$10:$L$643,,9))))</f>
        <v/>
      </c>
      <c r="P33" s="4374"/>
      <c r="Q33" s="4375"/>
      <c r="R33" s="4375"/>
      <c r="S33" s="4375"/>
      <c r="T33" s="4375"/>
      <c r="U33" s="2095" t="str">
        <f>IF(OR(P25="",P33=""),"",MAX(1,SUMPRODUCT(--(INDEX('Tablas Técnicas'!$C$10:$L$643,,1)=P25),--(INDEX('Tablas Técnicas'!$C$10:$L$643,,2)=P33),INDEX('Tablas Técnicas'!$C$10:$L$643,,9))))</f>
        <v/>
      </c>
      <c r="V33" s="4374"/>
      <c r="W33" s="4375"/>
      <c r="X33" s="4375"/>
      <c r="Y33" s="4375"/>
      <c r="Z33" s="4375"/>
      <c r="AA33" s="2095" t="str">
        <f>IF(OR(V25="",V33=""),"",MAX(1,SUMPRODUCT(--(INDEX('Tablas Técnicas'!$C$10:$L$643,,1)=V25),--(INDEX('Tablas Técnicas'!$C$10:$L$643,,2)=V33),INDEX('Tablas Técnicas'!$C$10:$L$643,,9))))</f>
        <v/>
      </c>
      <c r="AB33" s="4374"/>
      <c r="AC33" s="4375"/>
      <c r="AD33" s="4375"/>
      <c r="AE33" s="4375"/>
      <c r="AF33" s="4375"/>
      <c r="AG33" s="2096" t="str">
        <f>IF(OR(AB25="",AB33=""),"",MAX(1,SUMPRODUCT(--(INDEX('Tablas Técnicas'!$C$10:$L$643,,1)=AB25),--(INDEX('Tablas Técnicas'!$C$10:$L$643,,2)=AB33),INDEX('Tablas Técnicas'!$C$10:$L$643,,9))))</f>
        <v/>
      </c>
      <c r="AH33" s="2369">
        <f>P12</f>
        <v>1</v>
      </c>
      <c r="AI33" s="4511"/>
      <c r="AJ33" s="2920" t="s">
        <v>10184</v>
      </c>
      <c r="AK33" s="2920"/>
      <c r="AL33" s="2920"/>
      <c r="AM33" s="2920" t="b">
        <f>U12&gt;IF(P12=3,200,IF(P12=2,100,50))</f>
        <v>0</v>
      </c>
      <c r="AN33" s="2920"/>
      <c r="AO33" s="2920"/>
      <c r="AP33" s="2920"/>
      <c r="AQ33" s="2920"/>
      <c r="AR33" s="2922"/>
      <c r="AS33" s="2922"/>
      <c r="AT33" s="2922"/>
      <c r="AU33" s="2922"/>
      <c r="AV33" s="2922"/>
      <c r="AW33" s="2922"/>
      <c r="AX33" s="2922"/>
      <c r="AY33" s="2920"/>
    </row>
    <row r="34" spans="1:51" ht="12.2" customHeight="1" x14ac:dyDescent="0.2">
      <c r="A34" s="2360"/>
      <c r="B34" s="2252">
        <v>1</v>
      </c>
      <c r="C34" s="4508"/>
      <c r="D34" s="4374"/>
      <c r="E34" s="4375"/>
      <c r="F34" s="4375"/>
      <c r="G34" s="4375"/>
      <c r="H34" s="4375"/>
      <c r="I34" s="2095" t="str">
        <f>IF(OR(D25="",D34=""),"",MAX(1,SUMPRODUCT(--(INDEX('Tablas Técnicas'!$C$10:$L$643,,1)=D25),--(INDEX('Tablas Técnicas'!$C$10:$L$643,,2)=D34),INDEX('Tablas Técnicas'!$C$10:$L$643,,9))))</f>
        <v/>
      </c>
      <c r="J34" s="4374"/>
      <c r="K34" s="4375"/>
      <c r="L34" s="4375"/>
      <c r="M34" s="4375"/>
      <c r="N34" s="4375"/>
      <c r="O34" s="2095" t="str">
        <f>IF(OR(J25="",J34=""),"",MAX(1,SUMPRODUCT(--(INDEX('Tablas Técnicas'!$C$10:$L$643,,1)=J25),--(INDEX('Tablas Técnicas'!$C$10:$L$643,,2)=J34),INDEX('Tablas Técnicas'!$C$10:$L$643,,9))))</f>
        <v/>
      </c>
      <c r="P34" s="4374"/>
      <c r="Q34" s="4375"/>
      <c r="R34" s="4375"/>
      <c r="S34" s="4375"/>
      <c r="T34" s="4375"/>
      <c r="U34" s="2095" t="str">
        <f>IF(OR(P25="",P34=""),"",MAX(1,SUMPRODUCT(--(INDEX('Tablas Técnicas'!$C$10:$L$643,,1)=P25),--(INDEX('Tablas Técnicas'!$C$10:$L$643,,2)=P34),INDEX('Tablas Técnicas'!$C$10:$L$643,,9))))</f>
        <v/>
      </c>
      <c r="V34" s="4374"/>
      <c r="W34" s="4375"/>
      <c r="X34" s="4375"/>
      <c r="Y34" s="4375"/>
      <c r="Z34" s="4375"/>
      <c r="AA34" s="2095" t="str">
        <f>IF(OR(V25="",V34=""),"",MAX(1,SUMPRODUCT(--(INDEX('Tablas Técnicas'!$C$10:$L$643,,1)=V25),--(INDEX('Tablas Técnicas'!$C$10:$L$643,,2)=V34),INDEX('Tablas Técnicas'!$C$10:$L$643,,9))))</f>
        <v/>
      </c>
      <c r="AB34" s="4374"/>
      <c r="AC34" s="4375"/>
      <c r="AD34" s="4375"/>
      <c r="AE34" s="4375"/>
      <c r="AF34" s="4375"/>
      <c r="AG34" s="2096" t="str">
        <f>IF(OR(AB25="",AB34=""),"",MAX(1,SUMPRODUCT(--(INDEX('Tablas Técnicas'!$C$10:$L$643,,1)=AB25),--(INDEX('Tablas Técnicas'!$C$10:$L$643,,2)=AB34),INDEX('Tablas Técnicas'!$C$10:$L$643,,9))))</f>
        <v/>
      </c>
      <c r="AH34" s="2369">
        <f>P12</f>
        <v>1</v>
      </c>
      <c r="AI34" s="4511"/>
      <c r="AJ34" s="2920" t="s">
        <v>9020</v>
      </c>
      <c r="AK34" s="2920"/>
      <c r="AL34" s="2920"/>
      <c r="AM34" s="2920" t="b">
        <f t="array" ref="AM34">MAX(I29:I35,O29:O35,U29:U35,AA29:AA35,AG29:AG35,RIGHT(S21:S23,1))&gt;P12</f>
        <v>0</v>
      </c>
      <c r="AN34" s="2920"/>
      <c r="AO34" s="2920"/>
      <c r="AP34" s="2920"/>
      <c r="AQ34" s="2921"/>
      <c r="AR34" s="2922"/>
      <c r="AS34" s="2922"/>
      <c r="AT34" s="2922"/>
      <c r="AU34" s="2922"/>
      <c r="AV34" s="2922"/>
      <c r="AW34" s="2922"/>
      <c r="AX34" s="2922"/>
      <c r="AY34" s="2920"/>
    </row>
    <row r="35" spans="1:51" ht="12.2" customHeight="1" x14ac:dyDescent="0.2">
      <c r="A35" s="2360"/>
      <c r="B35" s="2252">
        <v>1</v>
      </c>
      <c r="C35" s="4508"/>
      <c r="D35" s="4401"/>
      <c r="E35" s="4402"/>
      <c r="F35" s="4402"/>
      <c r="G35" s="4402"/>
      <c r="H35" s="4402"/>
      <c r="I35" s="2097" t="str">
        <f>IF(OR(D25="",D35=""),"",MAX(1,SUMPRODUCT(--(INDEX('Tablas Técnicas'!$C$10:$L$643,,1)=D25),--(INDEX('Tablas Técnicas'!$C$10:$L$643,,2)=D35),INDEX('Tablas Técnicas'!$C$10:$L$643,,9))))</f>
        <v/>
      </c>
      <c r="J35" s="4401"/>
      <c r="K35" s="4402"/>
      <c r="L35" s="4402"/>
      <c r="M35" s="4402"/>
      <c r="N35" s="4402"/>
      <c r="O35" s="2097" t="str">
        <f>IF(OR(J25="",J35=""),"",MAX(1,SUMPRODUCT(--(INDEX('Tablas Técnicas'!$C$10:$L$643,,1)=J25),--(INDEX('Tablas Técnicas'!$C$10:$L$643,,2)=J35),INDEX('Tablas Técnicas'!$C$10:$L$643,,9))))</f>
        <v/>
      </c>
      <c r="P35" s="4401"/>
      <c r="Q35" s="4402"/>
      <c r="R35" s="4402"/>
      <c r="S35" s="4402"/>
      <c r="T35" s="4402"/>
      <c r="U35" s="2097" t="str">
        <f>IF(OR(P25="",P35=""),"",MAX(1,SUMPRODUCT(--(INDEX('Tablas Técnicas'!$C$10:$L$643,,1)=P25),--(INDEX('Tablas Técnicas'!$C$10:$L$643,,2)=P35),INDEX('Tablas Técnicas'!$C$10:$L$643,,9))))</f>
        <v/>
      </c>
      <c r="V35" s="4401"/>
      <c r="W35" s="4402"/>
      <c r="X35" s="4402"/>
      <c r="Y35" s="4402"/>
      <c r="Z35" s="4402"/>
      <c r="AA35" s="2097" t="str">
        <f>IF(OR(V25="",V35=""),"",MAX(1,SUMPRODUCT(--(INDEX('Tablas Técnicas'!$C$10:$L$643,,1)=V25),--(INDEX('Tablas Técnicas'!$C$10:$L$643,,2)=V35),INDEX('Tablas Técnicas'!$C$10:$L$643,,9))))</f>
        <v/>
      </c>
      <c r="AB35" s="4401"/>
      <c r="AC35" s="4402"/>
      <c r="AD35" s="4402"/>
      <c r="AE35" s="4402"/>
      <c r="AF35" s="4402"/>
      <c r="AG35" s="2098" t="str">
        <f>IF(OR(AB25="",AB35=""),"",MAX(1,SUMPRODUCT(--(INDEX('Tablas Técnicas'!$C$10:$L$643,,1)=AB25),--(INDEX('Tablas Técnicas'!$C$10:$L$643,,2)=AB35),INDEX('Tablas Técnicas'!$C$10:$L$643,,9))))</f>
        <v/>
      </c>
      <c r="AH35" s="2369">
        <f>P12</f>
        <v>1</v>
      </c>
      <c r="AI35" s="4511"/>
      <c r="AJ35" s="2920" t="s">
        <v>9529</v>
      </c>
      <c r="AK35" s="2920"/>
      <c r="AL35" s="2920"/>
      <c r="AM35" s="2920" t="b">
        <f>AND(COUNTIF(K16:M20,"Mantenido"),OR(COUNTIF(K16:M20,"Sostenimiento Menor"),COUNTIF(K16:M20,"Sostenimiento Mayor")))</f>
        <v>0</v>
      </c>
      <c r="AN35" s="2921"/>
      <c r="AO35" s="2920"/>
      <c r="AP35" s="2920"/>
      <c r="AQ35" s="2920"/>
      <c r="AR35" s="2920"/>
      <c r="AS35" s="2920"/>
      <c r="AT35" s="2920"/>
      <c r="AU35" s="2922"/>
      <c r="AV35" s="2922"/>
      <c r="AW35" s="2922"/>
      <c r="AX35" s="2922"/>
      <c r="AY35" s="2920"/>
    </row>
    <row r="36" spans="1:51" ht="12.2" customHeight="1" x14ac:dyDescent="0.2">
      <c r="A36" s="2360"/>
      <c r="B36" s="2252">
        <v>1</v>
      </c>
      <c r="C36" s="4508"/>
      <c r="D36" s="4386" t="s">
        <v>1553</v>
      </c>
      <c r="E36" s="4387"/>
      <c r="F36" s="4387"/>
      <c r="G36" s="4387"/>
      <c r="H36" s="4387"/>
      <c r="I36" s="4387"/>
      <c r="J36" s="4387"/>
      <c r="K36" s="4387"/>
      <c r="L36" s="4387"/>
      <c r="M36" s="4387"/>
      <c r="N36" s="4387"/>
      <c r="O36" s="4387"/>
      <c r="P36" s="4387"/>
      <c r="Q36" s="4387"/>
      <c r="R36" s="4387"/>
      <c r="S36" s="4387"/>
      <c r="T36" s="4387"/>
      <c r="U36" s="4387"/>
      <c r="V36" s="4387"/>
      <c r="W36" s="4387"/>
      <c r="X36" s="4387"/>
      <c r="Y36" s="4387"/>
      <c r="Z36" s="4387"/>
      <c r="AA36" s="4387"/>
      <c r="AB36" s="4387"/>
      <c r="AC36" s="4387"/>
      <c r="AD36" s="4387"/>
      <c r="AE36" s="4387"/>
      <c r="AF36" s="4387"/>
      <c r="AG36" s="4442"/>
      <c r="AH36" s="2369"/>
      <c r="AI36" s="4511"/>
      <c r="AJ36" s="2920" t="s">
        <v>9528</v>
      </c>
      <c r="AK36" s="2920"/>
      <c r="AL36" s="2920"/>
      <c r="AM36" s="2920" t="b">
        <f>OR(AND(ISNUMBER(SEARCH("Sostenimiento",K16)),OR(P12=1,MAX(I29:I35)=3)),AND(ISNUMBER(SEARCH("Sostenimiento",K17)),OR(P12=1,MAX(O29:O35)=3)),AND(ISNUMBER(SEARCH("Sostenimiento",K18)),OR(P12=1,MAX(U29:U35)=3)),AND(ISNUMBER(SEARCH("Sostenimiento",K19)),OR(P12=1,MAX(AA29:AA35)=3)),AND(ISNUMBER(SEARCH("Sostenimiento",K20)),OR(P12=1,MAX(AG29:AG35)=3)))</f>
        <v>0</v>
      </c>
      <c r="AN36" s="2920"/>
      <c r="AO36" s="2920"/>
      <c r="AP36" s="2920"/>
      <c r="AQ36" s="2921"/>
      <c r="AR36" s="2920"/>
      <c r="AS36" s="2920"/>
      <c r="AT36" s="2920"/>
      <c r="AU36" s="2922"/>
      <c r="AV36" s="2922"/>
      <c r="AW36" s="2922"/>
      <c r="AX36" s="2922"/>
      <c r="AY36" s="2920"/>
    </row>
    <row r="37" spans="1:51" ht="12.2" customHeight="1" x14ac:dyDescent="0.2">
      <c r="A37" s="2360"/>
      <c r="B37" s="2252">
        <v>1</v>
      </c>
      <c r="C37" s="4508"/>
      <c r="D37" s="4443"/>
      <c r="E37" s="4461"/>
      <c r="F37" s="4461"/>
      <c r="G37" s="4461"/>
      <c r="H37" s="4461"/>
      <c r="I37" s="4461"/>
      <c r="J37" s="4461"/>
      <c r="K37" s="4461"/>
      <c r="L37" s="4461"/>
      <c r="M37" s="4461"/>
      <c r="N37" s="4461"/>
      <c r="O37" s="4461"/>
      <c r="P37" s="4461"/>
      <c r="Q37" s="4461"/>
      <c r="R37" s="4461"/>
      <c r="S37" s="4461"/>
      <c r="T37" s="4461"/>
      <c r="U37" s="4461"/>
      <c r="V37" s="4461"/>
      <c r="W37" s="4461"/>
      <c r="X37" s="4461"/>
      <c r="Y37" s="4461"/>
      <c r="Z37" s="4461"/>
      <c r="AA37" s="4461"/>
      <c r="AB37" s="4461"/>
      <c r="AC37" s="4461"/>
      <c r="AD37" s="4461"/>
      <c r="AE37" s="4461"/>
      <c r="AF37" s="4461"/>
      <c r="AG37" s="4445"/>
      <c r="AH37" s="2369"/>
      <c r="AI37" s="4511"/>
      <c r="AJ37" s="2920" t="s">
        <v>9536</v>
      </c>
      <c r="AK37" s="2920"/>
      <c r="AL37" s="2920"/>
      <c r="AM37" s="292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20"/>
      <c r="AO37" s="2920"/>
      <c r="AP37" s="2920"/>
      <c r="AQ37" s="2921"/>
      <c r="AR37" s="2920"/>
      <c r="AS37" s="2920"/>
      <c r="AT37" s="2920"/>
      <c r="AU37" s="2922"/>
      <c r="AV37" s="2922"/>
      <c r="AW37" s="2922"/>
      <c r="AX37" s="2922"/>
      <c r="AY37" s="2920"/>
    </row>
    <row r="38" spans="1:51" ht="12.2" customHeight="1" x14ac:dyDescent="0.2">
      <c r="A38" s="2360"/>
      <c r="B38" s="2252">
        <v>1</v>
      </c>
      <c r="C38" s="4508"/>
      <c r="D38" s="4443"/>
      <c r="E38" s="4461"/>
      <c r="F38" s="4461"/>
      <c r="G38" s="4461"/>
      <c r="H38" s="4461"/>
      <c r="I38" s="4461"/>
      <c r="J38" s="4461"/>
      <c r="K38" s="4461"/>
      <c r="L38" s="4461"/>
      <c r="M38" s="4461"/>
      <c r="N38" s="4461"/>
      <c r="O38" s="4461"/>
      <c r="P38" s="4461"/>
      <c r="Q38" s="4461"/>
      <c r="R38" s="4461"/>
      <c r="S38" s="4461"/>
      <c r="T38" s="4461"/>
      <c r="U38" s="4461"/>
      <c r="V38" s="4461"/>
      <c r="W38" s="4461"/>
      <c r="X38" s="4461"/>
      <c r="Y38" s="4461"/>
      <c r="Z38" s="4461"/>
      <c r="AA38" s="4461"/>
      <c r="AB38" s="4461"/>
      <c r="AC38" s="4461"/>
      <c r="AD38" s="4461"/>
      <c r="AE38" s="4461"/>
      <c r="AF38" s="4461"/>
      <c r="AG38" s="4445"/>
      <c r="AH38" s="2369"/>
      <c r="AI38" s="4511"/>
      <c r="AJ38" s="2920" t="s">
        <v>9515</v>
      </c>
      <c r="AK38" s="2920"/>
      <c r="AL38" s="2920"/>
      <c r="AM38" s="2920" t="b">
        <f>AND((IF(SUM(V16:V20)&gt;0,1,0)+IF(SUM(X16:X20)&gt;0,1,0)+IF(SUM(Z16:Z20)&gt;0,1,0)+IF(SUM(AB16:AB20)&gt;0,1,0)+IF(SUM(AD16:AD20,)&gt;0,1,0)+IF(SUM(AF16:AF20)&gt;0,1,0))&lt;3,OR(V23&lt;0,X23&lt;0,Z23&lt;0,AB23&lt;0,AD23&lt;0,AF23&lt;0,Y21&lt;0))</f>
        <v>0</v>
      </c>
      <c r="AN38" s="2920"/>
      <c r="AO38" s="2920"/>
      <c r="AP38" s="2920"/>
      <c r="AQ38" s="2921"/>
      <c r="AR38" s="2920"/>
      <c r="AS38" s="2920"/>
      <c r="AT38" s="2920"/>
      <c r="AU38" s="2922"/>
      <c r="AV38" s="2922"/>
      <c r="AW38" s="2922"/>
      <c r="AX38" s="2922"/>
      <c r="AY38" s="2920"/>
    </row>
    <row r="39" spans="1:51" ht="12.2" customHeight="1" x14ac:dyDescent="0.2">
      <c r="A39" s="2360"/>
      <c r="B39" s="2252">
        <v>1</v>
      </c>
      <c r="C39" s="4508"/>
      <c r="D39" s="4443"/>
      <c r="E39" s="4461"/>
      <c r="F39" s="4461"/>
      <c r="G39" s="4461"/>
      <c r="H39" s="4461"/>
      <c r="I39" s="4461"/>
      <c r="J39" s="4461"/>
      <c r="K39" s="4461"/>
      <c r="L39" s="4461"/>
      <c r="M39" s="4461"/>
      <c r="N39" s="4461"/>
      <c r="O39" s="4461"/>
      <c r="P39" s="4461"/>
      <c r="Q39" s="4461"/>
      <c r="R39" s="4461"/>
      <c r="S39" s="4461"/>
      <c r="T39" s="4461"/>
      <c r="U39" s="4461"/>
      <c r="V39" s="4461"/>
      <c r="W39" s="4461"/>
      <c r="X39" s="4461"/>
      <c r="Y39" s="4461"/>
      <c r="Z39" s="4461"/>
      <c r="AA39" s="4461"/>
      <c r="AB39" s="4461"/>
      <c r="AC39" s="4461"/>
      <c r="AD39" s="4461"/>
      <c r="AE39" s="4461"/>
      <c r="AF39" s="4461"/>
      <c r="AG39" s="4445"/>
      <c r="AH39" s="2369"/>
      <c r="AI39" s="4511"/>
      <c r="AJ39" s="2920" t="s">
        <v>9530</v>
      </c>
      <c r="AK39" s="2920"/>
      <c r="AL39" s="2920"/>
      <c r="AM39" s="2920" t="b">
        <f>OR(-V23&gt;TRUNC(SUM(V16:V20)/2),-X23&gt;TRUNC(SUM(X16:X20)/2),-Z23&gt;TRUNC(SUM(Z16:Z20)/2),-AB23&gt;TRUNC(SUM(AB16:AB20)/2),-AD23&gt;TRUNC(SUM(AD16:AD20)/2),-AF23&gt;TRUNC(SUM(AF16:AF20)/2))</f>
        <v>0</v>
      </c>
      <c r="AN39" s="2920"/>
      <c r="AO39" s="2920"/>
      <c r="AP39" s="2920"/>
      <c r="AQ39" s="2921"/>
      <c r="AR39" s="2920"/>
      <c r="AS39" s="2920"/>
      <c r="AT39" s="2920"/>
      <c r="AU39" s="2922"/>
      <c r="AV39" s="2922"/>
      <c r="AW39" s="2922"/>
      <c r="AX39" s="2922"/>
      <c r="AY39" s="2920"/>
    </row>
    <row r="40" spans="1:51" ht="12.2" customHeight="1" x14ac:dyDescent="0.2">
      <c r="A40" s="2360"/>
      <c r="B40" s="2252">
        <v>1</v>
      </c>
      <c r="C40" s="4508"/>
      <c r="D40" s="4443"/>
      <c r="E40" s="4461"/>
      <c r="F40" s="4461"/>
      <c r="G40" s="4461"/>
      <c r="H40" s="4461"/>
      <c r="I40" s="4461"/>
      <c r="J40" s="4461"/>
      <c r="K40" s="4461"/>
      <c r="L40" s="4461"/>
      <c r="M40" s="4461"/>
      <c r="N40" s="4461"/>
      <c r="O40" s="4461"/>
      <c r="P40" s="4461"/>
      <c r="Q40" s="4461"/>
      <c r="R40" s="4461"/>
      <c r="S40" s="4461"/>
      <c r="T40" s="4461"/>
      <c r="U40" s="4461"/>
      <c r="V40" s="4461"/>
      <c r="W40" s="4461"/>
      <c r="X40" s="4461"/>
      <c r="Y40" s="4461"/>
      <c r="Z40" s="4461"/>
      <c r="AA40" s="4461"/>
      <c r="AB40" s="4461"/>
      <c r="AC40" s="4461"/>
      <c r="AD40" s="4461"/>
      <c r="AE40" s="4461"/>
      <c r="AF40" s="4461"/>
      <c r="AG40" s="4445"/>
      <c r="AH40" s="2369"/>
      <c r="AI40" s="4511"/>
      <c r="AJ40" s="2920" t="s">
        <v>9531</v>
      </c>
      <c r="AK40" s="2920"/>
      <c r="AL40" s="2920"/>
      <c r="AM40" s="2920" t="b">
        <f>COUNTIF(D16:E20,"Primario")&gt;1</f>
        <v>0</v>
      </c>
      <c r="AN40" s="2920"/>
      <c r="AO40" s="2920"/>
      <c r="AP40" s="2920"/>
      <c r="AQ40" s="2921"/>
      <c r="AR40" s="2921"/>
      <c r="AS40" s="2921"/>
      <c r="AT40" s="2921"/>
      <c r="AU40" s="2922"/>
      <c r="AV40" s="2922"/>
      <c r="AW40" s="2922"/>
      <c r="AX40" s="2920"/>
      <c r="AY40" s="2920"/>
    </row>
    <row r="41" spans="1:51" ht="12.2" customHeight="1" x14ac:dyDescent="0.2">
      <c r="A41" s="2360"/>
      <c r="B41" s="2252">
        <v>1</v>
      </c>
      <c r="C41" s="4508"/>
      <c r="D41" s="4443"/>
      <c r="E41" s="4461"/>
      <c r="F41" s="4461"/>
      <c r="G41" s="4461"/>
      <c r="H41" s="4461"/>
      <c r="I41" s="4461"/>
      <c r="J41" s="4461"/>
      <c r="K41" s="4461"/>
      <c r="L41" s="4461"/>
      <c r="M41" s="4461"/>
      <c r="N41" s="4461"/>
      <c r="O41" s="4461"/>
      <c r="P41" s="4461"/>
      <c r="Q41" s="4461"/>
      <c r="R41" s="4461"/>
      <c r="S41" s="4461"/>
      <c r="T41" s="4461"/>
      <c r="U41" s="4461"/>
      <c r="V41" s="4461"/>
      <c r="W41" s="4461"/>
      <c r="X41" s="4461"/>
      <c r="Y41" s="4461"/>
      <c r="Z41" s="4461"/>
      <c r="AA41" s="4461"/>
      <c r="AB41" s="4461"/>
      <c r="AC41" s="4461"/>
      <c r="AD41" s="4461"/>
      <c r="AE41" s="4461"/>
      <c r="AF41" s="4461"/>
      <c r="AG41" s="4445"/>
      <c r="AH41" s="2369"/>
      <c r="AI41" s="4511"/>
      <c r="AJ41" s="2920" t="s">
        <v>9514</v>
      </c>
      <c r="AK41" s="2920"/>
      <c r="AL41" s="2920"/>
      <c r="AM41" s="2920" t="b">
        <f>SUM(V23:AG23)&lt;&gt;Y21+ABS(AC21)*2/5+IF(S12="Si",3*P12,0)</f>
        <v>0</v>
      </c>
      <c r="AN41" s="2920"/>
      <c r="AO41" s="2920"/>
      <c r="AP41" s="2920"/>
      <c r="AQ41" s="2921"/>
      <c r="AR41" s="2921"/>
      <c r="AS41" s="2921"/>
      <c r="AT41" s="2921"/>
      <c r="AU41" s="2922"/>
      <c r="AV41" s="2922"/>
      <c r="AW41" s="2922"/>
      <c r="AX41" s="2920"/>
      <c r="AY41" s="2920"/>
    </row>
    <row r="42" spans="1:51" ht="12.2" customHeight="1" x14ac:dyDescent="0.2">
      <c r="A42" s="2360"/>
      <c r="B42" s="2252">
        <v>1</v>
      </c>
      <c r="C42" s="4508"/>
      <c r="D42" s="4443"/>
      <c r="E42" s="4461"/>
      <c r="F42" s="4461"/>
      <c r="G42" s="4461"/>
      <c r="H42" s="4461"/>
      <c r="I42" s="4461"/>
      <c r="J42" s="4461"/>
      <c r="K42" s="4461"/>
      <c r="L42" s="4461"/>
      <c r="M42" s="4461"/>
      <c r="N42" s="4461"/>
      <c r="O42" s="4461"/>
      <c r="P42" s="4461"/>
      <c r="Q42" s="4461"/>
      <c r="R42" s="4461"/>
      <c r="S42" s="4461"/>
      <c r="T42" s="4461"/>
      <c r="U42" s="4461"/>
      <c r="V42" s="4461"/>
      <c r="W42" s="4461"/>
      <c r="X42" s="4461"/>
      <c r="Y42" s="4461"/>
      <c r="Z42" s="4461"/>
      <c r="AA42" s="4461"/>
      <c r="AB42" s="4461"/>
      <c r="AC42" s="4461"/>
      <c r="AD42" s="4461"/>
      <c r="AE42" s="4461"/>
      <c r="AF42" s="4461"/>
      <c r="AG42" s="4445"/>
      <c r="AH42" s="2369"/>
      <c r="AI42" s="4511"/>
      <c r="AJ42" s="2920" t="s">
        <v>9513</v>
      </c>
      <c r="AK42" s="2920"/>
      <c r="AL42" s="2920"/>
      <c r="AM42" s="2920" t="b">
        <f>AL29-AL30+AM29-AM30&lt;&gt;0</f>
        <v>0</v>
      </c>
      <c r="AN42" s="2922"/>
      <c r="AO42" s="2922"/>
      <c r="AP42" s="2922"/>
      <c r="AQ42" s="2922"/>
      <c r="AR42" s="2921"/>
      <c r="AS42" s="2921"/>
      <c r="AT42" s="2921"/>
      <c r="AU42" s="2922"/>
      <c r="AV42" s="2922"/>
      <c r="AW42" s="2922"/>
      <c r="AX42" s="2920"/>
      <c r="AY42" s="2920"/>
    </row>
    <row r="43" spans="1:51" ht="12.2" customHeight="1" thickBot="1" x14ac:dyDescent="0.25">
      <c r="A43" s="2360"/>
      <c r="B43" s="2252"/>
      <c r="C43" s="4509"/>
      <c r="D43" s="451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13"/>
      <c r="F43" s="4513"/>
      <c r="G43" s="4513"/>
      <c r="H43" s="4513"/>
      <c r="I43" s="4513"/>
      <c r="J43" s="4513"/>
      <c r="K43" s="4513"/>
      <c r="L43" s="4513"/>
      <c r="M43" s="4513"/>
      <c r="N43" s="4513"/>
      <c r="O43" s="4513"/>
      <c r="P43" s="4513"/>
      <c r="Q43" s="4513"/>
      <c r="R43" s="4513"/>
      <c r="S43" s="4513"/>
      <c r="T43" s="4513"/>
      <c r="U43" s="4513"/>
      <c r="V43" s="4513"/>
      <c r="W43" s="4513"/>
      <c r="X43" s="4513"/>
      <c r="Y43" s="4513"/>
      <c r="Z43" s="4513"/>
      <c r="AA43" s="4513"/>
      <c r="AB43" s="4513"/>
      <c r="AC43" s="4513"/>
      <c r="AD43" s="4513"/>
      <c r="AE43" s="4513"/>
      <c r="AF43" s="4513"/>
      <c r="AG43" s="4514"/>
      <c r="AH43" s="2369"/>
      <c r="AI43" s="4511"/>
      <c r="AJ43" s="2920" t="s">
        <v>9550</v>
      </c>
      <c r="AK43" s="2922"/>
      <c r="AL43" s="2922"/>
      <c r="AM43" s="2922" t="b">
        <f>ABS(SUM(N21:N23))&gt;(SUM(N16:N20)-10*Y21+AC21+IF(S12="Si",10*P12,0)+IF(COUNTIF(K16:M20,"Mantenido")&gt;0,P12*10)+MAX(IF(COUNTIF(K16:M20,"Sostenimiento Menor")&gt;0,P12*20)+IF(COUNTIF(K16:M20,"Sostenimiento Mayor")&gt;0,P12*30)))/2</f>
        <v>0</v>
      </c>
      <c r="AN43" s="2920"/>
      <c r="AO43" s="2920"/>
      <c r="AP43" s="2920"/>
      <c r="AQ43" s="2920"/>
      <c r="AR43" s="2921"/>
      <c r="AS43" s="2921"/>
      <c r="AT43" s="2921"/>
      <c r="AU43" s="2922"/>
      <c r="AV43" s="2922"/>
      <c r="AW43" s="2922"/>
      <c r="AX43" s="2920"/>
      <c r="AY43" s="2920"/>
    </row>
    <row r="44" spans="1:51" ht="12.2" customHeight="1" x14ac:dyDescent="0.2">
      <c r="A44" s="2360"/>
      <c r="B44" s="2252"/>
      <c r="C44" s="4463"/>
      <c r="D44" s="4463" t="str">
        <f>IFERROR(VLOOKUP(D25,'Tablas Técnicas'!$O$9:$T$88,2,FALSE),"")</f>
        <v/>
      </c>
      <c r="E44" s="4463"/>
      <c r="F44" s="4463"/>
      <c r="G44" s="4463"/>
      <c r="H44" s="4463"/>
      <c r="I44" s="4463"/>
      <c r="J44" s="4463" t="str">
        <f>IFERROR(VLOOKUP(J25,'Tablas Técnicas'!$O$9:$T$88,2,FALSE),"")</f>
        <v/>
      </c>
      <c r="K44" s="4463"/>
      <c r="L44" s="4463"/>
      <c r="M44" s="4463"/>
      <c r="N44" s="4463"/>
      <c r="O44" s="4463"/>
      <c r="P44" s="4463" t="str">
        <f>IFERROR(VLOOKUP(P25,'Tablas Técnicas'!$O$9:$T$88,2,FALSE),"")</f>
        <v/>
      </c>
      <c r="Q44" s="4463"/>
      <c r="R44" s="4463"/>
      <c r="S44" s="4463"/>
      <c r="T44" s="4463"/>
      <c r="U44" s="4463"/>
      <c r="V44" s="4463" t="str">
        <f>IFERROR(VLOOKUP(V25,'Tablas Técnicas'!$O$9:$T$88,2,FALSE),"")</f>
        <v/>
      </c>
      <c r="W44" s="4463"/>
      <c r="X44" s="4463"/>
      <c r="Y44" s="4463"/>
      <c r="Z44" s="4463"/>
      <c r="AA44" s="4463"/>
      <c r="AB44" s="4463" t="str">
        <f>IFERROR(VLOOKUP(AB25,'Tablas Técnicas'!$O$9:$T$88,2,FALSE),"")</f>
        <v/>
      </c>
      <c r="AC44" s="4463"/>
      <c r="AD44" s="4463"/>
      <c r="AE44" s="4463"/>
      <c r="AF44" s="4463"/>
      <c r="AG44" s="4463"/>
      <c r="AH44" s="2369"/>
      <c r="AI44" s="2331"/>
      <c r="AJ44" s="2920"/>
      <c r="AK44" s="2920"/>
      <c r="AL44" s="2920"/>
      <c r="AM44" s="2920"/>
      <c r="AN44" s="2920"/>
      <c r="AO44" s="2920"/>
      <c r="AP44" s="2920"/>
      <c r="AQ44" s="2920"/>
      <c r="AR44" s="2921"/>
      <c r="AS44" s="2921"/>
      <c r="AT44" s="2921"/>
      <c r="AU44" s="2922"/>
      <c r="AV44" s="2922"/>
      <c r="AW44" s="2922"/>
      <c r="AX44" s="2922"/>
      <c r="AY44" s="2920"/>
    </row>
    <row r="45" spans="1:51" ht="12.2" customHeight="1" thickBot="1" x14ac:dyDescent="0.25">
      <c r="A45" s="2360"/>
      <c r="B45" s="2252"/>
      <c r="C45" s="4463"/>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28"/>
      <c r="AK45" s="2928"/>
      <c r="AL45" s="2928"/>
      <c r="AM45" s="2928"/>
      <c r="AN45" s="2928"/>
      <c r="AO45" s="2928"/>
      <c r="AP45" s="2920"/>
      <c r="AQ45" s="2921"/>
      <c r="AR45" s="2922"/>
      <c r="AS45" s="2922"/>
      <c r="AT45" s="2922"/>
      <c r="AU45" s="2922"/>
      <c r="AV45" s="2922"/>
      <c r="AW45" s="2922"/>
      <c r="AX45" s="2922"/>
      <c r="AY45" s="2929"/>
    </row>
    <row r="46" spans="1:51" ht="12.2" customHeight="1" x14ac:dyDescent="0.2">
      <c r="A46" s="2360"/>
      <c r="B46" s="2252">
        <f t="shared" ref="B46:B76" si="8">1+B12</f>
        <v>2</v>
      </c>
      <c r="C46" s="4507" t="str">
        <f>"Técnica "&amp;B46</f>
        <v>Técnica 2</v>
      </c>
      <c r="D46" s="4497" t="s">
        <v>8918</v>
      </c>
      <c r="E46" s="4498"/>
      <c r="F46" s="4498"/>
      <c r="G46" s="4498"/>
      <c r="H46" s="4498"/>
      <c r="I46" s="4498"/>
      <c r="J46" s="4498"/>
      <c r="K46" s="4498"/>
      <c r="L46" s="4498"/>
      <c r="M46" s="4498"/>
      <c r="N46" s="4499"/>
      <c r="O46" s="4458" t="s">
        <v>1328</v>
      </c>
      <c r="P46" s="4460">
        <v>1</v>
      </c>
      <c r="Q46" s="4377" t="s">
        <v>9002</v>
      </c>
      <c r="R46" s="4453"/>
      <c r="S46" s="4455" t="s">
        <v>1384</v>
      </c>
      <c r="T46" s="4378" t="s">
        <v>1509</v>
      </c>
      <c r="U46" s="4440">
        <f>MAX(IF(P46=3,60,IF(P46=2,40,20)),MIN(SUM(N50:N57)-10*Y55+AC55+IF(S46="Si",10*P46,0)+IF(COUNTIF(K50:M54,"Mantenido")&gt;0,P46*10)+MAX(IF(COUNTIF(K50:M54,"Sostenimiento Menor")&gt;0,P46*20)+IF(COUNTIF(K50:M54,"Sostenimiento Mayor")&gt;0,P46*30))))</f>
        <v>20</v>
      </c>
      <c r="V46" s="4377" t="s">
        <v>9003</v>
      </c>
      <c r="W46" s="4378"/>
      <c r="X46" s="4381" t="str">
        <f>IFERROR(LEFT(AK62&amp;AL62&amp;AM62&amp;AN62&amp;AO62&amp;AP62,LEN(AK62&amp;AL62&amp;AM62&amp;AN62&amp;AO62&amp;AP62)-2),"")</f>
        <v/>
      </c>
      <c r="Y46" s="4381"/>
      <c r="Z46" s="4381"/>
      <c r="AA46" s="4381"/>
      <c r="AB46" s="4381"/>
      <c r="AC46" s="4381"/>
      <c r="AD46" s="4381"/>
      <c r="AE46" s="4381"/>
      <c r="AF46" s="4381"/>
      <c r="AG46" s="4382"/>
      <c r="AH46" s="2369"/>
      <c r="AI46" s="4511"/>
      <c r="AJ46" s="2925" t="s">
        <v>9547</v>
      </c>
      <c r="AK46" s="2925"/>
      <c r="AL46" s="2925"/>
      <c r="AM46" s="2925"/>
      <c r="AN46" s="2925"/>
      <c r="AO46" s="2925"/>
      <c r="AP46" s="2925"/>
      <c r="AQ46" s="2925"/>
      <c r="AR46" s="2925"/>
      <c r="AS46" s="2920"/>
      <c r="AT46" s="2920"/>
      <c r="AU46" s="2920"/>
      <c r="AV46" s="2920"/>
      <c r="AW46" s="2922"/>
      <c r="AX46" s="2922"/>
      <c r="AY46" s="2920"/>
    </row>
    <row r="47" spans="1:51" ht="12.2" customHeight="1" x14ac:dyDescent="0.2">
      <c r="A47" s="2360"/>
      <c r="B47" s="2252">
        <f t="shared" si="8"/>
        <v>2</v>
      </c>
      <c r="C47" s="4508"/>
      <c r="D47" s="4500"/>
      <c r="E47" s="4501"/>
      <c r="F47" s="4501"/>
      <c r="G47" s="4501"/>
      <c r="H47" s="4501"/>
      <c r="I47" s="4501"/>
      <c r="J47" s="4501"/>
      <c r="K47" s="4501"/>
      <c r="L47" s="4501"/>
      <c r="M47" s="4501"/>
      <c r="N47" s="4502"/>
      <c r="O47" s="4459"/>
      <c r="P47" s="4456"/>
      <c r="Q47" s="4379"/>
      <c r="R47" s="4454"/>
      <c r="S47" s="4456"/>
      <c r="T47" s="4380"/>
      <c r="U47" s="4503"/>
      <c r="V47" s="4379"/>
      <c r="W47" s="4380"/>
      <c r="X47" s="4383"/>
      <c r="Y47" s="4383"/>
      <c r="Z47" s="4383"/>
      <c r="AA47" s="4383"/>
      <c r="AB47" s="4383"/>
      <c r="AC47" s="4383"/>
      <c r="AD47" s="4383"/>
      <c r="AE47" s="4383"/>
      <c r="AF47" s="4383"/>
      <c r="AG47" s="4384"/>
      <c r="AH47" s="2369"/>
      <c r="AI47" s="4511"/>
      <c r="AJ47" s="2925"/>
      <c r="AK47" s="2925" t="s">
        <v>9548</v>
      </c>
      <c r="AL47" s="2925" t="s">
        <v>10268</v>
      </c>
      <c r="AM47" s="2926"/>
      <c r="AN47" s="2926"/>
      <c r="AO47" s="2926"/>
      <c r="AP47" s="2926"/>
      <c r="AQ47" s="2926"/>
      <c r="AR47" s="2925"/>
      <c r="AS47" s="2920"/>
      <c r="AT47" s="2920"/>
      <c r="AU47" s="2920"/>
      <c r="AV47" s="2920"/>
      <c r="AW47" s="2922"/>
      <c r="AX47" s="4510" t="s">
        <v>9517</v>
      </c>
      <c r="AY47" s="4510"/>
    </row>
    <row r="48" spans="1:51" ht="12.2" customHeight="1" x14ac:dyDescent="0.2">
      <c r="A48" s="2360"/>
      <c r="B48" s="2252">
        <f t="shared" si="8"/>
        <v>2</v>
      </c>
      <c r="C48" s="4508"/>
      <c r="D48" s="4386" t="s">
        <v>2858</v>
      </c>
      <c r="E48" s="4387"/>
      <c r="F48" s="4387"/>
      <c r="G48" s="4387"/>
      <c r="H48" s="4387"/>
      <c r="I48" s="4387"/>
      <c r="J48" s="4387"/>
      <c r="K48" s="4467" t="s">
        <v>9847</v>
      </c>
      <c r="L48" s="4467"/>
      <c r="M48" s="4467"/>
      <c r="N48" s="4387" t="s">
        <v>1503</v>
      </c>
      <c r="O48" s="4467" t="s">
        <v>2856</v>
      </c>
      <c r="P48" s="4467" t="s">
        <v>9004</v>
      </c>
      <c r="Q48" s="4387" t="s">
        <v>1367</v>
      </c>
      <c r="R48" s="4387"/>
      <c r="S48" s="4387"/>
      <c r="T48" s="4387"/>
      <c r="U48" s="4387"/>
      <c r="V48" s="4376" t="s">
        <v>1376</v>
      </c>
      <c r="W48" s="4354"/>
      <c r="X48" s="4376" t="s">
        <v>1501</v>
      </c>
      <c r="Y48" s="4464"/>
      <c r="Z48" s="4354" t="s">
        <v>1381</v>
      </c>
      <c r="AA48" s="4354"/>
      <c r="AB48" s="4376" t="s">
        <v>1386</v>
      </c>
      <c r="AC48" s="4464"/>
      <c r="AD48" s="4354" t="s">
        <v>1394</v>
      </c>
      <c r="AE48" s="4354"/>
      <c r="AF48" s="4376" t="s">
        <v>1395</v>
      </c>
      <c r="AG48" s="4355"/>
      <c r="AH48" s="2369"/>
      <c r="AI48" s="4511"/>
      <c r="AJ48" s="2920"/>
      <c r="AK48" s="2920"/>
      <c r="AL48" s="2920" t="s">
        <v>9825</v>
      </c>
      <c r="AM48" s="2920"/>
      <c r="AN48" s="2920"/>
      <c r="AO48" s="2920"/>
      <c r="AP48" s="2920"/>
      <c r="AQ48" s="2920"/>
      <c r="AR48" s="2922"/>
      <c r="AS48" s="2922" t="s">
        <v>9537</v>
      </c>
      <c r="AT48" s="2922" t="s">
        <v>9538</v>
      </c>
      <c r="AU48" s="2920" t="s">
        <v>9526</v>
      </c>
      <c r="AV48" s="2920" t="s">
        <v>9527</v>
      </c>
      <c r="AW48" s="2922" t="s">
        <v>1503</v>
      </c>
      <c r="AX48" s="2922" t="s">
        <v>9006</v>
      </c>
      <c r="AY48" s="2920" t="s">
        <v>9007</v>
      </c>
    </row>
    <row r="49" spans="1:51" ht="12.2" customHeight="1" x14ac:dyDescent="0.2">
      <c r="A49" s="2360"/>
      <c r="B49" s="2252">
        <f t="shared" si="8"/>
        <v>2</v>
      </c>
      <c r="C49" s="4508"/>
      <c r="D49" s="4465"/>
      <c r="E49" s="4466"/>
      <c r="F49" s="4466"/>
      <c r="G49" s="4466"/>
      <c r="H49" s="4466"/>
      <c r="I49" s="4466"/>
      <c r="J49" s="4466"/>
      <c r="K49" s="4468"/>
      <c r="L49" s="4468"/>
      <c r="M49" s="4468"/>
      <c r="N49" s="4388"/>
      <c r="O49" s="4468"/>
      <c r="P49" s="4469"/>
      <c r="Q49" s="4388"/>
      <c r="R49" s="4388"/>
      <c r="S49" s="4388"/>
      <c r="T49" s="4388"/>
      <c r="U49" s="4388"/>
      <c r="V49" s="2795" t="s">
        <v>9516</v>
      </c>
      <c r="W49" s="2796" t="s">
        <v>2862</v>
      </c>
      <c r="X49" s="2795" t="s">
        <v>9516</v>
      </c>
      <c r="Y49" s="2796" t="s">
        <v>2862</v>
      </c>
      <c r="Z49" s="2795" t="s">
        <v>9516</v>
      </c>
      <c r="AA49" s="2796" t="s">
        <v>2862</v>
      </c>
      <c r="AB49" s="2795" t="s">
        <v>9516</v>
      </c>
      <c r="AC49" s="2796" t="s">
        <v>2862</v>
      </c>
      <c r="AD49" s="2795" t="s">
        <v>9516</v>
      </c>
      <c r="AE49" s="2796" t="s">
        <v>2862</v>
      </c>
      <c r="AF49" s="2795" t="s">
        <v>9516</v>
      </c>
      <c r="AG49" s="2797" t="s">
        <v>2862</v>
      </c>
      <c r="AH49" s="2369"/>
      <c r="AI49" s="4511"/>
      <c r="AJ49" s="2920"/>
      <c r="AK49" s="2920" t="s">
        <v>9518</v>
      </c>
      <c r="AL49" s="2920">
        <v>1</v>
      </c>
      <c r="AM49" s="2920">
        <v>2</v>
      </c>
      <c r="AN49" s="2920">
        <v>3</v>
      </c>
      <c r="AO49" s="2920">
        <v>4</v>
      </c>
      <c r="AP49" s="2920">
        <v>5</v>
      </c>
      <c r="AQ49" s="2920">
        <v>6</v>
      </c>
      <c r="AR49" s="2920">
        <v>7</v>
      </c>
      <c r="AS49" s="2922"/>
      <c r="AT49" s="2920" t="s">
        <v>9549</v>
      </c>
      <c r="AU49" s="2922"/>
      <c r="AV49" s="2922"/>
      <c r="AW49" s="2922" t="s">
        <v>9549</v>
      </c>
      <c r="AX49" s="2922"/>
      <c r="AY49" s="2920"/>
    </row>
    <row r="50" spans="1:51" ht="12.2" customHeight="1" x14ac:dyDescent="0.2">
      <c r="A50" s="2360"/>
      <c r="B50" s="2252">
        <f t="shared" si="8"/>
        <v>2</v>
      </c>
      <c r="C50" s="4508"/>
      <c r="D50" s="4486" t="s">
        <v>9008</v>
      </c>
      <c r="E50" s="4487"/>
      <c r="F50" s="4488"/>
      <c r="G50" s="4489"/>
      <c r="H50" s="4489"/>
      <c r="I50" s="4489"/>
      <c r="J50" s="4411"/>
      <c r="K50" s="4490" t="s">
        <v>1459</v>
      </c>
      <c r="L50" s="4491"/>
      <c r="M50" s="4492"/>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93" t="str">
        <f>IFERROR(VLOOKUP(F50,'Tablas Técnicas'!$O$9:$T$88,5,FALSE),"")</f>
        <v/>
      </c>
      <c r="R50" s="4493"/>
      <c r="S50" s="4493"/>
      <c r="T50" s="4493"/>
      <c r="U50" s="4493"/>
      <c r="V50" s="2208"/>
      <c r="W50" s="2209"/>
      <c r="X50" s="2208"/>
      <c r="Y50" s="2210"/>
      <c r="Z50" s="2211"/>
      <c r="AA50" s="2209"/>
      <c r="AB50" s="2208"/>
      <c r="AC50" s="2210"/>
      <c r="AD50" s="2211"/>
      <c r="AE50" s="2209"/>
      <c r="AF50" s="2208"/>
      <c r="AG50" s="2212"/>
      <c r="AH50" s="2369"/>
      <c r="AI50" s="4511"/>
      <c r="AJ50" s="2920">
        <v>1</v>
      </c>
      <c r="AK50" s="2920">
        <f>P46</f>
        <v>1</v>
      </c>
      <c r="AL50" s="2920" t="str">
        <f>IF(AND(ISNUMBER(MATCH($F50,'Tablas Técnicas'!$L$10:$L$643,0)),INDEX($D63:$D69,Tablas!A$1)="",COUNTIF(AM50:$AS50,$F50)=0),$F50,IF(INDEX($D63:$D69,Tablas!A$1)="","",$F50&amp;INDEX($D63:$D69,Tablas!A$1)))</f>
        <v/>
      </c>
      <c r="AM50" s="2920" t="str">
        <f>IF(AND(ISNUMBER(MATCH($F50,'Tablas Técnicas'!$L$10:$L$643,0)),INDEX($D63:$D69,Tablas!B$1)="",COUNTIF(AN50:$AS50,$F50)=0),$F50,IF(INDEX($D63:$D69,Tablas!B$1)="","",$F50&amp;INDEX($D63:$D69,Tablas!B$1)))</f>
        <v/>
      </c>
      <c r="AN50" s="2920" t="str">
        <f>IF(AND(ISNUMBER(MATCH($F50,'Tablas Técnicas'!$L$10:$L$643,0)),INDEX($D63:$D69,Tablas!C$1)="",COUNTIF(AO50:$AS50,$F50)=0),$F50,IF(INDEX($D63:$D69,Tablas!C$1)="","",$F50&amp;INDEX($D63:$D69,Tablas!C$1)))</f>
        <v/>
      </c>
      <c r="AO50" s="2920" t="str">
        <f>IF(AND(ISNUMBER(MATCH($F50,'Tablas Técnicas'!$L$10:$L$643,0)),INDEX($D63:$D69,Tablas!D$1)="",COUNTIF(AP50:$AS50,$F50)=0),$F50,IF(INDEX($D63:$D69,Tablas!D$1)="","",$F50&amp;INDEX($D63:$D69,Tablas!D$1)))</f>
        <v/>
      </c>
      <c r="AP50" s="2920" t="str">
        <f>IF(AND(ISNUMBER(MATCH($F50,'Tablas Técnicas'!$L$10:$L$643,0)),INDEX($D63:$D69,Tablas!E$1)="",COUNTIF(AQ50:$AS50,$F50)=0),$F50,IF(INDEX($D63:$D69,Tablas!E$1)="","",$F50&amp;INDEX($D63:$D69,Tablas!E$1)))</f>
        <v/>
      </c>
      <c r="AQ50" s="2920" t="str">
        <f>IF(AND(ISNUMBER(MATCH($F50,'Tablas Técnicas'!$L$10:$L$643,0)),INDEX($D63:$D69,Tablas!F$1)="",COUNTIF(AR50:$AS50,$F50)=0),$F50,IF(INDEX($D63:$D69,Tablas!F$1)="","",$F50&amp;INDEX($D63:$D69,Tablas!F$1)))</f>
        <v/>
      </c>
      <c r="AR50" s="2920" t="str">
        <f>IF(AND(ISNUMBER(MATCH($F50,'Tablas Técnicas'!$L$10:$L$643,0)),INDEX($D63:$D69,Tablas!G$1)="",COUNTIF(AS50:$AS50,$F50)=0),$F50,IF(INDEX($D63:$D69,Tablas!G$1)="","",$F50&amp;INDEX($D63:$D69,Tablas!G$1)))</f>
        <v/>
      </c>
      <c r="AS50" s="2922">
        <f>V50+X50+Z50+AB50+AD50+AF50</f>
        <v>0</v>
      </c>
      <c r="AT50" s="2922">
        <f t="array" ref="AT50">SUM(IF($AL50:$AR50='Tablas Técnicas'!$L$10:$L$643,IF(D50="Primario",'Tablas Técnicas'!$E$10:$E$643,'Tablas Técnicas'!$F$10:$F$643)+IF(K50="Sostenimiento menor",'Tablas Técnicas'!$I$10:$I$643,IF(K50="sostenimiento mayor",'Tablas Técnicas'!$J$10:$J$643,0)),0),0)+VALUE(RIGHT(P50,2))+AU50+AV50</f>
        <v>0</v>
      </c>
      <c r="AU50" s="2922">
        <f>IFERROR(IF(V50=0,0,VALUE(MID(Q50,SEARCH("AGI",Q50)+4,1))),0)+IFERROR(IF(X50=0,0,VALUE(MID(Q50,SEARCH("CON",Q50)+4,1))),0)+IFERROR(IF(Z50=0,0,VALUE(MID(Q50,SEARCH("DES",Q50)+4,1))),0)+IFERROR(IF(AB50=0,0,VALUE(MID(Q50,SEARCH("FUE",Q50)+4,1))),0)+IFERROR(IF(AD50=0,0,VALUE(MID(Q50,SEARCH("POD",Q50)+4,1))),0)+IFERROR(IF(AF50=0,0,VALUE(MID(Q50,SEARCH("VOL",Q50)+4,1))),0)</f>
        <v>0</v>
      </c>
      <c r="AV50" s="2922">
        <f>(COUNTIF(AL50:AR50,"*Estado añadido:*")-1)*COUNTIF(AL50:AR50,"*Estado añadido:*")</f>
        <v>0</v>
      </c>
      <c r="AW50" s="2922">
        <f t="array" ref="AW50">SUM(IF($AL50:$AR50='Tablas Técnicas'!$L$10:$L$643,'Tablas Técnicas'!$G$10:$G$643,0))</f>
        <v>0</v>
      </c>
      <c r="AX50" s="2920" t="str">
        <f>IF(F50="","",F50&amp;" ("&amp;IF(AL50="","",SUBSTITUTE(AL50,F50,"")&amp;", ")&amp;IF(AM50="","",SUBSTITUTE(AM50,F50,"")&amp;", ")&amp;IF(AN50="","",SUBSTITUTE(AN50,F50,"")&amp;", ")&amp;IF(AO50="","",SUBSTITUTE(AO50,F50,"")&amp;", ")&amp;IF(AP50="","",SUBSTITUTE(AP50,F50,"")&amp;", ")&amp;IF(AQ50="","",SUBSTITUTE(AQ50,F50,"")&amp;", ")&amp;IF(AR50="","",SUBSTITUTE(AR50,F50,"")&amp;", ")&amp;IF(OR(K50="",K50="-"),"",K50&amp;", "))</f>
        <v/>
      </c>
      <c r="AY50" s="2920" t="str">
        <f t="shared" ref="AY50:AY52" si="9">IFERROR(LEFT(AX50,LEN(AX50)-2)&amp;"), ","")</f>
        <v/>
      </c>
    </row>
    <row r="51" spans="1:51" ht="12.2" customHeight="1" x14ac:dyDescent="0.2">
      <c r="A51" s="2360"/>
      <c r="B51" s="2252">
        <f t="shared" si="8"/>
        <v>2</v>
      </c>
      <c r="C51" s="4508"/>
      <c r="D51" s="4392" t="s">
        <v>526</v>
      </c>
      <c r="E51" s="4393"/>
      <c r="F51" s="4473"/>
      <c r="G51" s="4474"/>
      <c r="H51" s="4474"/>
      <c r="I51" s="4474"/>
      <c r="J51" s="4420"/>
      <c r="K51" s="4475" t="s">
        <v>1459</v>
      </c>
      <c r="L51" s="4476"/>
      <c r="M51" s="4477"/>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394" t="str">
        <f>IFERROR(VLOOKUP(F51,'Tablas Técnicas'!$O$9:$T$88,5,FALSE),"")</f>
        <v/>
      </c>
      <c r="R51" s="4394"/>
      <c r="S51" s="4394"/>
      <c r="T51" s="4394"/>
      <c r="U51" s="4394"/>
      <c r="V51" s="2213"/>
      <c r="W51" s="2214"/>
      <c r="X51" s="2213"/>
      <c r="Y51" s="2215"/>
      <c r="Z51" s="2216"/>
      <c r="AA51" s="2214"/>
      <c r="AB51" s="2213"/>
      <c r="AC51" s="2215"/>
      <c r="AD51" s="2216"/>
      <c r="AE51" s="2214"/>
      <c r="AF51" s="2213"/>
      <c r="AG51" s="2217"/>
      <c r="AH51" s="2369"/>
      <c r="AI51" s="4511"/>
      <c r="AJ51" s="2920">
        <v>2</v>
      </c>
      <c r="AK51" s="2920">
        <f>P46</f>
        <v>1</v>
      </c>
      <c r="AL51" s="2920" t="str">
        <f>IF(AND(ISNUMBER(MATCH($F51,'Tablas Técnicas'!$L$10:$L$643,0)),INDEX($J63:$J69,Tablas!A$1)="",COUNTIF(AM51:$AS51,$F51)=0),$F51,IF(INDEX($J63:$J69,Tablas!A$1)="","",$F51&amp;INDEX($J63:$J69,Tablas!A$1)))</f>
        <v/>
      </c>
      <c r="AM51" s="2920" t="str">
        <f>IF(AND(ISNUMBER(MATCH($F51,'Tablas Técnicas'!$L$10:$L$643,0)),INDEX($J63:$J69,Tablas!B$1)="",COUNTIF(AN51:$AS51,$F51)=0),$F51,IF(INDEX($J63:$J69,Tablas!B$1)="","",$F51&amp;INDEX($J63:$J69,Tablas!B$1)))</f>
        <v/>
      </c>
      <c r="AN51" s="2920" t="str">
        <f>IF(AND(ISNUMBER(MATCH($F51,'Tablas Técnicas'!$L$10:$L$643,0)),INDEX($J63:$J69,Tablas!C$1)="",COUNTIF(AO51:$AS51,$F51)=0),$F51,IF(INDEX($J63:$J69,Tablas!C$1)="","",$F51&amp;INDEX($J63:$J69,Tablas!C$1)))</f>
        <v/>
      </c>
      <c r="AO51" s="2920" t="str">
        <f>IF(AND(ISNUMBER(MATCH($F51,'Tablas Técnicas'!$L$10:$L$643,0)),INDEX($J63:$J69,Tablas!D$1)="",COUNTIF(AP51:$AS51,$F51)=0),$F51,IF(INDEX($J63:$J69,Tablas!D$1)="","",$F51&amp;INDEX($J63:$J69,Tablas!D$1)))</f>
        <v/>
      </c>
      <c r="AP51" s="2920" t="str">
        <f>IF(AND(ISNUMBER(MATCH($F51,'Tablas Técnicas'!$L$10:$L$643,0)),INDEX($J63:$J69,Tablas!E$1)="",COUNTIF(AQ51:$AS51,$F51)=0),$F51,IF(INDEX($J63:$J69,Tablas!E$1)="","",$F51&amp;INDEX($J63:$J69,Tablas!E$1)))</f>
        <v/>
      </c>
      <c r="AQ51" s="2920" t="str">
        <f>IF(AND(ISNUMBER(MATCH($F51,'Tablas Técnicas'!$L$10:$L$643,0)),INDEX($J63:$J69,Tablas!F$1)="",COUNTIF(AR51:$AS51,$F51)=0),$F51,IF(INDEX($J63:$J69,Tablas!F$1)="","",$F51&amp;INDEX($J63:$J69,Tablas!F$1)))</f>
        <v/>
      </c>
      <c r="AR51" s="2920" t="str">
        <f>IF(AND(ISNUMBER(MATCH($F51,'Tablas Técnicas'!$L$10:$L$643,0)),INDEX($J63:$J69,Tablas!G$1)="",COUNTIF(AS51:$AS51,$F51)=0),$F51,IF(INDEX($J63:$J69,Tablas!G$1)="","",$F51&amp;INDEX($J63:$J69,Tablas!G$1)))</f>
        <v/>
      </c>
      <c r="AS51" s="2922">
        <f>V51+X51+Z51+AB51+AD51+AF51</f>
        <v>0</v>
      </c>
      <c r="AT51" s="2922">
        <f t="array" ref="AT51">SUM(IF($AL51:$AR51='Tablas Técnicas'!$L$10:$L$643,IF(D51="Primario",'Tablas Técnicas'!$E$10:$E$643,'Tablas Técnicas'!$F$10:$F$643)+IF(K51="Sostenimiento menor",'Tablas Técnicas'!$I$10:$I$643,IF(K51="sostenimiento mayor",'Tablas Técnicas'!$J$10:$J$643,0)),0),0)+VALUE(RIGHT(P51,2))+AU51+AV51</f>
        <v>0</v>
      </c>
      <c r="AU51" s="2922">
        <f>IFERROR(IF(V51=0,0,VALUE(MID(Q51,SEARCH("AGI",Q51)+4,1))),0)+IFERROR(IF(X51=0,0,VALUE(MID(Q51,SEARCH("CON",Q51)+4,1))),0)+IFERROR(IF(Z51=0,0,VALUE(MID(Q51,SEARCH("DES",Q51)+4,1))),0)+IFERROR(IF(AB51=0,0,VALUE(MID(Q51,SEARCH("FUE",Q51)+4,1))),0)+IFERROR(IF(AD51=0,0,VALUE(MID(Q51,SEARCH("POD",Q51)+4,1))),0)+IFERROR(IF(AF51=0,0,VALUE(MID(Q51,SEARCH("VOL",Q51)+4,1))),0)</f>
        <v>0</v>
      </c>
      <c r="AV51" s="2922">
        <f>(COUNTIF(AL51:AR51,"*Estado añadido:*")-1)*COUNTIF(AL51:AR51,"*Estado añadido:*")</f>
        <v>0</v>
      </c>
      <c r="AW51" s="2922">
        <f t="array" ref="AW51">SUM(IF($AL51:$AR51='Tablas Técnicas'!$L$10:$L$643,'Tablas Técnicas'!$G$10:$G$643,0))</f>
        <v>0</v>
      </c>
      <c r="AX51" s="2920"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20" t="str">
        <f t="shared" si="9"/>
        <v/>
      </c>
    </row>
    <row r="52" spans="1:51" ht="12.2" customHeight="1" x14ac:dyDescent="0.2">
      <c r="A52" s="2360"/>
      <c r="B52" s="2252">
        <f t="shared" si="8"/>
        <v>2</v>
      </c>
      <c r="C52" s="4508"/>
      <c r="D52" s="4481" t="s">
        <v>526</v>
      </c>
      <c r="E52" s="4482"/>
      <c r="F52" s="4398"/>
      <c r="G52" s="4399"/>
      <c r="H52" s="4399"/>
      <c r="I52" s="4399"/>
      <c r="J52" s="4400"/>
      <c r="K52" s="4478" t="s">
        <v>1459</v>
      </c>
      <c r="L52" s="4479"/>
      <c r="M52" s="4480"/>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483" t="str">
        <f>IFERROR(VLOOKUP(F52,'Tablas Técnicas'!$O$9:$T$88,5,FALSE),"")</f>
        <v/>
      </c>
      <c r="R52" s="4483"/>
      <c r="S52" s="4483"/>
      <c r="T52" s="4483"/>
      <c r="U52" s="4483"/>
      <c r="V52" s="2218"/>
      <c r="W52" s="2219"/>
      <c r="X52" s="2218"/>
      <c r="Y52" s="2220"/>
      <c r="Z52" s="2221"/>
      <c r="AA52" s="2219"/>
      <c r="AB52" s="2218"/>
      <c r="AC52" s="2220"/>
      <c r="AD52" s="2221"/>
      <c r="AE52" s="2219"/>
      <c r="AF52" s="2218"/>
      <c r="AG52" s="2222"/>
      <c r="AH52" s="2369"/>
      <c r="AI52" s="4511"/>
      <c r="AJ52" s="2920">
        <v>3</v>
      </c>
      <c r="AK52" s="2920">
        <f>P46</f>
        <v>1</v>
      </c>
      <c r="AL52" s="2920" t="str">
        <f>IF(AND(ISNUMBER(MATCH($F52,'Tablas Técnicas'!$L$10:$L$643,0)),INDEX($P63:$P69,Tablas!A$1)="",COUNTIF(AM52:$AS52,$F52)=0),$F52,IF(INDEX($P63:$P69,Tablas!A$1)="","",$F52&amp;INDEX($P63:$P69,Tablas!A$1)))</f>
        <v/>
      </c>
      <c r="AM52" s="2920" t="str">
        <f>IF(AND(ISNUMBER(MATCH($F52,'Tablas Técnicas'!$L$10:$L$643,0)),INDEX($P63:$P69,Tablas!B$1)="",COUNTIF(AN52:$AS52,$F52)=0),$F52,IF(INDEX($P63:$P69,Tablas!B$1)="","",$F52&amp;INDEX($P63:$P69,Tablas!B$1)))</f>
        <v/>
      </c>
      <c r="AN52" s="2920" t="str">
        <f>IF(AND(ISNUMBER(MATCH($F52,'Tablas Técnicas'!$L$10:$L$643,0)),INDEX($P63:$P69,Tablas!C$1)="",COUNTIF(AO52:$AS52,$F52)=0),$F52,IF(INDEX($P63:$P69,Tablas!C$1)="","",$F52&amp;INDEX($P63:$P69,Tablas!C$1)))</f>
        <v/>
      </c>
      <c r="AO52" s="2920" t="str">
        <f>IF(AND(ISNUMBER(MATCH($F52,'Tablas Técnicas'!$L$10:$L$643,0)),INDEX($P63:$P69,Tablas!D$1)="",COUNTIF(AP52:$AS52,$F52)=0),$F52,IF(INDEX($P63:$P69,Tablas!D$1)="","",$F52&amp;INDEX($P63:$P69,Tablas!D$1)))</f>
        <v/>
      </c>
      <c r="AP52" s="2920" t="str">
        <f>IF(AND(ISNUMBER(MATCH($F52,'Tablas Técnicas'!$L$10:$L$643,0)),INDEX($P63:$P69,Tablas!E$1)="",COUNTIF(AQ52:$AS52,$F52)=0),$F52,IF(INDEX($P63:$P69,Tablas!E$1)="","",$F52&amp;INDEX($P63:$P69,Tablas!E$1)))</f>
        <v/>
      </c>
      <c r="AQ52" s="2920" t="str">
        <f>IF(AND(ISNUMBER(MATCH($F52,'Tablas Técnicas'!$L$10:$L$643,0)),INDEX($P63:$P69,Tablas!F$1)="",COUNTIF(AR52:$AS52,$F52)=0),$F52,IF(INDEX($P63:$P69,Tablas!F$1)="","",$F52&amp;INDEX($P63:$P69,Tablas!F$1)))</f>
        <v/>
      </c>
      <c r="AR52" s="2920" t="str">
        <f>IF(AND(ISNUMBER(MATCH($F52,'Tablas Técnicas'!$L$10:$L$643,0)),INDEX($P63:$P69,Tablas!G$1)="",COUNTIF(AS52:$AS52,$F52)=0),$F52,IF(INDEX($P63:$P69,Tablas!G$1)="","",$F52&amp;INDEX($P63:$P69,Tablas!G$1)))</f>
        <v/>
      </c>
      <c r="AS52" s="2922">
        <f>V52+X52+Z52+AB52+AD52+AF52</f>
        <v>0</v>
      </c>
      <c r="AT52" s="2922">
        <f t="array" ref="AT52">SUM(IF($AL52:$AR52='Tablas Técnicas'!$L$10:$L$643,IF(D52="Primario",'Tablas Técnicas'!$E$10:$E$643,'Tablas Técnicas'!$F$10:$F$643)+IF(K52="Sostenimiento menor",'Tablas Técnicas'!$I$10:$I$643,IF(K52="sostenimiento mayor",'Tablas Técnicas'!$J$10:$J$643,0)),0),0)+VALUE(RIGHT(P52,2))+AU52+AV52</f>
        <v>0</v>
      </c>
      <c r="AU52" s="2922">
        <f>IFERROR(IF(V52=0,0,VALUE(MID(Q52,SEARCH("AGI",Q52)+4,1))),0)+IFERROR(IF(X52=0,0,VALUE(MID(Q52,SEARCH("CON",Q52)+4,1))),0)+IFERROR(IF(Z52=0,0,VALUE(MID(Q52,SEARCH("DES",Q52)+4,1))),0)+IFERROR(IF(AB52=0,0,VALUE(MID(Q52,SEARCH("FUE",Q52)+4,1))),0)+IFERROR(IF(AD52=0,0,VALUE(MID(Q52,SEARCH("POD",Q52)+4,1))),0)+IFERROR(IF(AF52=0,0,VALUE(MID(Q52,SEARCH("VOL",Q52)+4,1))),0)</f>
        <v>0</v>
      </c>
      <c r="AV52" s="2922">
        <f>(COUNTIF(AL52:AR52,"*Estado añadido:*")-1)*COUNTIF(AL52:AR52,"*Estado añadido:*")</f>
        <v>0</v>
      </c>
      <c r="AW52" s="2922">
        <f t="array" ref="AW52">SUM(IF($AL52:$AR52='Tablas Técnicas'!$L$10:$L$643,'Tablas Técnicas'!$G$10:$G$643,0))</f>
        <v>0</v>
      </c>
      <c r="AX52" s="2920" t="str">
        <f t="shared" si="10"/>
        <v/>
      </c>
      <c r="AY52" s="2920" t="str">
        <f t="shared" si="9"/>
        <v/>
      </c>
    </row>
    <row r="53" spans="1:51" ht="12.2" customHeight="1" x14ac:dyDescent="0.2">
      <c r="A53" s="2360"/>
      <c r="B53" s="2252">
        <f t="shared" si="8"/>
        <v>2</v>
      </c>
      <c r="C53" s="4508"/>
      <c r="D53" s="4392" t="s">
        <v>526</v>
      </c>
      <c r="E53" s="4393"/>
      <c r="F53" s="4473"/>
      <c r="G53" s="4474"/>
      <c r="H53" s="4474"/>
      <c r="I53" s="4474"/>
      <c r="J53" s="4420"/>
      <c r="K53" s="4475" t="s">
        <v>1459</v>
      </c>
      <c r="L53" s="4476"/>
      <c r="M53" s="4477"/>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394" t="str">
        <f>IFERROR(VLOOKUP(F53,'Tablas Técnicas'!$O$9:$T$88,5,FALSE),"")</f>
        <v/>
      </c>
      <c r="R53" s="4394"/>
      <c r="S53" s="4394"/>
      <c r="T53" s="4394"/>
      <c r="U53" s="4394"/>
      <c r="V53" s="2213"/>
      <c r="W53" s="2214"/>
      <c r="X53" s="2213"/>
      <c r="Y53" s="2215"/>
      <c r="Z53" s="2216"/>
      <c r="AA53" s="2214"/>
      <c r="AB53" s="2213"/>
      <c r="AC53" s="2215"/>
      <c r="AD53" s="2216"/>
      <c r="AE53" s="2214"/>
      <c r="AF53" s="2213"/>
      <c r="AG53" s="2217"/>
      <c r="AH53" s="2369"/>
      <c r="AI53" s="4511"/>
      <c r="AJ53" s="2920">
        <v>4</v>
      </c>
      <c r="AK53" s="2920">
        <f>P46</f>
        <v>1</v>
      </c>
      <c r="AL53" s="2920" t="str">
        <f>IF(AND(ISNUMBER(MATCH($F53,'Tablas Técnicas'!$L$10:$L$643,0)),INDEX($V63:$V69,Tablas!A$1)="",COUNTIF(AM53:$AS53,$F53)=0),$F53,IF(INDEX($V63:$V69,Tablas!A$1)="","",$F53&amp;INDEX($V63:$V69,Tablas!A$1)))</f>
        <v/>
      </c>
      <c r="AM53" s="2920" t="str">
        <f>IF(AND(ISNUMBER(MATCH($F53,'Tablas Técnicas'!$L$10:$L$643,0)),INDEX($V63:$V69,Tablas!B$1)="",COUNTIF(AN53:$AS53,$F53)=0),$F53,IF(INDEX($V63:$V69,Tablas!B$1)="","",$F53&amp;INDEX($V63:$V69,Tablas!B$1)))</f>
        <v/>
      </c>
      <c r="AN53" s="2920" t="str">
        <f>IF(AND(ISNUMBER(MATCH($F53,'Tablas Técnicas'!$L$10:$L$643,0)),INDEX($V63:$V69,Tablas!C$1)="",COUNTIF(AO53:$AS53,$F53)=0),$F53,IF(INDEX($V63:$V69,Tablas!C$1)="","",$F53&amp;INDEX($V63:$V69,Tablas!C$1)))</f>
        <v/>
      </c>
      <c r="AO53" s="2920" t="str">
        <f>IF(AND(ISNUMBER(MATCH($F53,'Tablas Técnicas'!$L$10:$L$643,0)),INDEX($V63:$V69,Tablas!D$1)="",COUNTIF(AP53:$AS53,$F53)=0),$F53,IF(INDEX($V63:$V69,Tablas!D$1)="","",$F53&amp;INDEX($V63:$V69,Tablas!D$1)))</f>
        <v/>
      </c>
      <c r="AP53" s="2920" t="str">
        <f>IF(AND(ISNUMBER(MATCH($F53,'Tablas Técnicas'!$L$10:$L$643,0)),INDEX($V63:$V69,Tablas!E$1)="",COUNTIF(AQ53:$AS53,$F53)=0),$F53,IF(INDEX($V63:$V69,Tablas!E$1)="","",$F53&amp;INDEX($V63:$V69,Tablas!E$1)))</f>
        <v/>
      </c>
      <c r="AQ53" s="2920" t="str">
        <f>IF(AND(ISNUMBER(MATCH($F53,'Tablas Técnicas'!$L$10:$L$643,0)),INDEX($V63:$V69,Tablas!F$1)="",COUNTIF(AR53:$AS53,$F53)=0),$F53,IF(INDEX($V63:$V69,Tablas!F$1)="","",$F53&amp;INDEX($V63:$V69,Tablas!F$1)))</f>
        <v/>
      </c>
      <c r="AR53" s="2920" t="str">
        <f>IF(AND(ISNUMBER(MATCH($F53,'Tablas Técnicas'!$L$10:$L$643,0)),INDEX($V63:$V69,Tablas!G$1)="",COUNTIF(AS53:$AS53,$F53)=0),$F53,IF(INDEX($V63:$V69,Tablas!G$1)="","",$F53&amp;INDEX($V63:$V69,Tablas!G$1)))</f>
        <v/>
      </c>
      <c r="AS53" s="2922">
        <f>V53+X53+Z53+AB53+AD53+AF53</f>
        <v>0</v>
      </c>
      <c r="AT53" s="2922">
        <f t="array" ref="AT53">SUM(IF($AL53:$AR53='Tablas Técnicas'!$L$10:$L$643,IF(D53="Primario",'Tablas Técnicas'!$E$10:$E$643,'Tablas Técnicas'!$F$10:$F$643)+IF(K53="Sostenimiento menor",'Tablas Técnicas'!$I$10:$I$643,IF(K53="sostenimiento mayor",'Tablas Técnicas'!$J$10:$J$643,0)),0),0)+VALUE(RIGHT(P53,2))+AU53+AV53</f>
        <v>0</v>
      </c>
      <c r="AU53" s="2922">
        <f>IFERROR(IF(V53=0,0,VALUE(MID(Q53,SEARCH("AGI",Q53)+4,1))),0)+IFERROR(IF(X53=0,0,VALUE(MID(Q53,SEARCH("CON",Q53)+4,1))),0)+IFERROR(IF(Z53=0,0,VALUE(MID(Q53,SEARCH("DES",Q53)+4,1))),0)+IFERROR(IF(AB53=0,0,VALUE(MID(Q53,SEARCH("FUE",Q53)+4,1))),0)+IFERROR(IF(AD53=0,0,VALUE(MID(Q53,SEARCH("POD",Q53)+4,1))),0)+IFERROR(IF(AF53=0,0,VALUE(MID(Q53,SEARCH("VOL",Q53)+4,1))),0)</f>
        <v>0</v>
      </c>
      <c r="AV53" s="2922">
        <f>(COUNTIF(AL53:AR53,"*Estado añadido:*")-1)*COUNTIF(AL53:AR53,"*Estado añadido:*")</f>
        <v>0</v>
      </c>
      <c r="AW53" s="2922">
        <f t="array" ref="AW53">SUM(IF($AL53:$AR53='Tablas Técnicas'!$L$10:$L$643,'Tablas Técnicas'!$G$10:$G$643,0))</f>
        <v>0</v>
      </c>
      <c r="AX53" s="2920" t="str">
        <f t="shared" si="10"/>
        <v/>
      </c>
      <c r="AY53" s="2920" t="str">
        <f>IFERROR(LEFT(AX53,LEN(AX53)-2)&amp;"), ","")</f>
        <v/>
      </c>
    </row>
    <row r="54" spans="1:51" ht="12.2" customHeight="1" thickBot="1" x14ac:dyDescent="0.25">
      <c r="A54" s="2360"/>
      <c r="B54" s="2252">
        <f t="shared" si="8"/>
        <v>2</v>
      </c>
      <c r="C54" s="4508"/>
      <c r="D54" s="4395" t="s">
        <v>526</v>
      </c>
      <c r="E54" s="4396"/>
      <c r="F54" s="4494"/>
      <c r="G54" s="4495"/>
      <c r="H54" s="4495"/>
      <c r="I54" s="4495"/>
      <c r="J54" s="4496"/>
      <c r="K54" s="4470" t="s">
        <v>1459</v>
      </c>
      <c r="L54" s="4471"/>
      <c r="M54" s="4472"/>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397" t="str">
        <f>IFERROR(VLOOKUP(F54,'Tablas Técnicas'!$O$9:$T$88,5,FALSE),"")</f>
        <v/>
      </c>
      <c r="R54" s="4397"/>
      <c r="S54" s="4397"/>
      <c r="T54" s="4397"/>
      <c r="U54" s="4397"/>
      <c r="V54" s="2223"/>
      <c r="W54" s="2224"/>
      <c r="X54" s="2223"/>
      <c r="Y54" s="2225"/>
      <c r="Z54" s="2226"/>
      <c r="AA54" s="2224"/>
      <c r="AB54" s="2223"/>
      <c r="AC54" s="2225"/>
      <c r="AD54" s="2226"/>
      <c r="AE54" s="2224"/>
      <c r="AF54" s="2223"/>
      <c r="AG54" s="2227"/>
      <c r="AH54" s="2369"/>
      <c r="AI54" s="4511"/>
      <c r="AJ54" s="2920">
        <v>5</v>
      </c>
      <c r="AK54" s="2920">
        <f>P46</f>
        <v>1</v>
      </c>
      <c r="AL54" s="2920" t="str">
        <f>IF(AND(ISNUMBER(MATCH($F54,'Tablas Técnicas'!$L$10:$L$643,0)),INDEX($AB63:$AB69,Tablas!A$1)="",COUNTIF(AM54:$AS54,$F54)=0),$F54,IF(INDEX($AB63:$AB69,Tablas!A$1)="","",$F54&amp;INDEX($AB63:$AB69,Tablas!A$1)))</f>
        <v/>
      </c>
      <c r="AM54" s="2920" t="str">
        <f>IF(AND(ISNUMBER(MATCH($F54,'Tablas Técnicas'!$L$10:$L$643,0)),INDEX($AB63:$AB69,Tablas!B$1)="",COUNTIF(AN54:$AS54,$F54)=0),$F54,IF(INDEX($AB63:$AB69,Tablas!B$1)="","",$F54&amp;INDEX($AB63:$AB69,Tablas!B$1)))</f>
        <v/>
      </c>
      <c r="AN54" s="2920" t="str">
        <f>IF(AND(ISNUMBER(MATCH($F54,'Tablas Técnicas'!$L$10:$L$643,0)),INDEX($AB63:$AB69,Tablas!C$1)="",COUNTIF(AO54:$AS54,$F54)=0),$F54,IF(INDEX($AB63:$AB69,Tablas!C$1)="","",$F54&amp;INDEX($AB63:$AB69,Tablas!C$1)))</f>
        <v/>
      </c>
      <c r="AO54" s="2920" t="str">
        <f>IF(AND(ISNUMBER(MATCH($F54,'Tablas Técnicas'!$L$10:$L$643,0)),INDEX($AB63:$AB69,Tablas!D$1)="",COUNTIF(AP54:$AS54,$F54)=0),$F54,IF(INDEX($AB63:$AB69,Tablas!D$1)="","",$F54&amp;INDEX($AB63:$AB69,Tablas!D$1)))</f>
        <v/>
      </c>
      <c r="AP54" s="2920" t="str">
        <f>IF(AND(ISNUMBER(MATCH($F54,'Tablas Técnicas'!$L$10:$L$643,0)),INDEX($AB63:$AB69,Tablas!E$1)="",COUNTIF(AQ54:$AS54,$F54)=0),$F54,IF(INDEX($AB63:$AB69,Tablas!E$1)="","",$F54&amp;INDEX($AB63:$AB69,Tablas!E$1)))</f>
        <v/>
      </c>
      <c r="AQ54" s="2920" t="str">
        <f>IF(AND(ISNUMBER(MATCH($F54,'Tablas Técnicas'!$L$10:$L$643,0)),INDEX($AB63:$AB69,Tablas!F$1)="",COUNTIF(AR54:$AS54,$F54)=0),$F54,IF(INDEX($AB63:$AB69,Tablas!F$1)="","",$F54&amp;INDEX($AB63:$AB69,Tablas!F$1)))</f>
        <v/>
      </c>
      <c r="AR54" s="2920" t="str">
        <f>IF(AND(ISNUMBER(MATCH($F54,'Tablas Técnicas'!$L$10:$L$643,0)),INDEX($AB63:$AB69,Tablas!G$1)="",COUNTIF(AS54:$AS54,$F54)=0),$F54,IF(INDEX($AB63:$AB69,Tablas!G$1)="","",$F54&amp;INDEX($AB63:$AB69,Tablas!G$1)))</f>
        <v/>
      </c>
      <c r="AS54" s="2922">
        <f>V54+X54+Z54+AB54+AD54+AF54</f>
        <v>0</v>
      </c>
      <c r="AT54" s="2922">
        <f t="array" ref="AT54">SUM(IF($AL54:$AR54='Tablas Técnicas'!$L$10:$L$643,IF(D54="Primario",'Tablas Técnicas'!$E$10:$E$643,'Tablas Técnicas'!$F$10:$F$643)+IF(K54="Sostenimiento menor",'Tablas Técnicas'!$I$10:$I$643,IF(K54="sostenimiento mayor",'Tablas Técnicas'!$J$10:$J$643,0)),0),0)+VALUE(RIGHT(P54,2))+AU54+AV54</f>
        <v>0</v>
      </c>
      <c r="AU54" s="2922">
        <f>IFERROR(IF(V54=0,0,VALUE(MID(Q54,SEARCH("AGI",Q54)+4,1))),0)+IFERROR(IF(X54=0,0,VALUE(MID(Q54,SEARCH("CON",Q54)+4,1))),0)+IFERROR(IF(Z54=0,0,VALUE(MID(Q54,SEARCH("DES",Q54)+4,1))),0)+IFERROR(IF(AB54=0,0,VALUE(MID(Q54,SEARCH("FUE",Q54)+4,1))),0)+IFERROR(IF(AD54=0,0,VALUE(MID(Q54,SEARCH("POD",Q54)+4,1))),0)+IFERROR(IF(AF54=0,0,VALUE(MID(Q54,SEARCH("VOL",Q54)+4,1))),0)</f>
        <v>0</v>
      </c>
      <c r="AV54" s="2922">
        <f>(COUNTIF(AL54:AR54,"*Estado añadido:*")-1)*COUNTIF(AL54:AR54,"*Estado añadido:*")</f>
        <v>0</v>
      </c>
      <c r="AW54" s="2922">
        <f t="array" ref="AW54">SUM(IF($AL54:$AR54='Tablas Técnicas'!$L$10:$L$643,'Tablas Técnicas'!$G$10:$G$643,0))</f>
        <v>0</v>
      </c>
      <c r="AX54" s="2920" t="str">
        <f t="shared" si="10"/>
        <v/>
      </c>
      <c r="AY54" s="2920" t="str">
        <f t="shared" ref="AY54" si="11">IFERROR(LEFT(AX54,LEN(AX54)-2)&amp;"), ","")</f>
        <v/>
      </c>
    </row>
    <row r="55" spans="1:51" ht="12.2" customHeight="1" x14ac:dyDescent="0.2">
      <c r="A55" s="2360"/>
      <c r="B55" s="2252">
        <f t="shared" si="8"/>
        <v>2</v>
      </c>
      <c r="C55" s="4508"/>
      <c r="D55" s="4447" t="s">
        <v>2853</v>
      </c>
      <c r="E55" s="4448"/>
      <c r="F55" s="4435"/>
      <c r="G55" s="4436"/>
      <c r="H55" s="4436"/>
      <c r="I55" s="4436"/>
      <c r="J55" s="4437"/>
      <c r="K55" s="4411"/>
      <c r="L55" s="4412"/>
      <c r="M55" s="4413"/>
      <c r="N55" s="2081" t="str">
        <f>IFERROR(INDEX('Tablas Técnicas'!$Q$200:$Q$299,MATCH(F55&amp;K55,'Tablas Técnicas'!$S$200:$S$299,0)),"")</f>
        <v/>
      </c>
      <c r="O55" s="4414"/>
      <c r="P55" s="4415"/>
      <c r="Q55" s="4416"/>
      <c r="R55" s="4415"/>
      <c r="S55" s="2789" t="str">
        <f>IFERROR("Nivel: "&amp;MAX(1,INDEX('Tablas Técnicas'!$R$200:$R$299,MATCH(F55&amp;K55,'Tablas Técnicas'!$S$200:$S$299,0))),"")</f>
        <v/>
      </c>
      <c r="T55" s="2082"/>
      <c r="U55" s="2083" t="str">
        <f>IFERROR("("&amp;VLOOKUP(F55,'Tablas Técnicas'!$V$199:$X$225,3,FALSE)&amp;")","")</f>
        <v/>
      </c>
      <c r="V55" s="4356" t="s">
        <v>9836</v>
      </c>
      <c r="W55" s="4357"/>
      <c r="X55" s="4358"/>
      <c r="Y55" s="2800">
        <v>0</v>
      </c>
      <c r="Z55" s="4372" t="s">
        <v>9013</v>
      </c>
      <c r="AA55" s="4360"/>
      <c r="AB55" s="4361"/>
      <c r="AC55" s="2800">
        <v>0</v>
      </c>
      <c r="AD55" s="4373" t="str">
        <f>"Ki sin repartir: "&amp;AL63-AL64&amp;IF(AM63=0,""," ("&amp;AM63-AM64&amp;")")</f>
        <v>Ki sin repartir: 0</v>
      </c>
      <c r="AE55" s="4363"/>
      <c r="AF55" s="4363"/>
      <c r="AG55" s="4364"/>
      <c r="AH55" s="2369"/>
      <c r="AI55" s="4511"/>
      <c r="AJ55" s="2920">
        <v>1</v>
      </c>
      <c r="AK55" s="2920">
        <f>P46</f>
        <v>1</v>
      </c>
      <c r="AL55" s="2920" t="e">
        <f>VLOOKUP(F55,'Tablas Técnicas'!$V$199:$X$221,2,FALSE)</f>
        <v>#N/A</v>
      </c>
      <c r="AM55" s="2920"/>
      <c r="AN55" s="2921"/>
      <c r="AO55" s="2920"/>
      <c r="AP55" s="2920"/>
      <c r="AQ55" s="2921"/>
      <c r="AR55" s="2920"/>
      <c r="AS55" s="2920"/>
      <c r="AT55" s="2920"/>
      <c r="AU55" s="2920"/>
      <c r="AV55" s="2920"/>
      <c r="AW55" s="2922"/>
      <c r="AX55" s="2922"/>
      <c r="AY55" s="2920" t="str">
        <f>IF(F55="","",F55&amp;IF(K55="",""," ("&amp;IF(F55="Atadura Elemental",O55&amp;IF(Q55="","",", "&amp;Q55),K55)&amp;")")&amp;", ")</f>
        <v/>
      </c>
    </row>
    <row r="56" spans="1:51" ht="12.2" customHeight="1" x14ac:dyDescent="0.2">
      <c r="A56" s="2360"/>
      <c r="B56" s="2252">
        <f t="shared" si="8"/>
        <v>2</v>
      </c>
      <c r="C56" s="4508"/>
      <c r="D56" s="4449"/>
      <c r="E56" s="4450"/>
      <c r="F56" s="4417"/>
      <c r="G56" s="4418"/>
      <c r="H56" s="4418"/>
      <c r="I56" s="4418"/>
      <c r="J56" s="4419"/>
      <c r="K56" s="4420"/>
      <c r="L56" s="4421"/>
      <c r="M56" s="4422"/>
      <c r="N56" s="2084" t="str">
        <f>IFERROR(INDEX('Tablas Técnicas'!$Q$200:$Q$299,MATCH(F56&amp;K56,'Tablas Técnicas'!$S$200:$S$299,0)),"")</f>
        <v/>
      </c>
      <c r="O56" s="4423"/>
      <c r="P56" s="4424"/>
      <c r="Q56" s="4504"/>
      <c r="R56" s="4424"/>
      <c r="S56" s="2798" t="str">
        <f>IFERROR("Nivel: "&amp;MAX(1,INDEX('Tablas Técnicas'!$R$200:$R$299,MATCH(F56&amp;K56,'Tablas Técnicas'!$S$200:$S$299,0))),"")</f>
        <v/>
      </c>
      <c r="T56" s="2801"/>
      <c r="U56" s="2802" t="str">
        <f>IFERROR("("&amp;VLOOKUP(F56,'Tablas Técnicas'!$V$199:$X$225,3,FALSE)&amp;")","")</f>
        <v/>
      </c>
      <c r="V56" s="4353" t="str">
        <f>"Mod. "&amp;V48</f>
        <v>Mod. AGI</v>
      </c>
      <c r="W56" s="4354"/>
      <c r="X56" s="4353" t="str">
        <f t="shared" ref="X56" si="12">"Mod. "&amp;X48</f>
        <v>Mod. CON</v>
      </c>
      <c r="Y56" s="4354"/>
      <c r="Z56" s="4353" t="str">
        <f t="shared" ref="Z56" si="13">"Mod. "&amp;Z48</f>
        <v>Mod. DES</v>
      </c>
      <c r="AA56" s="4354"/>
      <c r="AB56" s="4353" t="str">
        <f t="shared" ref="AB56" si="14">"Mod. "&amp;AB48</f>
        <v>Mod. FUE</v>
      </c>
      <c r="AC56" s="4354"/>
      <c r="AD56" s="4353" t="str">
        <f t="shared" ref="AD56" si="15">"Mod. "&amp;AD48</f>
        <v>Mod. POD</v>
      </c>
      <c r="AE56" s="4354"/>
      <c r="AF56" s="4353" t="str">
        <f t="shared" ref="AF56" si="16">"Mod. "&amp;AF48</f>
        <v>Mod. VOL</v>
      </c>
      <c r="AG56" s="4355"/>
      <c r="AH56" s="2369"/>
      <c r="AI56" s="4511"/>
      <c r="AJ56" s="2920">
        <v>2</v>
      </c>
      <c r="AK56" s="2920">
        <f>P46</f>
        <v>1</v>
      </c>
      <c r="AL56" s="2920" t="e">
        <f>VLOOKUP(F56,'Tablas Técnicas'!$V$199:$X$221,2,FALSE)</f>
        <v>#N/A</v>
      </c>
      <c r="AM56" s="2920"/>
      <c r="AN56" s="2921"/>
      <c r="AO56" s="2920"/>
      <c r="AP56" s="2920"/>
      <c r="AQ56" s="2921"/>
      <c r="AR56" s="2920"/>
      <c r="AS56" s="2920"/>
      <c r="AT56" s="2920"/>
      <c r="AU56" s="2920"/>
      <c r="AV56" s="2920"/>
      <c r="AW56" s="2922"/>
      <c r="AX56" s="2922"/>
      <c r="AY56" s="2920" t="str">
        <f>IF(F56="","",F56&amp;IF(K56="",""," ("&amp;IF(F56="Atadura Elemental",O56&amp;IF(Q56="","",", "&amp;Q56),K56)&amp;")")&amp;", ")</f>
        <v/>
      </c>
    </row>
    <row r="57" spans="1:51" ht="12.2" customHeight="1" thickBot="1" x14ac:dyDescent="0.25">
      <c r="A57" s="2360"/>
      <c r="B57" s="2252">
        <f t="shared" si="8"/>
        <v>2</v>
      </c>
      <c r="C57" s="4508"/>
      <c r="D57" s="4484"/>
      <c r="E57" s="4485"/>
      <c r="F57" s="4426"/>
      <c r="G57" s="4427"/>
      <c r="H57" s="4427"/>
      <c r="I57" s="4427"/>
      <c r="J57" s="4428"/>
      <c r="K57" s="4429"/>
      <c r="L57" s="4430"/>
      <c r="M57" s="4431"/>
      <c r="N57" s="2085" t="str">
        <f>IFERROR(INDEX('Tablas Técnicas'!$Q$200:$Q$299,MATCH(F57&amp;K57,'Tablas Técnicas'!$S$200:$S$299,0)),"")</f>
        <v/>
      </c>
      <c r="O57" s="4432"/>
      <c r="P57" s="4433"/>
      <c r="Q57" s="4462"/>
      <c r="R57" s="4433"/>
      <c r="S57" s="2799" t="str">
        <f>IFERROR("Nivel: "&amp;MAX(1,INDEX('Tablas Técnicas'!$R$200:$R$299,MATCH(F57&amp;K57,'Tablas Técnicas'!$S$200:$S$299,0))),"")</f>
        <v/>
      </c>
      <c r="T57" s="2803"/>
      <c r="U57" s="2804" t="str">
        <f>IFERROR("("&amp;VLOOKUP(F57,'Tablas Técnicas'!$V$199:$X$225,3,FALSE)&amp;")","")</f>
        <v/>
      </c>
      <c r="V57" s="4368"/>
      <c r="W57" s="4367"/>
      <c r="X57" s="4367"/>
      <c r="Y57" s="4367"/>
      <c r="Z57" s="4367"/>
      <c r="AA57" s="4367"/>
      <c r="AB57" s="4367"/>
      <c r="AC57" s="4367"/>
      <c r="AD57" s="4367"/>
      <c r="AE57" s="4367"/>
      <c r="AF57" s="4367"/>
      <c r="AG57" s="4438"/>
      <c r="AH57" s="2369"/>
      <c r="AI57" s="4511"/>
      <c r="AJ57" s="2920">
        <v>3</v>
      </c>
      <c r="AK57" s="2920">
        <f>P46</f>
        <v>1</v>
      </c>
      <c r="AL57" s="2920" t="e">
        <f>VLOOKUP(F57,'Tablas Técnicas'!$V$199:$X$221,2,FALSE)</f>
        <v>#N/A</v>
      </c>
      <c r="AM57" s="2920"/>
      <c r="AN57" s="2921"/>
      <c r="AO57" s="2920"/>
      <c r="AP57" s="2920"/>
      <c r="AQ57" s="2921"/>
      <c r="AR57" s="2922"/>
      <c r="AS57" s="2922"/>
      <c r="AT57" s="2922"/>
      <c r="AU57" s="2922"/>
      <c r="AV57" s="2922"/>
      <c r="AW57" s="2922"/>
      <c r="AX57" s="2922"/>
      <c r="AY57" s="2920" t="str">
        <f>IF(F57="","",F57&amp;IF(K57="",""," ("&amp;IF(F57="Atadura Elemental",O57&amp;IF(Q57="","",", "&amp;Q57),K57)&amp;")")&amp;", ")</f>
        <v/>
      </c>
    </row>
    <row r="58" spans="1:51" ht="12.2" customHeight="1" x14ac:dyDescent="0.2">
      <c r="A58" s="2360"/>
      <c r="B58" s="2252">
        <f t="shared" si="8"/>
        <v>2</v>
      </c>
      <c r="C58" s="4508"/>
      <c r="D58" s="4386" t="s">
        <v>9511</v>
      </c>
      <c r="E58" s="4387"/>
      <c r="F58" s="4387"/>
      <c r="G58" s="4387"/>
      <c r="H58" s="4387"/>
      <c r="I58" s="4387"/>
      <c r="J58" s="4387"/>
      <c r="K58" s="4387"/>
      <c r="L58" s="4387"/>
      <c r="M58" s="4387"/>
      <c r="N58" s="4387"/>
      <c r="O58" s="4387"/>
      <c r="P58" s="4387"/>
      <c r="Q58" s="4387"/>
      <c r="R58" s="4387"/>
      <c r="S58" s="4387"/>
      <c r="T58" s="4387"/>
      <c r="U58" s="4387"/>
      <c r="V58" s="4388"/>
      <c r="W58" s="4388"/>
      <c r="X58" s="4388"/>
      <c r="Y58" s="4388"/>
      <c r="Z58" s="4388"/>
      <c r="AA58" s="4388"/>
      <c r="AB58" s="4388"/>
      <c r="AC58" s="4388"/>
      <c r="AD58" s="4388"/>
      <c r="AE58" s="4388"/>
      <c r="AF58" s="4388"/>
      <c r="AG58" s="4389"/>
      <c r="AH58" s="2369"/>
      <c r="AI58" s="4511"/>
      <c r="AJ58" s="2920"/>
      <c r="AK58" s="2920"/>
      <c r="AL58" s="2920"/>
      <c r="AM58" s="2920"/>
      <c r="AN58" s="2921" t="s">
        <v>9014</v>
      </c>
      <c r="AO58" s="2920" t="e">
        <f>LEFT(AY50&amp;AY51&amp;AY52&amp;AY53&amp;AY54,LEN(AY50&amp;AY51&amp;AY52&amp;AY53&amp;AY54)-2)</f>
        <v>#VALUE!</v>
      </c>
      <c r="AP58" s="2920"/>
      <c r="AQ58" s="2921"/>
      <c r="AR58" s="2922"/>
      <c r="AS58" s="2922"/>
      <c r="AT58" s="2922"/>
      <c r="AU58" s="2921"/>
      <c r="AV58" s="2921"/>
      <c r="AW58" s="2922"/>
      <c r="AX58" s="2922"/>
      <c r="AY58" s="2920"/>
    </row>
    <row r="59" spans="1:51" ht="12.2" customHeight="1" x14ac:dyDescent="0.2">
      <c r="A59" s="2360"/>
      <c r="B59" s="2252">
        <f t="shared" si="8"/>
        <v>2</v>
      </c>
      <c r="C59" s="4508"/>
      <c r="D59" s="4369" t="str">
        <f>IF(F50="","",F50)</f>
        <v/>
      </c>
      <c r="E59" s="4370"/>
      <c r="F59" s="4370"/>
      <c r="G59" s="4370"/>
      <c r="H59" s="4370"/>
      <c r="I59" s="4371"/>
      <c r="J59" s="4369" t="str">
        <f>IF(F51="","",F51)</f>
        <v/>
      </c>
      <c r="K59" s="4370"/>
      <c r="L59" s="4370"/>
      <c r="M59" s="4370"/>
      <c r="N59" s="4370"/>
      <c r="O59" s="4371"/>
      <c r="P59" s="4370" t="str">
        <f>IF(F52="","",F52)</f>
        <v/>
      </c>
      <c r="Q59" s="4370"/>
      <c r="R59" s="4370"/>
      <c r="S59" s="4370"/>
      <c r="T59" s="4370"/>
      <c r="U59" s="4371"/>
      <c r="V59" s="4369" t="str">
        <f>IF(F53="","",F53)</f>
        <v/>
      </c>
      <c r="W59" s="4370"/>
      <c r="X59" s="4370"/>
      <c r="Y59" s="4370"/>
      <c r="Z59" s="4370"/>
      <c r="AA59" s="4371"/>
      <c r="AB59" s="4370" t="str">
        <f>IF(F54="","",F54)</f>
        <v/>
      </c>
      <c r="AC59" s="4370"/>
      <c r="AD59" s="4370"/>
      <c r="AE59" s="4370"/>
      <c r="AF59" s="4370"/>
      <c r="AG59" s="4385"/>
      <c r="AH59" s="2369"/>
      <c r="AI59" s="4511"/>
      <c r="AJ59" s="2920"/>
      <c r="AK59" s="2920"/>
      <c r="AL59" s="2920"/>
      <c r="AM59" s="2920"/>
      <c r="AN59" s="2921" t="s">
        <v>9015</v>
      </c>
      <c r="AO59" s="2920" t="e">
        <f>LEFT(AY55&amp;AY56&amp;AY57,LEN(AY55&amp;AY56&amp;AY57)-2)</f>
        <v>#VALUE!</v>
      </c>
      <c r="AP59" s="2920"/>
      <c r="AQ59" s="2921"/>
      <c r="AR59" s="2922"/>
      <c r="AS59" s="2922"/>
      <c r="AT59" s="2922"/>
      <c r="AU59" s="2921"/>
      <c r="AV59" s="2921"/>
      <c r="AW59" s="2922"/>
      <c r="AX59" s="2922"/>
      <c r="AY59" s="2920"/>
    </row>
    <row r="60" spans="1:51" ht="12.2" customHeight="1" x14ac:dyDescent="0.2">
      <c r="A60" s="2360"/>
      <c r="B60" s="2252">
        <f t="shared" si="8"/>
        <v>2</v>
      </c>
      <c r="C60" s="4508"/>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511"/>
      <c r="AJ60" s="2920"/>
      <c r="AK60" s="2920"/>
      <c r="AL60" s="2920"/>
      <c r="AM60" s="2920"/>
      <c r="AN60" s="2921"/>
      <c r="AO60" s="2920"/>
      <c r="AP60" s="2920"/>
      <c r="AQ60" s="2921"/>
      <c r="AR60" s="2922"/>
      <c r="AS60" s="2922"/>
      <c r="AT60" s="2922"/>
      <c r="AU60" s="2922"/>
      <c r="AV60" s="2922"/>
      <c r="AW60" s="2922"/>
      <c r="AX60" s="2922"/>
      <c r="AY60" s="2920"/>
    </row>
    <row r="61" spans="1:51" ht="12.2" customHeight="1" x14ac:dyDescent="0.2">
      <c r="A61" s="2360"/>
      <c r="B61" s="2252">
        <f t="shared" si="8"/>
        <v>2</v>
      </c>
      <c r="C61" s="4508"/>
      <c r="D61" s="2198" t="s">
        <v>9016</v>
      </c>
      <c r="E61" s="2806"/>
      <c r="F61" s="2805"/>
      <c r="G61" s="2807"/>
      <c r="H61" s="2807"/>
      <c r="I61" s="2804" t="str">
        <f>IFERROR(IF(D59="Ataque Elemental",IF(NOT(ISNA(VLOOKUP(D63,'Tablas Técnicas'!$Z$25:$Z$30,1,0))),D63,"Variable"),VLOOKUP(D59,'Tablas Técnicas'!$O$9:$W$88,9,FALSE)),"")</f>
        <v/>
      </c>
      <c r="J61" s="2808" t="s">
        <v>9016</v>
      </c>
      <c r="K61" s="2809"/>
      <c r="L61" s="2810"/>
      <c r="M61" s="2811"/>
      <c r="N61" s="2811"/>
      <c r="O61" s="2812" t="str">
        <f>IFERROR(IF(J59="Ataque Elemental",IF(NOT(ISNA(VLOOKUP(J63,'Tablas Técnicas'!$Z$25:$Z$30,1,0))),J63,"Variable"),VLOOKUP(J59,'Tablas Técnicas'!$O$9:$W$88,9,FALSE)),"")</f>
        <v/>
      </c>
      <c r="P61" s="2813" t="s">
        <v>9016</v>
      </c>
      <c r="Q61" s="2809"/>
      <c r="R61" s="2810"/>
      <c r="S61" s="2811"/>
      <c r="T61" s="2811"/>
      <c r="U61" s="2804" t="str">
        <f>IFERROR(IF(P59="Ataque Elemental",IF(NOT(ISNA(VLOOKUP(P63,'Tablas Técnicas'!$Z$25:$Z$30,1,0))),P63,"Variable"),VLOOKUP(P59,'Tablas Técnicas'!$O$9:$W$88,9,FALSE)),"")</f>
        <v/>
      </c>
      <c r="V61" s="2808" t="s">
        <v>9016</v>
      </c>
      <c r="W61" s="2809"/>
      <c r="X61" s="2810"/>
      <c r="Y61" s="2811"/>
      <c r="Z61" s="2811"/>
      <c r="AA61" s="2812" t="str">
        <f>IFERROR(IF(V59="Ataque Elemental",IF(NOT(ISNA(VLOOKUP(V63,'Tablas Técnicas'!$Z$25:$Z$30,1,0))),V63,"Variable"),VLOOKUP(V59,'Tablas Técnicas'!$O$9:$W$88,9,FALSE)),"")</f>
        <v/>
      </c>
      <c r="AB61" s="2813" t="s">
        <v>9016</v>
      </c>
      <c r="AC61" s="2809"/>
      <c r="AD61" s="2810"/>
      <c r="AE61" s="2811"/>
      <c r="AF61" s="2811"/>
      <c r="AG61" s="2203" t="str">
        <f>IFERROR(IF(AB59="Ataque Elemental",IF(NOT(ISNA(VLOOKUP(AB63,'Tablas Técnicas'!$Z$25:$Z$30,1,0))),AB63,"Variable"),VLOOKUP(AB59,'Tablas Técnicas'!$O$9:$W$88,9,FALSE)),"")</f>
        <v/>
      </c>
      <c r="AH61" s="2369"/>
      <c r="AI61" s="4511"/>
      <c r="AJ61" s="2920"/>
      <c r="AK61" s="2922" t="s">
        <v>1376</v>
      </c>
      <c r="AL61" s="2922" t="s">
        <v>1501</v>
      </c>
      <c r="AM61" s="2922" t="s">
        <v>1381</v>
      </c>
      <c r="AN61" s="2922" t="s">
        <v>1386</v>
      </c>
      <c r="AO61" s="2922" t="s">
        <v>1394</v>
      </c>
      <c r="AP61" s="2922" t="s">
        <v>1395</v>
      </c>
      <c r="AQ61" s="2921"/>
      <c r="AR61" s="2922"/>
      <c r="AS61" s="2922"/>
      <c r="AT61" s="2922"/>
      <c r="AU61" s="2922"/>
      <c r="AV61" s="2922"/>
      <c r="AW61" s="2922"/>
      <c r="AX61" s="2922"/>
      <c r="AY61" s="2920"/>
    </row>
    <row r="62" spans="1:51" ht="12.2" customHeight="1" x14ac:dyDescent="0.2">
      <c r="A62" s="2360"/>
      <c r="B62" s="2252">
        <f t="shared" si="8"/>
        <v>2</v>
      </c>
      <c r="C62" s="4508"/>
      <c r="D62" s="4369" t="s">
        <v>2861</v>
      </c>
      <c r="E62" s="4370"/>
      <c r="F62" s="4370"/>
      <c r="G62" s="4370"/>
      <c r="H62" s="4371"/>
      <c r="I62" s="2090" t="s">
        <v>1406</v>
      </c>
      <c r="J62" s="4369" t="s">
        <v>2861</v>
      </c>
      <c r="K62" s="4370"/>
      <c r="L62" s="4370"/>
      <c r="M62" s="4370"/>
      <c r="N62" s="4371"/>
      <c r="O62" s="2091" t="s">
        <v>1406</v>
      </c>
      <c r="P62" s="4369" t="s">
        <v>2861</v>
      </c>
      <c r="Q62" s="4370"/>
      <c r="R62" s="4370"/>
      <c r="S62" s="4370"/>
      <c r="T62" s="4371"/>
      <c r="U62" s="2091" t="s">
        <v>1406</v>
      </c>
      <c r="V62" s="4369"/>
      <c r="W62" s="4370"/>
      <c r="X62" s="4370"/>
      <c r="Y62" s="4370"/>
      <c r="Z62" s="4371"/>
      <c r="AA62" s="2091" t="s">
        <v>1406</v>
      </c>
      <c r="AB62" s="4369" t="s">
        <v>2861</v>
      </c>
      <c r="AC62" s="4370"/>
      <c r="AD62" s="4370"/>
      <c r="AE62" s="4370"/>
      <c r="AF62" s="4371"/>
      <c r="AG62" s="2092" t="s">
        <v>1406</v>
      </c>
      <c r="AH62" s="2369"/>
      <c r="AI62" s="4511"/>
      <c r="AJ62" s="2925" t="s">
        <v>9548</v>
      </c>
      <c r="AK62" s="2920" t="str">
        <f>IF(V48="","",IF(SUM(V50:V54)=0,"",V48&amp;" "&amp;SUM(V50:V54)+V57&amp;IF(SUM(W50:W54)=0,""," ("&amp;SUM(W50:W54)&amp;")")&amp;", "))</f>
        <v/>
      </c>
      <c r="AL62" s="2920" t="str">
        <f>IF(X48="","",IF(SUM(X50:X54)=0,"",X48&amp;" "&amp;SUM(X50:X54)+X57&amp;IF(SUM(Y50:Y54)=0,""," ("&amp;SUM(Y50:Y54)&amp;")")&amp;", "))</f>
        <v/>
      </c>
      <c r="AM62" s="2920" t="str">
        <f>IF(Z48="","",IF(SUM(Z50:Z54)=0,"",Z48&amp;" "&amp;SUM(Z50:Z54)+Z57&amp;IF(SUM(AA50:AA54)=0,""," ("&amp;SUM(AA50:AA54)&amp;")")&amp;", "))</f>
        <v/>
      </c>
      <c r="AN62" s="2920" t="str">
        <f>IF(AB48="","",IF(SUM(AB50:AB54)=0,"",AB48&amp;" "&amp;SUM(AB50:AB54)+AB57&amp;IF(SUM(AC50:AC54)=0,""," ("&amp;SUM(AC50:AC54)&amp;")")&amp;", "))</f>
        <v/>
      </c>
      <c r="AO62" s="2920" t="str">
        <f>IF(AD48="","",IF(SUM(AD50:AD54)=0,"",AD48&amp;" "&amp;SUM(AD50:AD54)+AD57&amp;IF(SUM(AE50:AE54)=0,""," ("&amp;SUM(AE50:AE54)&amp;")")&amp;", "))</f>
        <v/>
      </c>
      <c r="AP62" s="2920" t="str">
        <f>IF(AF48="","",IF(SUM(AF50:AF54)=0,"",AF48&amp;" "&amp;SUM(AF50:AF54)+AF57&amp;IF(SUM(AG50:AG54)=0,""," ("&amp;SUM(AG50:AG54)&amp;")")&amp;", "))</f>
        <v/>
      </c>
      <c r="AQ62" s="2920"/>
      <c r="AR62" s="2920"/>
      <c r="AS62" s="2920"/>
      <c r="AT62" s="2920"/>
      <c r="AU62" s="2920"/>
      <c r="AV62" s="2920"/>
      <c r="AW62" s="2920"/>
      <c r="AX62" s="2920"/>
      <c r="AY62" s="2920"/>
    </row>
    <row r="63" spans="1:51" ht="12.2" customHeight="1" x14ac:dyDescent="0.2">
      <c r="A63" s="2360"/>
      <c r="B63" s="2252">
        <f t="shared" si="8"/>
        <v>2</v>
      </c>
      <c r="C63" s="4508"/>
      <c r="D63" s="4390"/>
      <c r="E63" s="4366"/>
      <c r="F63" s="4366"/>
      <c r="G63" s="4366"/>
      <c r="H63" s="4366"/>
      <c r="I63" s="2093" t="str">
        <f>IF(OR(D59="",D63=""),"",MAX(1,SUMPRODUCT(--(INDEX('Tablas Técnicas'!$C$10:$L$643,,1)=D59),--(INDEX('Tablas Técnicas'!$C$10:$L$643,,2)=D63),INDEX('Tablas Técnicas'!$C$10:$L$643,,9))))</f>
        <v/>
      </c>
      <c r="J63" s="4365"/>
      <c r="K63" s="4366"/>
      <c r="L63" s="4366"/>
      <c r="M63" s="4366"/>
      <c r="N63" s="4366"/>
      <c r="O63" s="2093" t="str">
        <f>IF(OR(J59="",J63=""),"",MAX(1,SUMPRODUCT(--(INDEX('Tablas Técnicas'!$C$10:$L$643,,1)=J59),--(INDEX('Tablas Técnicas'!$C$10:$L$643,,2)=J63),INDEX('Tablas Técnicas'!$C$10:$L$643,,9))))</f>
        <v/>
      </c>
      <c r="P63" s="4365"/>
      <c r="Q63" s="4366"/>
      <c r="R63" s="4366"/>
      <c r="S63" s="4366"/>
      <c r="T63" s="4366"/>
      <c r="U63" s="2093" t="str">
        <f>IF(OR(P59="",P63=""),"",MAX(1,SUMPRODUCT(--(INDEX('Tablas Técnicas'!$C$10:$L$643,,1)=P59),--(INDEX('Tablas Técnicas'!$C$10:$L$643,,2)=P63),INDEX('Tablas Técnicas'!$C$10:$L$643,,9))))</f>
        <v/>
      </c>
      <c r="V63" s="4365"/>
      <c r="W63" s="4366"/>
      <c r="X63" s="4366"/>
      <c r="Y63" s="4366"/>
      <c r="Z63" s="4366"/>
      <c r="AA63" s="2093" t="str">
        <f>IF(OR(V59="",V63=""),"",MAX(1,SUMPRODUCT(--(INDEX('Tablas Técnicas'!$C$10:$L$643,,1)=V59),--(INDEX('Tablas Técnicas'!$C$10:$L$643,,2)=V63),INDEX('Tablas Técnicas'!$C$10:$L$643,,9))))</f>
        <v/>
      </c>
      <c r="AB63" s="4365"/>
      <c r="AC63" s="4366"/>
      <c r="AD63" s="4366"/>
      <c r="AE63" s="4366"/>
      <c r="AF63" s="4366"/>
      <c r="AG63" s="2094" t="str">
        <f>IF(OR(AB59="",AB63=""),"",MAX(1,SUMPRODUCT(--(INDEX('Tablas Técnicas'!$C$10:$L$643,,1)=AB59),--(INDEX('Tablas Técnicas'!$C$10:$L$643,,2)=AB63),INDEX('Tablas Técnicas'!$C$10:$L$643,,9))))</f>
        <v/>
      </c>
      <c r="AH63" s="2369">
        <f>P46</f>
        <v>1</v>
      </c>
      <c r="AI63" s="4511"/>
      <c r="AJ63" s="2920" t="s">
        <v>9512</v>
      </c>
      <c r="AK63" s="2920"/>
      <c r="AL63" s="2920">
        <f>MAX(0,SUM(AT50:AT54)+ABS($AC55*2/5))+IF(AM72,0,Y55)+IF(S46="Si",3*P46,0)</f>
        <v>0</v>
      </c>
      <c r="AM63" s="2920">
        <f t="array" ref="AM63">IF(ISNUMBER(SEARCH("Mantenido",K50&amp;K51&amp;K52&amp;K53&amp;K54)),MAX(0,SUM(VALUE(RIGHT($P50:$P54,2)))),0)</f>
        <v>0</v>
      </c>
      <c r="AN63" s="2922"/>
      <c r="AO63" s="2922"/>
      <c r="AP63" s="2927"/>
      <c r="AQ63" s="2927"/>
      <c r="AR63" s="2927"/>
      <c r="AS63" s="2927"/>
      <c r="AT63" s="2927"/>
      <c r="AU63" s="2927"/>
      <c r="AV63" s="2927"/>
      <c r="AW63" s="2927"/>
      <c r="AX63" s="2927"/>
      <c r="AY63" s="2920"/>
    </row>
    <row r="64" spans="1:51" ht="12.2" customHeight="1" x14ac:dyDescent="0.2">
      <c r="A64" s="2360"/>
      <c r="B64" s="2252">
        <f t="shared" si="8"/>
        <v>2</v>
      </c>
      <c r="C64" s="4508"/>
      <c r="D64" s="4374"/>
      <c r="E64" s="4375"/>
      <c r="F64" s="4375"/>
      <c r="G64" s="4375"/>
      <c r="H64" s="4375"/>
      <c r="I64" s="2095" t="str">
        <f>IF(OR(D59="",D64=""),"",MAX(1,SUMPRODUCT(--(INDEX('Tablas Técnicas'!$C$10:$L$643,,1)=D59),--(INDEX('Tablas Técnicas'!$C$10:$L$643,,2)=D64),INDEX('Tablas Técnicas'!$C$10:$L$643,,9))))</f>
        <v/>
      </c>
      <c r="J64" s="4374"/>
      <c r="K64" s="4375"/>
      <c r="L64" s="4375"/>
      <c r="M64" s="4375"/>
      <c r="N64" s="4375"/>
      <c r="O64" s="2095" t="str">
        <f>IF(OR(J59="",J64=""),"",MAX(1,SUMPRODUCT(--(INDEX('Tablas Técnicas'!$C$10:$L$643,,1)=J59),--(INDEX('Tablas Técnicas'!$C$10:$L$643,,2)=J64),INDEX('Tablas Técnicas'!$C$10:$L$643,,9))))</f>
        <v/>
      </c>
      <c r="P64" s="4374"/>
      <c r="Q64" s="4375"/>
      <c r="R64" s="4375"/>
      <c r="S64" s="4375"/>
      <c r="T64" s="4375"/>
      <c r="U64" s="2095" t="str">
        <f>IF(OR(P59="",P64=""),"",MAX(1,SUMPRODUCT(--(INDEX('Tablas Técnicas'!$C$10:$L$643,,1)=P59),--(INDEX('Tablas Técnicas'!$C$10:$L$643,,2)=P64),INDEX('Tablas Técnicas'!$C$10:$L$643,,9))))</f>
        <v/>
      </c>
      <c r="V64" s="4374"/>
      <c r="W64" s="4375"/>
      <c r="X64" s="4375"/>
      <c r="Y64" s="4375"/>
      <c r="Z64" s="4375"/>
      <c r="AA64" s="2095" t="str">
        <f>IF(OR(V59="",V64=""),"",MAX(1,SUMPRODUCT(--(INDEX('Tablas Técnicas'!$C$10:$L$643,,1)=V59),--(INDEX('Tablas Técnicas'!$C$10:$L$643,,2)=V64),INDEX('Tablas Técnicas'!$C$10:$L$643,,9))))</f>
        <v/>
      </c>
      <c r="AB64" s="4374"/>
      <c r="AC64" s="4375"/>
      <c r="AD64" s="4375"/>
      <c r="AE64" s="4375"/>
      <c r="AF64" s="4375"/>
      <c r="AG64" s="2096" t="str">
        <f>IF(OR(AB59="",AB64=""),"",MAX(1,SUMPRODUCT(--(INDEX('Tablas Técnicas'!$C$10:$L$643,,1)=AB59),--(INDEX('Tablas Técnicas'!$C$10:$L$643,,2)=AB64),INDEX('Tablas Técnicas'!$C$10:$L$643,,9))))</f>
        <v/>
      </c>
      <c r="AH64" s="2369">
        <f>P46</f>
        <v>1</v>
      </c>
      <c r="AI64" s="4511"/>
      <c r="AJ64" s="2920" t="s">
        <v>9018</v>
      </c>
      <c r="AK64" s="2920"/>
      <c r="AL64" s="2920">
        <f>SUM(V50:V54,X50:X54,Z50:Z54,AB50:AB54,AD50:AD54,AF50:AF54)+SUM(V57:AG57)</f>
        <v>0</v>
      </c>
      <c r="AM64" s="2920">
        <f>SUM(W50:W54,Y50:Y54,AA50:AA54,AC50:AC54,AE50:AE54,AG50:AG54)</f>
        <v>0</v>
      </c>
      <c r="AN64" s="2920"/>
      <c r="AO64" s="2920"/>
      <c r="AP64" s="2920"/>
      <c r="AQ64" s="2920"/>
      <c r="AR64" s="2920"/>
      <c r="AS64" s="2920"/>
      <c r="AT64" s="2920"/>
      <c r="AU64" s="2920"/>
      <c r="AV64" s="2920"/>
      <c r="AW64" s="2922"/>
      <c r="AX64" s="2920"/>
      <c r="AY64" s="2920"/>
    </row>
    <row r="65" spans="1:51" ht="12.2" customHeight="1" x14ac:dyDescent="0.2">
      <c r="A65" s="2360"/>
      <c r="B65" s="2252">
        <f t="shared" si="8"/>
        <v>2</v>
      </c>
      <c r="C65" s="4508"/>
      <c r="D65" s="4374"/>
      <c r="E65" s="4375"/>
      <c r="F65" s="4375"/>
      <c r="G65" s="4375"/>
      <c r="H65" s="4375"/>
      <c r="I65" s="2095" t="str">
        <f>IF(OR(D59="",D65=""),"",MAX(1,SUMPRODUCT(--(INDEX('Tablas Técnicas'!$C$10:$L$643,,1)=D59),--(INDEX('Tablas Técnicas'!$C$10:$L$643,,2)=D65),INDEX('Tablas Técnicas'!$C$10:$L$643,,9))))</f>
        <v/>
      </c>
      <c r="J65" s="4374"/>
      <c r="K65" s="4375"/>
      <c r="L65" s="4375"/>
      <c r="M65" s="4375"/>
      <c r="N65" s="4375"/>
      <c r="O65" s="2095" t="str">
        <f>IF(OR(J59="",J65=""),"",MAX(1,SUMPRODUCT(--(INDEX('Tablas Técnicas'!$C$10:$L$643,,1)=J59),--(INDEX('Tablas Técnicas'!$C$10:$L$643,,2)=J65),INDEX('Tablas Técnicas'!$C$10:$L$643,,9))))</f>
        <v/>
      </c>
      <c r="P65" s="4374"/>
      <c r="Q65" s="4375"/>
      <c r="R65" s="4375"/>
      <c r="S65" s="4375"/>
      <c r="T65" s="4375"/>
      <c r="U65" s="2095" t="str">
        <f>IF(OR(P59="",P65=""),"",MAX(1,SUMPRODUCT(--(INDEX('Tablas Técnicas'!$C$10:$L$643,,1)=P59),--(INDEX('Tablas Técnicas'!$C$10:$L$643,,2)=P65),INDEX('Tablas Técnicas'!$C$10:$L$643,,9))))</f>
        <v/>
      </c>
      <c r="V65" s="4374"/>
      <c r="W65" s="4375"/>
      <c r="X65" s="4375"/>
      <c r="Y65" s="4375"/>
      <c r="Z65" s="4375"/>
      <c r="AA65" s="2095" t="str">
        <f>IF(OR(V59="",V65=""),"",MAX(1,SUMPRODUCT(--(INDEX('Tablas Técnicas'!$C$10:$L$643,,1)=V59),--(INDEX('Tablas Técnicas'!$C$10:$L$643,,2)=V65),INDEX('Tablas Técnicas'!$C$10:$L$643,,9))))</f>
        <v/>
      </c>
      <c r="AB65" s="4374"/>
      <c r="AC65" s="4375"/>
      <c r="AD65" s="4375"/>
      <c r="AE65" s="4375"/>
      <c r="AF65" s="4375"/>
      <c r="AG65" s="2096" t="str">
        <f>IF(OR(AB59="",AB65=""),"",MAX(1,SUMPRODUCT(--(INDEX('Tablas Técnicas'!$C$10:$L$643,,1)=AB59),--(INDEX('Tablas Técnicas'!$C$10:$L$643,,2)=AB65),INDEX('Tablas Técnicas'!$C$10:$L$643,,9))))</f>
        <v/>
      </c>
      <c r="AH65" s="2369">
        <f>P46</f>
        <v>1</v>
      </c>
      <c r="AI65" s="4511"/>
      <c r="AJ65" s="2920"/>
      <c r="AK65" s="2920"/>
      <c r="AL65" s="2920"/>
      <c r="AM65" s="2920"/>
      <c r="AN65" s="2920"/>
      <c r="AO65" s="2920"/>
      <c r="AP65" s="2920"/>
      <c r="AQ65" s="2920"/>
      <c r="AR65" s="2920"/>
      <c r="AS65" s="2920"/>
      <c r="AT65" s="2920"/>
      <c r="AU65" s="2920"/>
      <c r="AV65" s="2920"/>
      <c r="AW65" s="2922"/>
      <c r="AX65" s="2922"/>
      <c r="AY65" s="2920"/>
    </row>
    <row r="66" spans="1:51" ht="12.2" customHeight="1" x14ac:dyDescent="0.2">
      <c r="A66" s="2360"/>
      <c r="B66" s="2252">
        <f t="shared" si="8"/>
        <v>2</v>
      </c>
      <c r="C66" s="4508"/>
      <c r="D66" s="4374"/>
      <c r="E66" s="4375"/>
      <c r="F66" s="4375"/>
      <c r="G66" s="4375"/>
      <c r="H66" s="4375"/>
      <c r="I66" s="2095" t="str">
        <f>IF(OR(D59="",D66=""),"",MAX(1,SUMPRODUCT(--(INDEX('Tablas Técnicas'!$C$10:$L$643,,1)=D59),--(INDEX('Tablas Técnicas'!$C$10:$L$643,,2)=D66),INDEX('Tablas Técnicas'!$C$10:$L$643,,9))))</f>
        <v/>
      </c>
      <c r="J66" s="4374"/>
      <c r="K66" s="4375"/>
      <c r="L66" s="4375"/>
      <c r="M66" s="4375"/>
      <c r="N66" s="4375"/>
      <c r="O66" s="2095" t="str">
        <f>IF(OR(J59="",J66=""),"",MAX(1,SUMPRODUCT(--(INDEX('Tablas Técnicas'!$C$10:$L$643,,1)=J59),--(INDEX('Tablas Técnicas'!$C$10:$L$643,,2)=J66),INDEX('Tablas Técnicas'!$C$10:$L$643,,9))))</f>
        <v/>
      </c>
      <c r="P66" s="4374"/>
      <c r="Q66" s="4375"/>
      <c r="R66" s="4375"/>
      <c r="S66" s="4375"/>
      <c r="T66" s="4375"/>
      <c r="U66" s="2095" t="str">
        <f>IF(OR(P59="",P66=""),"",MAX(1,SUMPRODUCT(--(INDEX('Tablas Técnicas'!$C$10:$L$643,,1)=P59),--(INDEX('Tablas Técnicas'!$C$10:$L$643,,2)=P66),INDEX('Tablas Técnicas'!$C$10:$L$643,,9))))</f>
        <v/>
      </c>
      <c r="V66" s="4374"/>
      <c r="W66" s="4375"/>
      <c r="X66" s="4375"/>
      <c r="Y66" s="4375"/>
      <c r="Z66" s="4375"/>
      <c r="AA66" s="2095" t="str">
        <f>IF(OR(V59="",V66=""),"",MAX(1,SUMPRODUCT(--(INDEX('Tablas Técnicas'!$C$10:$L$643,,1)=V59),--(INDEX('Tablas Técnicas'!$C$10:$L$643,,2)=V66),INDEX('Tablas Técnicas'!$C$10:$L$643,,9))))</f>
        <v/>
      </c>
      <c r="AB66" s="4374"/>
      <c r="AC66" s="4375"/>
      <c r="AD66" s="4375"/>
      <c r="AE66" s="4375"/>
      <c r="AF66" s="4375"/>
      <c r="AG66" s="2096" t="str">
        <f>IF(OR(AB59="",AB66=""),"",MAX(1,SUMPRODUCT(--(INDEX('Tablas Técnicas'!$C$10:$L$643,,1)=AB59),--(INDEX('Tablas Técnicas'!$C$10:$L$643,,2)=AB66),INDEX('Tablas Técnicas'!$C$10:$L$643,,9))))</f>
        <v/>
      </c>
      <c r="AH66" s="2369">
        <f>P46</f>
        <v>1</v>
      </c>
      <c r="AI66" s="4511"/>
      <c r="AJ66" s="2920" t="s">
        <v>9019</v>
      </c>
      <c r="AK66" s="2920"/>
      <c r="AL66" s="2920"/>
      <c r="AM66" s="2920"/>
      <c r="AN66" s="2920"/>
      <c r="AO66" s="2920"/>
      <c r="AP66" s="2920"/>
      <c r="AQ66" s="2921"/>
      <c r="AR66" s="2922"/>
      <c r="AS66" s="2922"/>
      <c r="AT66" s="2922"/>
      <c r="AU66" s="2922"/>
      <c r="AV66" s="2922"/>
      <c r="AW66" s="2922"/>
      <c r="AX66" s="2922"/>
      <c r="AY66" s="2920"/>
    </row>
    <row r="67" spans="1:51" ht="12.2" customHeight="1" x14ac:dyDescent="0.2">
      <c r="A67" s="2360"/>
      <c r="B67" s="2252">
        <f t="shared" si="8"/>
        <v>2</v>
      </c>
      <c r="C67" s="4508"/>
      <c r="D67" s="4374"/>
      <c r="E67" s="4375"/>
      <c r="F67" s="4375"/>
      <c r="G67" s="4375"/>
      <c r="H67" s="4375"/>
      <c r="I67" s="2095" t="str">
        <f>IF(OR(D59="",D67=""),"",MAX(1,SUMPRODUCT(--(INDEX('Tablas Técnicas'!$C$10:$L$643,,1)=D59),--(INDEX('Tablas Técnicas'!$C$10:$L$643,,2)=D67),INDEX('Tablas Técnicas'!$C$10:$L$643,,9))))</f>
        <v/>
      </c>
      <c r="J67" s="4374"/>
      <c r="K67" s="4375"/>
      <c r="L67" s="4375"/>
      <c r="M67" s="4375"/>
      <c r="N67" s="4375"/>
      <c r="O67" s="2095" t="str">
        <f>IF(OR(J59="",J67=""),"",MAX(1,SUMPRODUCT(--(INDEX('Tablas Técnicas'!$C$10:$L$643,,1)=J59),--(INDEX('Tablas Técnicas'!$C$10:$L$643,,2)=J67),INDEX('Tablas Técnicas'!$C$10:$L$643,,9))))</f>
        <v/>
      </c>
      <c r="P67" s="4374"/>
      <c r="Q67" s="4375"/>
      <c r="R67" s="4375"/>
      <c r="S67" s="4375"/>
      <c r="T67" s="4375"/>
      <c r="U67" s="2095" t="str">
        <f>IF(OR(P59="",P67=""),"",MAX(1,SUMPRODUCT(--(INDEX('Tablas Técnicas'!$C$10:$L$643,,1)=P59),--(INDEX('Tablas Técnicas'!$C$10:$L$643,,2)=P67),INDEX('Tablas Técnicas'!$C$10:$L$643,,9))))</f>
        <v/>
      </c>
      <c r="V67" s="4374"/>
      <c r="W67" s="4375"/>
      <c r="X67" s="4375"/>
      <c r="Y67" s="4375"/>
      <c r="Z67" s="4375"/>
      <c r="AA67" s="2095" t="str">
        <f>IF(OR(V59="",V67=""),"",MAX(1,SUMPRODUCT(--(INDEX('Tablas Técnicas'!$C$10:$L$643,,1)=V59),--(INDEX('Tablas Técnicas'!$C$10:$L$643,,2)=V67),INDEX('Tablas Técnicas'!$C$10:$L$643,,9))))</f>
        <v/>
      </c>
      <c r="AB67" s="4374"/>
      <c r="AC67" s="4375"/>
      <c r="AD67" s="4375"/>
      <c r="AE67" s="4375"/>
      <c r="AF67" s="4375"/>
      <c r="AG67" s="2096" t="str">
        <f>IF(OR(AB59="",AB67=""),"",MAX(1,SUMPRODUCT(--(INDEX('Tablas Técnicas'!$C$10:$L$643,,1)=AB59),--(INDEX('Tablas Técnicas'!$C$10:$L$643,,2)=AB67),INDEX('Tablas Técnicas'!$C$10:$L$643,,9))))</f>
        <v/>
      </c>
      <c r="AH67" s="2369">
        <f>P46</f>
        <v>1</v>
      </c>
      <c r="AI67" s="4511"/>
      <c r="AJ67" s="2920" t="s">
        <v>10184</v>
      </c>
      <c r="AK67" s="2920"/>
      <c r="AL67" s="2920"/>
      <c r="AM67" s="2920" t="b">
        <f>U46&gt;IF(P46=3,200,IF(P46=2,100,50))</f>
        <v>0</v>
      </c>
      <c r="AN67" s="2920"/>
      <c r="AO67" s="2920"/>
      <c r="AP67" s="2920"/>
      <c r="AQ67" s="2920"/>
      <c r="AR67" s="2922"/>
      <c r="AS67" s="2922"/>
      <c r="AT67" s="2922"/>
      <c r="AU67" s="2922"/>
      <c r="AV67" s="2922"/>
      <c r="AW67" s="2922"/>
      <c r="AX67" s="2922"/>
      <c r="AY67" s="2920"/>
    </row>
    <row r="68" spans="1:51" ht="12.2" customHeight="1" x14ac:dyDescent="0.2">
      <c r="A68" s="2360"/>
      <c r="B68" s="2252">
        <f t="shared" si="8"/>
        <v>2</v>
      </c>
      <c r="C68" s="4508"/>
      <c r="D68" s="4374"/>
      <c r="E68" s="4375"/>
      <c r="F68" s="4375"/>
      <c r="G68" s="4375"/>
      <c r="H68" s="4375"/>
      <c r="I68" s="2095" t="str">
        <f>IF(OR(D59="",D68=""),"",MAX(1,SUMPRODUCT(--(INDEX('Tablas Técnicas'!$C$10:$L$643,,1)=D59),--(INDEX('Tablas Técnicas'!$C$10:$L$643,,2)=D68),INDEX('Tablas Técnicas'!$C$10:$L$643,,9))))</f>
        <v/>
      </c>
      <c r="J68" s="4374"/>
      <c r="K68" s="4375"/>
      <c r="L68" s="4375"/>
      <c r="M68" s="4375"/>
      <c r="N68" s="4375"/>
      <c r="O68" s="2095" t="str">
        <f>IF(OR(J59="",J68=""),"",MAX(1,SUMPRODUCT(--(INDEX('Tablas Técnicas'!$C$10:$L$643,,1)=J59),--(INDEX('Tablas Técnicas'!$C$10:$L$643,,2)=J68),INDEX('Tablas Técnicas'!$C$10:$L$643,,9))))</f>
        <v/>
      </c>
      <c r="P68" s="4374"/>
      <c r="Q68" s="4375"/>
      <c r="R68" s="4375"/>
      <c r="S68" s="4375"/>
      <c r="T68" s="4375"/>
      <c r="U68" s="2095" t="str">
        <f>IF(OR(P59="",P68=""),"",MAX(1,SUMPRODUCT(--(INDEX('Tablas Técnicas'!$C$10:$L$643,,1)=P59),--(INDEX('Tablas Técnicas'!$C$10:$L$643,,2)=P68),INDEX('Tablas Técnicas'!$C$10:$L$643,,9))))</f>
        <v/>
      </c>
      <c r="V68" s="4374"/>
      <c r="W68" s="4375"/>
      <c r="X68" s="4375"/>
      <c r="Y68" s="4375"/>
      <c r="Z68" s="4375"/>
      <c r="AA68" s="2095" t="str">
        <f>IF(OR(V59="",V68=""),"",MAX(1,SUMPRODUCT(--(INDEX('Tablas Técnicas'!$C$10:$L$643,,1)=V59),--(INDEX('Tablas Técnicas'!$C$10:$L$643,,2)=V68),INDEX('Tablas Técnicas'!$C$10:$L$643,,9))))</f>
        <v/>
      </c>
      <c r="AB68" s="4374"/>
      <c r="AC68" s="4375"/>
      <c r="AD68" s="4375"/>
      <c r="AE68" s="4375"/>
      <c r="AF68" s="4375"/>
      <c r="AG68" s="2096" t="str">
        <f>IF(OR(AB59="",AB68=""),"",MAX(1,SUMPRODUCT(--(INDEX('Tablas Técnicas'!$C$10:$L$643,,1)=AB59),--(INDEX('Tablas Técnicas'!$C$10:$L$643,,2)=AB68),INDEX('Tablas Técnicas'!$C$10:$L$643,,9))))</f>
        <v/>
      </c>
      <c r="AH68" s="2369">
        <f>P46</f>
        <v>1</v>
      </c>
      <c r="AI68" s="4511"/>
      <c r="AJ68" s="2920" t="s">
        <v>9020</v>
      </c>
      <c r="AK68" s="2920"/>
      <c r="AL68" s="2920"/>
      <c r="AM68" s="2920" t="b">
        <f t="array" ref="AM68">MAX(I63:I69,O63:O69,U63:U69,AA63:AA69,AG63:AG69,RIGHT(S55:S57,1))&gt;P46</f>
        <v>0</v>
      </c>
      <c r="AN68" s="2920"/>
      <c r="AO68" s="2920"/>
      <c r="AP68" s="2920"/>
      <c r="AQ68" s="2921"/>
      <c r="AR68" s="2922"/>
      <c r="AS68" s="2922"/>
      <c r="AT68" s="2922"/>
      <c r="AU68" s="2922"/>
      <c r="AV68" s="2922"/>
      <c r="AW68" s="2922"/>
      <c r="AX68" s="2922"/>
      <c r="AY68" s="2920"/>
    </row>
    <row r="69" spans="1:51" ht="12.2" customHeight="1" x14ac:dyDescent="0.2">
      <c r="A69" s="2360"/>
      <c r="B69" s="2252">
        <f t="shared" si="8"/>
        <v>2</v>
      </c>
      <c r="C69" s="4508"/>
      <c r="D69" s="4401"/>
      <c r="E69" s="4402"/>
      <c r="F69" s="4402"/>
      <c r="G69" s="4402"/>
      <c r="H69" s="4402"/>
      <c r="I69" s="2097" t="str">
        <f>IF(OR(D59="",D69=""),"",MAX(1,SUMPRODUCT(--(INDEX('Tablas Técnicas'!$C$10:$L$643,,1)=D59),--(INDEX('Tablas Técnicas'!$C$10:$L$643,,2)=D69),INDEX('Tablas Técnicas'!$C$10:$L$643,,9))))</f>
        <v/>
      </c>
      <c r="J69" s="4401"/>
      <c r="K69" s="4402"/>
      <c r="L69" s="4402"/>
      <c r="M69" s="4402"/>
      <c r="N69" s="4402"/>
      <c r="O69" s="2097" t="str">
        <f>IF(OR(J59="",J69=""),"",MAX(1,SUMPRODUCT(--(INDEX('Tablas Técnicas'!$C$10:$L$643,,1)=J59),--(INDEX('Tablas Técnicas'!$C$10:$L$643,,2)=J69),INDEX('Tablas Técnicas'!$C$10:$L$643,,9))))</f>
        <v/>
      </c>
      <c r="P69" s="4401"/>
      <c r="Q69" s="4402"/>
      <c r="R69" s="4402"/>
      <c r="S69" s="4402"/>
      <c r="T69" s="4402"/>
      <c r="U69" s="2097" t="str">
        <f>IF(OR(P59="",P69=""),"",MAX(1,SUMPRODUCT(--(INDEX('Tablas Técnicas'!$C$10:$L$643,,1)=P59),--(INDEX('Tablas Técnicas'!$C$10:$L$643,,2)=P69),INDEX('Tablas Técnicas'!$C$10:$L$643,,9))))</f>
        <v/>
      </c>
      <c r="V69" s="4401"/>
      <c r="W69" s="4402"/>
      <c r="X69" s="4402"/>
      <c r="Y69" s="4402"/>
      <c r="Z69" s="4402"/>
      <c r="AA69" s="2097" t="str">
        <f>IF(OR(V59="",V69=""),"",MAX(1,SUMPRODUCT(--(INDEX('Tablas Técnicas'!$C$10:$L$643,,1)=V59),--(INDEX('Tablas Técnicas'!$C$10:$L$643,,2)=V69),INDEX('Tablas Técnicas'!$C$10:$L$643,,9))))</f>
        <v/>
      </c>
      <c r="AB69" s="4401"/>
      <c r="AC69" s="4402"/>
      <c r="AD69" s="4402"/>
      <c r="AE69" s="4402"/>
      <c r="AF69" s="4402"/>
      <c r="AG69" s="2098" t="str">
        <f>IF(OR(AB59="",AB69=""),"",MAX(1,SUMPRODUCT(--(INDEX('Tablas Técnicas'!$C$10:$L$643,,1)=AB59),--(INDEX('Tablas Técnicas'!$C$10:$L$643,,2)=AB69),INDEX('Tablas Técnicas'!$C$10:$L$643,,9))))</f>
        <v/>
      </c>
      <c r="AH69" s="2369">
        <f>P46</f>
        <v>1</v>
      </c>
      <c r="AI69" s="4511"/>
      <c r="AJ69" s="2920" t="s">
        <v>9529</v>
      </c>
      <c r="AK69" s="2920"/>
      <c r="AL69" s="2920"/>
      <c r="AM69" s="2920" t="b">
        <f>AND(COUNTIF(K50:M54,"Mantenido"),OR(COUNTIF(K50:M54,"Sostenimiento Menor"),COUNTIF(K50:M54,"Sostenimiento Mayor")))</f>
        <v>0</v>
      </c>
      <c r="AN69" s="2921"/>
      <c r="AO69" s="2920"/>
      <c r="AP69" s="2920"/>
      <c r="AQ69" s="2920"/>
      <c r="AR69" s="2920"/>
      <c r="AS69" s="2920"/>
      <c r="AT69" s="2920"/>
      <c r="AU69" s="2922"/>
      <c r="AV69" s="2922"/>
      <c r="AW69" s="2922"/>
      <c r="AX69" s="2922"/>
      <c r="AY69" s="2920"/>
    </row>
    <row r="70" spans="1:51" ht="12.2" customHeight="1" x14ac:dyDescent="0.2">
      <c r="A70" s="2360"/>
      <c r="B70" s="2252">
        <f t="shared" si="8"/>
        <v>2</v>
      </c>
      <c r="C70" s="4508"/>
      <c r="D70" s="4386" t="s">
        <v>1553</v>
      </c>
      <c r="E70" s="4387"/>
      <c r="F70" s="4387"/>
      <c r="G70" s="4387"/>
      <c r="H70" s="4387"/>
      <c r="I70" s="4387"/>
      <c r="J70" s="4387"/>
      <c r="K70" s="4387"/>
      <c r="L70" s="4387"/>
      <c r="M70" s="4387"/>
      <c r="N70" s="4387"/>
      <c r="O70" s="4387"/>
      <c r="P70" s="4387"/>
      <c r="Q70" s="4387"/>
      <c r="R70" s="4387"/>
      <c r="S70" s="4387"/>
      <c r="T70" s="4387"/>
      <c r="U70" s="4387"/>
      <c r="V70" s="4387"/>
      <c r="W70" s="4387"/>
      <c r="X70" s="4387"/>
      <c r="Y70" s="4387"/>
      <c r="Z70" s="4387"/>
      <c r="AA70" s="4387"/>
      <c r="AB70" s="4387"/>
      <c r="AC70" s="4387"/>
      <c r="AD70" s="4387"/>
      <c r="AE70" s="4387"/>
      <c r="AF70" s="4387"/>
      <c r="AG70" s="4442"/>
      <c r="AH70" s="2369"/>
      <c r="AI70" s="4511"/>
      <c r="AJ70" s="2920" t="s">
        <v>9528</v>
      </c>
      <c r="AK70" s="2920"/>
      <c r="AL70" s="2920"/>
      <c r="AM70" s="2920" t="b">
        <f>OR(AND(ISNUMBER(SEARCH("Sostenimiento",K50)),OR(P46=1,MAX(I63:I69)=3)),AND(ISNUMBER(SEARCH("Sostenimiento",K51)),OR(P46=1,MAX(O63:O69)=3)),AND(ISNUMBER(SEARCH("Sostenimiento",K52)),OR(P46=1,MAX(U63:U69)=3)),AND(ISNUMBER(SEARCH("Sostenimiento",K53)),OR(P46=1,MAX(AA63:AA69)=3)),AND(ISNUMBER(SEARCH("Sostenimiento",K54)),OR(P46=1,MAX(AG63:AG69)=3)))</f>
        <v>0</v>
      </c>
      <c r="AN70" s="2920"/>
      <c r="AO70" s="2920"/>
      <c r="AP70" s="2920"/>
      <c r="AQ70" s="2921"/>
      <c r="AR70" s="2920"/>
      <c r="AS70" s="2920"/>
      <c r="AT70" s="2920"/>
      <c r="AU70" s="2922"/>
      <c r="AV70" s="2922"/>
      <c r="AW70" s="2922"/>
      <c r="AX70" s="2922"/>
      <c r="AY70" s="2920"/>
    </row>
    <row r="71" spans="1:51" ht="12.2" customHeight="1" x14ac:dyDescent="0.2">
      <c r="A71" s="2360"/>
      <c r="B71" s="2252">
        <f t="shared" si="8"/>
        <v>2</v>
      </c>
      <c r="C71" s="4508"/>
      <c r="D71" s="4443"/>
      <c r="E71" s="4461"/>
      <c r="F71" s="4461"/>
      <c r="G71" s="4461"/>
      <c r="H71" s="4461"/>
      <c r="I71" s="4461"/>
      <c r="J71" s="4461"/>
      <c r="K71" s="4461"/>
      <c r="L71" s="4461"/>
      <c r="M71" s="4461"/>
      <c r="N71" s="4461"/>
      <c r="O71" s="4461"/>
      <c r="P71" s="4461"/>
      <c r="Q71" s="4461"/>
      <c r="R71" s="4461"/>
      <c r="S71" s="4461"/>
      <c r="T71" s="4461"/>
      <c r="U71" s="4461"/>
      <c r="V71" s="4461"/>
      <c r="W71" s="4461"/>
      <c r="X71" s="4461"/>
      <c r="Y71" s="4461"/>
      <c r="Z71" s="4461"/>
      <c r="AA71" s="4461"/>
      <c r="AB71" s="4461"/>
      <c r="AC71" s="4461"/>
      <c r="AD71" s="4461"/>
      <c r="AE71" s="4461"/>
      <c r="AF71" s="4461"/>
      <c r="AG71" s="4445"/>
      <c r="AH71" s="2369"/>
      <c r="AI71" s="4511"/>
      <c r="AJ71" s="2920" t="s">
        <v>9536</v>
      </c>
      <c r="AK71" s="2920"/>
      <c r="AL71" s="2920"/>
      <c r="AM71" s="292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20"/>
      <c r="AO71" s="2920"/>
      <c r="AP71" s="2920"/>
      <c r="AQ71" s="2921"/>
      <c r="AR71" s="2920"/>
      <c r="AS71" s="2920"/>
      <c r="AT71" s="2920"/>
      <c r="AU71" s="2922"/>
      <c r="AV71" s="2922"/>
      <c r="AW71" s="2922"/>
      <c r="AX71" s="2922"/>
      <c r="AY71" s="2920"/>
    </row>
    <row r="72" spans="1:51" ht="12.2" customHeight="1" x14ac:dyDescent="0.2">
      <c r="A72" s="2360"/>
      <c r="B72" s="2252">
        <f t="shared" si="8"/>
        <v>2</v>
      </c>
      <c r="C72" s="4508"/>
      <c r="D72" s="4443"/>
      <c r="E72" s="4461"/>
      <c r="F72" s="4461"/>
      <c r="G72" s="4461"/>
      <c r="H72" s="4461"/>
      <c r="I72" s="4461"/>
      <c r="J72" s="4461"/>
      <c r="K72" s="4461"/>
      <c r="L72" s="4461"/>
      <c r="M72" s="4461"/>
      <c r="N72" s="4461"/>
      <c r="O72" s="4461"/>
      <c r="P72" s="4461"/>
      <c r="Q72" s="4461"/>
      <c r="R72" s="4461"/>
      <c r="S72" s="4461"/>
      <c r="T72" s="4461"/>
      <c r="U72" s="4461"/>
      <c r="V72" s="4461"/>
      <c r="W72" s="4461"/>
      <c r="X72" s="4461"/>
      <c r="Y72" s="4461"/>
      <c r="Z72" s="4461"/>
      <c r="AA72" s="4461"/>
      <c r="AB72" s="4461"/>
      <c r="AC72" s="4461"/>
      <c r="AD72" s="4461"/>
      <c r="AE72" s="4461"/>
      <c r="AF72" s="4461"/>
      <c r="AG72" s="4445"/>
      <c r="AH72" s="2369"/>
      <c r="AI72" s="4511"/>
      <c r="AJ72" s="2920" t="s">
        <v>9515</v>
      </c>
      <c r="AK72" s="2920"/>
      <c r="AL72" s="2920"/>
      <c r="AM72" s="2920" t="b">
        <f>AND((IF(SUM(V50:V54)&gt;0,1,0)+IF(SUM(X50:X54)&gt;0,1,0)+IF(SUM(Z50:Z54)&gt;0,1,0)+IF(SUM(AB50:AB54)&gt;0,1,0)+IF(SUM(AD50:AD54,)&gt;0,1,0)+IF(SUM(AF50:AF54)&gt;0,1,0))&lt;3,OR(V57&lt;0,X57&lt;0,Z57&lt;0,AB57&lt;0,AD57&lt;0,AF57&lt;0,Y55&lt;0))</f>
        <v>0</v>
      </c>
      <c r="AN72" s="2920"/>
      <c r="AO72" s="2920"/>
      <c r="AP72" s="2920"/>
      <c r="AQ72" s="2921"/>
      <c r="AR72" s="2920"/>
      <c r="AS72" s="2920"/>
      <c r="AT72" s="2920"/>
      <c r="AU72" s="2922"/>
      <c r="AV72" s="2922"/>
      <c r="AW72" s="2922"/>
      <c r="AX72" s="2922"/>
      <c r="AY72" s="2920"/>
    </row>
    <row r="73" spans="1:51" ht="12.2" customHeight="1" x14ac:dyDescent="0.2">
      <c r="A73" s="2360"/>
      <c r="B73" s="2252">
        <f t="shared" si="8"/>
        <v>2</v>
      </c>
      <c r="C73" s="4508"/>
      <c r="D73" s="4443"/>
      <c r="E73" s="4461"/>
      <c r="F73" s="4461"/>
      <c r="G73" s="4461"/>
      <c r="H73" s="4461"/>
      <c r="I73" s="4461"/>
      <c r="J73" s="4461"/>
      <c r="K73" s="4461"/>
      <c r="L73" s="4461"/>
      <c r="M73" s="4461"/>
      <c r="N73" s="4461"/>
      <c r="O73" s="4461"/>
      <c r="P73" s="4461"/>
      <c r="Q73" s="4461"/>
      <c r="R73" s="4461"/>
      <c r="S73" s="4461"/>
      <c r="T73" s="4461"/>
      <c r="U73" s="4461"/>
      <c r="V73" s="4461"/>
      <c r="W73" s="4461"/>
      <c r="X73" s="4461"/>
      <c r="Y73" s="4461"/>
      <c r="Z73" s="4461"/>
      <c r="AA73" s="4461"/>
      <c r="AB73" s="4461"/>
      <c r="AC73" s="4461"/>
      <c r="AD73" s="4461"/>
      <c r="AE73" s="4461"/>
      <c r="AF73" s="4461"/>
      <c r="AG73" s="4445"/>
      <c r="AH73" s="2369"/>
      <c r="AI73" s="4511"/>
      <c r="AJ73" s="2920" t="s">
        <v>9530</v>
      </c>
      <c r="AK73" s="2920"/>
      <c r="AL73" s="2920"/>
      <c r="AM73" s="2920" t="b">
        <f>OR(-V57&gt;TRUNC(SUM(V50:V54)/2),-X57&gt;TRUNC(SUM(X50:X54)/2),-Z57&gt;TRUNC(SUM(Z50:Z54)/2),-AB57&gt;TRUNC(SUM(AB50:AB54)/2),-AD57&gt;TRUNC(SUM(AD50:AD54)/2),-AF57&gt;TRUNC(SUM(AF50:AF54)/2))</f>
        <v>0</v>
      </c>
      <c r="AN73" s="2920"/>
      <c r="AO73" s="2920"/>
      <c r="AP73" s="2920"/>
      <c r="AQ73" s="2921"/>
      <c r="AR73" s="2920"/>
      <c r="AS73" s="2920"/>
      <c r="AT73" s="2920"/>
      <c r="AU73" s="2922"/>
      <c r="AV73" s="2922"/>
      <c r="AW73" s="2922"/>
      <c r="AX73" s="2922"/>
      <c r="AY73" s="2920"/>
    </row>
    <row r="74" spans="1:51" ht="12.2" customHeight="1" x14ac:dyDescent="0.2">
      <c r="A74" s="2360"/>
      <c r="B74" s="2252">
        <f t="shared" si="8"/>
        <v>2</v>
      </c>
      <c r="C74" s="4508"/>
      <c r="D74" s="4443"/>
      <c r="E74" s="4461"/>
      <c r="F74" s="4461"/>
      <c r="G74" s="4461"/>
      <c r="H74" s="4461"/>
      <c r="I74" s="4461"/>
      <c r="J74" s="4461"/>
      <c r="K74" s="4461"/>
      <c r="L74" s="4461"/>
      <c r="M74" s="4461"/>
      <c r="N74" s="4461"/>
      <c r="O74" s="4461"/>
      <c r="P74" s="4461"/>
      <c r="Q74" s="4461"/>
      <c r="R74" s="4461"/>
      <c r="S74" s="4461"/>
      <c r="T74" s="4461"/>
      <c r="U74" s="4461"/>
      <c r="V74" s="4461"/>
      <c r="W74" s="4461"/>
      <c r="X74" s="4461"/>
      <c r="Y74" s="4461"/>
      <c r="Z74" s="4461"/>
      <c r="AA74" s="4461"/>
      <c r="AB74" s="4461"/>
      <c r="AC74" s="4461"/>
      <c r="AD74" s="4461"/>
      <c r="AE74" s="4461"/>
      <c r="AF74" s="4461"/>
      <c r="AG74" s="4445"/>
      <c r="AH74" s="2369"/>
      <c r="AI74" s="4511"/>
      <c r="AJ74" s="2920" t="s">
        <v>9531</v>
      </c>
      <c r="AK74" s="2920"/>
      <c r="AL74" s="2920"/>
      <c r="AM74" s="2920" t="b">
        <f>COUNTIF(D50:E54,"Primario")&gt;1</f>
        <v>0</v>
      </c>
      <c r="AN74" s="2920"/>
      <c r="AO74" s="2920"/>
      <c r="AP74" s="2920"/>
      <c r="AQ74" s="2921"/>
      <c r="AR74" s="2921"/>
      <c r="AS74" s="2921"/>
      <c r="AT74" s="2921"/>
      <c r="AU74" s="2922"/>
      <c r="AV74" s="2922"/>
      <c r="AW74" s="2922"/>
      <c r="AX74" s="2920"/>
      <c r="AY74" s="2920"/>
    </row>
    <row r="75" spans="1:51" ht="12.2" customHeight="1" x14ac:dyDescent="0.2">
      <c r="A75" s="2360"/>
      <c r="B75" s="2252">
        <f t="shared" si="8"/>
        <v>2</v>
      </c>
      <c r="C75" s="4508"/>
      <c r="D75" s="4443"/>
      <c r="E75" s="4461"/>
      <c r="F75" s="4461"/>
      <c r="G75" s="4461"/>
      <c r="H75" s="4461"/>
      <c r="I75" s="4461"/>
      <c r="J75" s="4461"/>
      <c r="K75" s="4461"/>
      <c r="L75" s="4461"/>
      <c r="M75" s="4461"/>
      <c r="N75" s="4461"/>
      <c r="O75" s="4461"/>
      <c r="P75" s="4461"/>
      <c r="Q75" s="4461"/>
      <c r="R75" s="4461"/>
      <c r="S75" s="4461"/>
      <c r="T75" s="4461"/>
      <c r="U75" s="4461"/>
      <c r="V75" s="4461"/>
      <c r="W75" s="4461"/>
      <c r="X75" s="4461"/>
      <c r="Y75" s="4461"/>
      <c r="Z75" s="4461"/>
      <c r="AA75" s="4461"/>
      <c r="AB75" s="4461"/>
      <c r="AC75" s="4461"/>
      <c r="AD75" s="4461"/>
      <c r="AE75" s="4461"/>
      <c r="AF75" s="4461"/>
      <c r="AG75" s="4445"/>
      <c r="AH75" s="2369"/>
      <c r="AI75" s="4511"/>
      <c r="AJ75" s="2920" t="s">
        <v>9514</v>
      </c>
      <c r="AK75" s="2920"/>
      <c r="AL75" s="2920"/>
      <c r="AM75" s="2920" t="b">
        <f>SUM(V57:AG57)&lt;&gt;Y55+ABS(AC55)*2/5+IF(S46="Si",3*P46,0)</f>
        <v>0</v>
      </c>
      <c r="AN75" s="2920"/>
      <c r="AO75" s="2920"/>
      <c r="AP75" s="2920"/>
      <c r="AQ75" s="2921"/>
      <c r="AR75" s="2921"/>
      <c r="AS75" s="2921"/>
      <c r="AT75" s="2921"/>
      <c r="AU75" s="2922"/>
      <c r="AV75" s="2922"/>
      <c r="AW75" s="2922"/>
      <c r="AX75" s="2920"/>
      <c r="AY75" s="2920"/>
    </row>
    <row r="76" spans="1:51" ht="12.2" customHeight="1" x14ac:dyDescent="0.2">
      <c r="A76" s="2360"/>
      <c r="B76" s="2252">
        <f t="shared" si="8"/>
        <v>2</v>
      </c>
      <c r="C76" s="4508"/>
      <c r="D76" s="4443"/>
      <c r="E76" s="4461"/>
      <c r="F76" s="4461"/>
      <c r="G76" s="4461"/>
      <c r="H76" s="4461"/>
      <c r="I76" s="4461"/>
      <c r="J76" s="4461"/>
      <c r="K76" s="4461"/>
      <c r="L76" s="4461"/>
      <c r="M76" s="4461"/>
      <c r="N76" s="4461"/>
      <c r="O76" s="4461"/>
      <c r="P76" s="4461"/>
      <c r="Q76" s="4461"/>
      <c r="R76" s="4461"/>
      <c r="S76" s="4461"/>
      <c r="T76" s="4461"/>
      <c r="U76" s="4461"/>
      <c r="V76" s="4461"/>
      <c r="W76" s="4461"/>
      <c r="X76" s="4461"/>
      <c r="Y76" s="4461"/>
      <c r="Z76" s="4461"/>
      <c r="AA76" s="4461"/>
      <c r="AB76" s="4461"/>
      <c r="AC76" s="4461"/>
      <c r="AD76" s="4461"/>
      <c r="AE76" s="4461"/>
      <c r="AF76" s="4461"/>
      <c r="AG76" s="4445"/>
      <c r="AH76" s="2369"/>
      <c r="AI76" s="4511"/>
      <c r="AJ76" s="2920" t="s">
        <v>9513</v>
      </c>
      <c r="AK76" s="2920"/>
      <c r="AL76" s="2920"/>
      <c r="AM76" s="2920" t="b">
        <f>AL63-AL64+AM63-AM64&lt;&gt;0</f>
        <v>0</v>
      </c>
      <c r="AN76" s="2922"/>
      <c r="AO76" s="2922"/>
      <c r="AP76" s="2922"/>
      <c r="AQ76" s="2922"/>
      <c r="AR76" s="2921"/>
      <c r="AS76" s="2921"/>
      <c r="AT76" s="2921"/>
      <c r="AU76" s="2922"/>
      <c r="AV76" s="2922"/>
      <c r="AW76" s="2922"/>
      <c r="AX76" s="2920"/>
      <c r="AY76" s="2920"/>
    </row>
    <row r="77" spans="1:51" ht="12.2" customHeight="1" thickBot="1" x14ac:dyDescent="0.25">
      <c r="A77" s="2360"/>
      <c r="B77" s="2252"/>
      <c r="C77" s="4509"/>
      <c r="D77" s="451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13"/>
      <c r="F77" s="4513"/>
      <c r="G77" s="4513"/>
      <c r="H77" s="4513"/>
      <c r="I77" s="4513"/>
      <c r="J77" s="4513"/>
      <c r="K77" s="4513"/>
      <c r="L77" s="4513"/>
      <c r="M77" s="4513"/>
      <c r="N77" s="4513"/>
      <c r="O77" s="4513"/>
      <c r="P77" s="4513"/>
      <c r="Q77" s="4513"/>
      <c r="R77" s="4513"/>
      <c r="S77" s="4513"/>
      <c r="T77" s="4513"/>
      <c r="U77" s="4513"/>
      <c r="V77" s="4513"/>
      <c r="W77" s="4513"/>
      <c r="X77" s="4513"/>
      <c r="Y77" s="4513"/>
      <c r="Z77" s="4513"/>
      <c r="AA77" s="4513"/>
      <c r="AB77" s="4513"/>
      <c r="AC77" s="4513"/>
      <c r="AD77" s="4513"/>
      <c r="AE77" s="4513"/>
      <c r="AF77" s="4513"/>
      <c r="AG77" s="4514"/>
      <c r="AH77" s="2369"/>
      <c r="AI77" s="4511"/>
      <c r="AJ77" s="2920" t="s">
        <v>9550</v>
      </c>
      <c r="AK77" s="2922"/>
      <c r="AL77" s="2922"/>
      <c r="AM77" s="2922" t="b">
        <f>ABS(SUM(N55:N57))&gt;(SUM(N50:N54)-10*Y55+AC55+IF(S46="Si",10*P46,0)+IF(COUNTIF(K50:M54,"Mantenido")&gt;0,P46*10)+MAX(IF(COUNTIF(K50:M54,"Sostenimiento Menor")&gt;0,P46*20)+IF(COUNTIF(K50:M54,"Sostenimiento Mayor")&gt;0,P46*30)))/2</f>
        <v>0</v>
      </c>
      <c r="AN77" s="2920"/>
      <c r="AO77" s="2920"/>
      <c r="AP77" s="2920"/>
      <c r="AQ77" s="2920"/>
      <c r="AR77" s="2921"/>
      <c r="AS77" s="2921"/>
      <c r="AT77" s="2921"/>
      <c r="AU77" s="2922"/>
      <c r="AV77" s="2922"/>
      <c r="AW77" s="2922"/>
      <c r="AX77" s="2920"/>
      <c r="AY77" s="2920"/>
    </row>
    <row r="78" spans="1:51" ht="12.2" customHeight="1" x14ac:dyDescent="0.2">
      <c r="A78" s="2360"/>
      <c r="B78" s="2252"/>
      <c r="C78" s="4391"/>
      <c r="D78" s="4391" t="str">
        <f>IFERROR(VLOOKUP(D59,'Tablas Técnicas'!$O$9:$T$88,2,FALSE),"")</f>
        <v/>
      </c>
      <c r="E78" s="4391"/>
      <c r="F78" s="4391"/>
      <c r="G78" s="4391"/>
      <c r="H78" s="4391"/>
      <c r="I78" s="4391"/>
      <c r="J78" s="4391" t="str">
        <f>IFERROR(VLOOKUP(J59,'Tablas Técnicas'!$O$9:$T$88,2,FALSE),"")</f>
        <v/>
      </c>
      <c r="K78" s="4391"/>
      <c r="L78" s="4391"/>
      <c r="M78" s="4391"/>
      <c r="N78" s="4391"/>
      <c r="O78" s="4391"/>
      <c r="P78" s="4391" t="str">
        <f>IFERROR(VLOOKUP(P59,'Tablas Técnicas'!$O$9:$T$88,2,FALSE),"")</f>
        <v/>
      </c>
      <c r="Q78" s="4391"/>
      <c r="R78" s="4391"/>
      <c r="S78" s="4391"/>
      <c r="T78" s="4391"/>
      <c r="U78" s="4391"/>
      <c r="V78" s="4391" t="str">
        <f>IFERROR(VLOOKUP(V59,'Tablas Técnicas'!$O$9:$T$88,2,FALSE),"")</f>
        <v/>
      </c>
      <c r="W78" s="4391"/>
      <c r="X78" s="4391"/>
      <c r="Y78" s="4391"/>
      <c r="Z78" s="4391"/>
      <c r="AA78" s="4391"/>
      <c r="AB78" s="4391" t="str">
        <f>IFERROR(VLOOKUP(AB59,'Tablas Técnicas'!$O$9:$T$88,2,FALSE),"")</f>
        <v/>
      </c>
      <c r="AC78" s="4391"/>
      <c r="AD78" s="4391"/>
      <c r="AE78" s="4391"/>
      <c r="AF78" s="4391"/>
      <c r="AG78" s="4391"/>
      <c r="AH78" s="2369"/>
      <c r="AI78" s="2073"/>
      <c r="AJ78" s="2920"/>
      <c r="AK78" s="2920"/>
      <c r="AL78" s="2920"/>
      <c r="AM78" s="2920"/>
      <c r="AN78" s="2920"/>
      <c r="AO78" s="2920"/>
      <c r="AP78" s="2920"/>
      <c r="AQ78" s="2920"/>
      <c r="AR78" s="2921"/>
      <c r="AS78" s="2921"/>
      <c r="AT78" s="2921"/>
      <c r="AU78" s="2922"/>
      <c r="AV78" s="2922"/>
      <c r="AW78" s="2922"/>
      <c r="AX78" s="2922"/>
      <c r="AY78" s="2920"/>
    </row>
    <row r="79" spans="1:51" ht="12.2" customHeight="1" thickBot="1" x14ac:dyDescent="0.25">
      <c r="A79" s="2360"/>
      <c r="B79" s="2252"/>
      <c r="C79" s="4404"/>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28"/>
      <c r="AK79" s="2928"/>
      <c r="AL79" s="2928"/>
      <c r="AM79" s="2928"/>
      <c r="AN79" s="2928"/>
      <c r="AO79" s="2928"/>
      <c r="AP79" s="2920"/>
      <c r="AQ79" s="2921"/>
      <c r="AR79" s="2922"/>
      <c r="AS79" s="2922"/>
      <c r="AT79" s="2922"/>
      <c r="AU79" s="2922"/>
      <c r="AV79" s="2922"/>
      <c r="AW79" s="2922"/>
      <c r="AX79" s="2922"/>
      <c r="AY79" s="2929"/>
    </row>
    <row r="80" spans="1:51" ht="12.2" customHeight="1" x14ac:dyDescent="0.2">
      <c r="A80" s="2360"/>
      <c r="B80" s="2252">
        <f t="shared" ref="B80:B110" si="17">1+B46</f>
        <v>3</v>
      </c>
      <c r="C80" s="4507" t="str">
        <f>"Técnica "&amp;B80</f>
        <v>Técnica 3</v>
      </c>
      <c r="D80" s="4497" t="s">
        <v>8918</v>
      </c>
      <c r="E80" s="4498"/>
      <c r="F80" s="4498"/>
      <c r="G80" s="4498"/>
      <c r="H80" s="4498"/>
      <c r="I80" s="4498"/>
      <c r="J80" s="4498"/>
      <c r="K80" s="4498"/>
      <c r="L80" s="4498"/>
      <c r="M80" s="4498"/>
      <c r="N80" s="4499"/>
      <c r="O80" s="4458" t="s">
        <v>1328</v>
      </c>
      <c r="P80" s="4460">
        <v>1</v>
      </c>
      <c r="Q80" s="4377" t="s">
        <v>9002</v>
      </c>
      <c r="R80" s="4453"/>
      <c r="S80" s="4455" t="s">
        <v>1384</v>
      </c>
      <c r="T80" s="4378" t="s">
        <v>1509</v>
      </c>
      <c r="U80" s="4440">
        <f>MAX(IF(P80=3,60,IF(P80=2,40,20)),MIN(SUM(N84:N91)-10*Y89+AC89+IF(S80="Si",10*P80,0)+IF(COUNTIF(K84:M88,"Mantenido")&gt;0,P80*10)+MAX(IF(COUNTIF(K84:M88,"Sostenimiento Menor")&gt;0,P80*20)+IF(COUNTIF(K84:M88,"Sostenimiento Mayor")&gt;0,P80*30))))</f>
        <v>20</v>
      </c>
      <c r="V80" s="4377" t="s">
        <v>9003</v>
      </c>
      <c r="W80" s="4378"/>
      <c r="X80" s="4381" t="str">
        <f>IFERROR(LEFT(AK96&amp;AL96&amp;AM96&amp;AN96&amp;AO96&amp;AP96,LEN(AK96&amp;AL96&amp;AM96&amp;AN96&amp;AO96&amp;AP96)-2),"")</f>
        <v/>
      </c>
      <c r="Y80" s="4381"/>
      <c r="Z80" s="4381"/>
      <c r="AA80" s="4381"/>
      <c r="AB80" s="4381"/>
      <c r="AC80" s="4381"/>
      <c r="AD80" s="4381"/>
      <c r="AE80" s="4381"/>
      <c r="AF80" s="4381"/>
      <c r="AG80" s="4382"/>
      <c r="AH80" s="2369"/>
      <c r="AI80" s="4511"/>
      <c r="AJ80" s="2925" t="s">
        <v>9547</v>
      </c>
      <c r="AK80" s="2925"/>
      <c r="AL80" s="2925"/>
      <c r="AM80" s="2925"/>
      <c r="AN80" s="2925"/>
      <c r="AO80" s="2925"/>
      <c r="AP80" s="2925"/>
      <c r="AQ80" s="2925"/>
      <c r="AR80" s="2925"/>
      <c r="AS80" s="2920"/>
      <c r="AT80" s="2920"/>
      <c r="AU80" s="2920"/>
      <c r="AV80" s="2920"/>
      <c r="AW80" s="2922"/>
      <c r="AX80" s="2922"/>
      <c r="AY80" s="2920"/>
    </row>
    <row r="81" spans="1:51" ht="12.2" customHeight="1" x14ac:dyDescent="0.2">
      <c r="A81" s="2360"/>
      <c r="B81" s="2252">
        <f t="shared" si="17"/>
        <v>3</v>
      </c>
      <c r="C81" s="4508"/>
      <c r="D81" s="4500"/>
      <c r="E81" s="4501"/>
      <c r="F81" s="4501"/>
      <c r="G81" s="4501"/>
      <c r="H81" s="4501"/>
      <c r="I81" s="4501"/>
      <c r="J81" s="4501"/>
      <c r="K81" s="4501"/>
      <c r="L81" s="4501"/>
      <c r="M81" s="4501"/>
      <c r="N81" s="4502"/>
      <c r="O81" s="4459"/>
      <c r="P81" s="4456"/>
      <c r="Q81" s="4379"/>
      <c r="R81" s="4454"/>
      <c r="S81" s="4456"/>
      <c r="T81" s="4380"/>
      <c r="U81" s="4503"/>
      <c r="V81" s="4379"/>
      <c r="W81" s="4380"/>
      <c r="X81" s="4383"/>
      <c r="Y81" s="4383"/>
      <c r="Z81" s="4383"/>
      <c r="AA81" s="4383"/>
      <c r="AB81" s="4383"/>
      <c r="AC81" s="4383"/>
      <c r="AD81" s="4383"/>
      <c r="AE81" s="4383"/>
      <c r="AF81" s="4383"/>
      <c r="AG81" s="4384"/>
      <c r="AH81" s="2369"/>
      <c r="AI81" s="4511"/>
      <c r="AJ81" s="2925"/>
      <c r="AK81" s="2925" t="s">
        <v>9548</v>
      </c>
      <c r="AL81" s="2925" t="s">
        <v>10268</v>
      </c>
      <c r="AM81" s="2926"/>
      <c r="AN81" s="2926"/>
      <c r="AO81" s="2926"/>
      <c r="AP81" s="2926"/>
      <c r="AQ81" s="2926"/>
      <c r="AR81" s="2925"/>
      <c r="AS81" s="2920"/>
      <c r="AT81" s="2920"/>
      <c r="AU81" s="2920"/>
      <c r="AV81" s="2920"/>
      <c r="AW81" s="2922"/>
      <c r="AX81" s="4510" t="s">
        <v>9517</v>
      </c>
      <c r="AY81" s="4510"/>
    </row>
    <row r="82" spans="1:51" ht="12.2" customHeight="1" x14ac:dyDescent="0.2">
      <c r="A82" s="2360"/>
      <c r="B82" s="2252">
        <f t="shared" si="17"/>
        <v>3</v>
      </c>
      <c r="C82" s="4508"/>
      <c r="D82" s="4386" t="s">
        <v>2858</v>
      </c>
      <c r="E82" s="4387"/>
      <c r="F82" s="4387"/>
      <c r="G82" s="4387"/>
      <c r="H82" s="4387"/>
      <c r="I82" s="4387"/>
      <c r="J82" s="4387"/>
      <c r="K82" s="4467" t="s">
        <v>9847</v>
      </c>
      <c r="L82" s="4467"/>
      <c r="M82" s="4467"/>
      <c r="N82" s="4387" t="s">
        <v>1503</v>
      </c>
      <c r="O82" s="4467" t="s">
        <v>2856</v>
      </c>
      <c r="P82" s="4467" t="s">
        <v>9004</v>
      </c>
      <c r="Q82" s="4387" t="s">
        <v>1367</v>
      </c>
      <c r="R82" s="4387"/>
      <c r="S82" s="4387"/>
      <c r="T82" s="4387"/>
      <c r="U82" s="4387"/>
      <c r="V82" s="4376" t="s">
        <v>1376</v>
      </c>
      <c r="W82" s="4354"/>
      <c r="X82" s="4376" t="s">
        <v>1501</v>
      </c>
      <c r="Y82" s="4464"/>
      <c r="Z82" s="4354" t="s">
        <v>1381</v>
      </c>
      <c r="AA82" s="4354"/>
      <c r="AB82" s="4376" t="s">
        <v>1386</v>
      </c>
      <c r="AC82" s="4464"/>
      <c r="AD82" s="4354" t="s">
        <v>1394</v>
      </c>
      <c r="AE82" s="4354"/>
      <c r="AF82" s="4376" t="s">
        <v>1395</v>
      </c>
      <c r="AG82" s="4355"/>
      <c r="AH82" s="2369"/>
      <c r="AI82" s="4511"/>
      <c r="AJ82" s="2920"/>
      <c r="AK82" s="2920"/>
      <c r="AL82" s="2920" t="s">
        <v>9825</v>
      </c>
      <c r="AM82" s="2920"/>
      <c r="AN82" s="2920"/>
      <c r="AO82" s="2920"/>
      <c r="AP82" s="2920"/>
      <c r="AQ82" s="2920"/>
      <c r="AR82" s="2922"/>
      <c r="AS82" s="2922" t="s">
        <v>9537</v>
      </c>
      <c r="AT82" s="2922" t="s">
        <v>9538</v>
      </c>
      <c r="AU82" s="2920" t="s">
        <v>9526</v>
      </c>
      <c r="AV82" s="2920" t="s">
        <v>9527</v>
      </c>
      <c r="AW82" s="2922" t="s">
        <v>1503</v>
      </c>
      <c r="AX82" s="2922" t="s">
        <v>9006</v>
      </c>
      <c r="AY82" s="2920" t="s">
        <v>9007</v>
      </c>
    </row>
    <row r="83" spans="1:51" ht="12.2" customHeight="1" x14ac:dyDescent="0.2">
      <c r="A83" s="2360"/>
      <c r="B83" s="2252">
        <f t="shared" si="17"/>
        <v>3</v>
      </c>
      <c r="C83" s="4508"/>
      <c r="D83" s="4465"/>
      <c r="E83" s="4466"/>
      <c r="F83" s="4466"/>
      <c r="G83" s="4466"/>
      <c r="H83" s="4466"/>
      <c r="I83" s="4466"/>
      <c r="J83" s="4466"/>
      <c r="K83" s="4468"/>
      <c r="L83" s="4468"/>
      <c r="M83" s="4468"/>
      <c r="N83" s="4388"/>
      <c r="O83" s="4468"/>
      <c r="P83" s="4469"/>
      <c r="Q83" s="4388"/>
      <c r="R83" s="4388"/>
      <c r="S83" s="4388"/>
      <c r="T83" s="4388"/>
      <c r="U83" s="4388"/>
      <c r="V83" s="2795" t="s">
        <v>9516</v>
      </c>
      <c r="W83" s="2796" t="s">
        <v>2862</v>
      </c>
      <c r="X83" s="2795" t="s">
        <v>9516</v>
      </c>
      <c r="Y83" s="2796" t="s">
        <v>2862</v>
      </c>
      <c r="Z83" s="2795" t="s">
        <v>9516</v>
      </c>
      <c r="AA83" s="2796" t="s">
        <v>2862</v>
      </c>
      <c r="AB83" s="2795" t="s">
        <v>9516</v>
      </c>
      <c r="AC83" s="2796" t="s">
        <v>2862</v>
      </c>
      <c r="AD83" s="2795" t="s">
        <v>9516</v>
      </c>
      <c r="AE83" s="2796" t="s">
        <v>2862</v>
      </c>
      <c r="AF83" s="2795" t="s">
        <v>9516</v>
      </c>
      <c r="AG83" s="2797" t="s">
        <v>2862</v>
      </c>
      <c r="AH83" s="2369"/>
      <c r="AI83" s="4511"/>
      <c r="AJ83" s="2920"/>
      <c r="AK83" s="2920" t="s">
        <v>9518</v>
      </c>
      <c r="AL83" s="2920">
        <v>1</v>
      </c>
      <c r="AM83" s="2920">
        <v>2</v>
      </c>
      <c r="AN83" s="2920">
        <v>3</v>
      </c>
      <c r="AO83" s="2920">
        <v>4</v>
      </c>
      <c r="AP83" s="2920">
        <v>5</v>
      </c>
      <c r="AQ83" s="2920">
        <v>6</v>
      </c>
      <c r="AR83" s="2920">
        <v>7</v>
      </c>
      <c r="AS83" s="2922"/>
      <c r="AT83" s="2920" t="s">
        <v>9549</v>
      </c>
      <c r="AU83" s="2922"/>
      <c r="AV83" s="2922"/>
      <c r="AW83" s="2922" t="s">
        <v>9549</v>
      </c>
      <c r="AX83" s="2922"/>
      <c r="AY83" s="2920"/>
    </row>
    <row r="84" spans="1:51" ht="12.2" customHeight="1" x14ac:dyDescent="0.2">
      <c r="A84" s="2360"/>
      <c r="B84" s="2252">
        <f t="shared" si="17"/>
        <v>3</v>
      </c>
      <c r="C84" s="4508"/>
      <c r="D84" s="4486" t="s">
        <v>9008</v>
      </c>
      <c r="E84" s="4487"/>
      <c r="F84" s="4488"/>
      <c r="G84" s="4489"/>
      <c r="H84" s="4489"/>
      <c r="I84" s="4489"/>
      <c r="J84" s="4411"/>
      <c r="K84" s="4490" t="s">
        <v>1459</v>
      </c>
      <c r="L84" s="4491"/>
      <c r="M84" s="4492"/>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93" t="str">
        <f>IFERROR(VLOOKUP(F84,'Tablas Técnicas'!$O$9:$T$88,5,FALSE),"")</f>
        <v/>
      </c>
      <c r="R84" s="4493"/>
      <c r="S84" s="4493"/>
      <c r="T84" s="4493"/>
      <c r="U84" s="4493"/>
      <c r="V84" s="2208"/>
      <c r="W84" s="2209"/>
      <c r="X84" s="2208"/>
      <c r="Y84" s="2210"/>
      <c r="Z84" s="2211"/>
      <c r="AA84" s="2209"/>
      <c r="AB84" s="2208"/>
      <c r="AC84" s="2210"/>
      <c r="AD84" s="2211"/>
      <c r="AE84" s="2209"/>
      <c r="AF84" s="2208"/>
      <c r="AG84" s="2212"/>
      <c r="AH84" s="2369"/>
      <c r="AI84" s="4511"/>
      <c r="AJ84" s="2920">
        <v>1</v>
      </c>
      <c r="AK84" s="2920">
        <f>P80</f>
        <v>1</v>
      </c>
      <c r="AL84" s="2920" t="str">
        <f>IF(AND(ISNUMBER(MATCH($F84,'Tablas Técnicas'!$L$10:$L$643,0)),INDEX($D97:$D103,Tablas!A$1)="",COUNTIF(AM84:$AS84,$F84)=0),$F84,IF(INDEX($D97:$D103,Tablas!A$1)="","",$F84&amp;INDEX($D97:$D103,Tablas!A$1)))</f>
        <v/>
      </c>
      <c r="AM84" s="2920" t="str">
        <f>IF(AND(ISNUMBER(MATCH($F84,'Tablas Técnicas'!$L$10:$L$643,0)),INDEX($D97:$D103,Tablas!B$1)="",COUNTIF(AN84:$AS84,$F84)=0),$F84,IF(INDEX($D97:$D103,Tablas!B$1)="","",$F84&amp;INDEX($D97:$D103,Tablas!B$1)))</f>
        <v/>
      </c>
      <c r="AN84" s="2920" t="str">
        <f>IF(AND(ISNUMBER(MATCH($F84,'Tablas Técnicas'!$L$10:$L$643,0)),INDEX($D97:$D103,Tablas!C$1)="",COUNTIF(AO84:$AS84,$F84)=0),$F84,IF(INDEX($D97:$D103,Tablas!C$1)="","",$F84&amp;INDEX($D97:$D103,Tablas!C$1)))</f>
        <v/>
      </c>
      <c r="AO84" s="2920" t="str">
        <f>IF(AND(ISNUMBER(MATCH($F84,'Tablas Técnicas'!$L$10:$L$643,0)),INDEX($D97:$D103,Tablas!D$1)="",COUNTIF(AP84:$AS84,$F84)=0),$F84,IF(INDEX($D97:$D103,Tablas!D$1)="","",$F84&amp;INDEX($D97:$D103,Tablas!D$1)))</f>
        <v/>
      </c>
      <c r="AP84" s="2920" t="str">
        <f>IF(AND(ISNUMBER(MATCH($F84,'Tablas Técnicas'!$L$10:$L$643,0)),INDEX($D97:$D103,Tablas!E$1)="",COUNTIF(AQ84:$AS84,$F84)=0),$F84,IF(INDEX($D97:$D103,Tablas!E$1)="","",$F84&amp;INDEX($D97:$D103,Tablas!E$1)))</f>
        <v/>
      </c>
      <c r="AQ84" s="2920" t="str">
        <f>IF(AND(ISNUMBER(MATCH($F84,'Tablas Técnicas'!$L$10:$L$643,0)),INDEX($D97:$D103,Tablas!F$1)="",COUNTIF(AR84:$AS84,$F84)=0),$F84,IF(INDEX($D97:$D103,Tablas!F$1)="","",$F84&amp;INDEX($D97:$D103,Tablas!F$1)))</f>
        <v/>
      </c>
      <c r="AR84" s="2920" t="str">
        <f>IF(AND(ISNUMBER(MATCH($F84,'Tablas Técnicas'!$L$10:$L$643,0)),INDEX($D97:$D103,Tablas!G$1)="",COUNTIF(AS84:$AS84,$F84)=0),$F84,IF(INDEX($D97:$D103,Tablas!G$1)="","",$F84&amp;INDEX($D97:$D103,Tablas!G$1)))</f>
        <v/>
      </c>
      <c r="AS84" s="2922">
        <f>V84+X84+Z84+AB84+AD84+AF84</f>
        <v>0</v>
      </c>
      <c r="AT84" s="2922">
        <f t="array" ref="AT84">SUM(IF($AL84:$AR84='Tablas Técnicas'!$L$10:$L$643,IF(D84="Primario",'Tablas Técnicas'!$E$10:$E$643,'Tablas Técnicas'!$F$10:$F$643)+IF(K84="Sostenimiento menor",'Tablas Técnicas'!$I$10:$I$643,IF(K84="sostenimiento mayor",'Tablas Técnicas'!$J$10:$J$643,0)),0),0)+VALUE(RIGHT(P84,2))+AU84+AV84</f>
        <v>0</v>
      </c>
      <c r="AU84" s="2922">
        <f>IFERROR(IF(V84=0,0,VALUE(MID(Q84,SEARCH("AGI",Q84)+4,1))),0)+IFERROR(IF(X84=0,0,VALUE(MID(Q84,SEARCH("CON",Q84)+4,1))),0)+IFERROR(IF(Z84=0,0,VALUE(MID(Q84,SEARCH("DES",Q84)+4,1))),0)+IFERROR(IF(AB84=0,0,VALUE(MID(Q84,SEARCH("FUE",Q84)+4,1))),0)+IFERROR(IF(AD84=0,0,VALUE(MID(Q84,SEARCH("POD",Q84)+4,1))),0)+IFERROR(IF(AF84=0,0,VALUE(MID(Q84,SEARCH("VOL",Q84)+4,1))),0)</f>
        <v>0</v>
      </c>
      <c r="AV84" s="2922">
        <f>(COUNTIF(AL84:AR84,"*Estado añadido:*")-1)*COUNTIF(AL84:AR84,"*Estado añadido:*")</f>
        <v>0</v>
      </c>
      <c r="AW84" s="2922">
        <f t="array" ref="AW84">SUM(IF($AL84:$AR84='Tablas Técnicas'!$L$10:$L$643,'Tablas Técnicas'!$G$10:$G$643,0))</f>
        <v>0</v>
      </c>
      <c r="AX84" s="2920" t="str">
        <f>IF(F84="","",F84&amp;" ("&amp;IF(AL84="","",SUBSTITUTE(AL84,F84,"")&amp;", ")&amp;IF(AM84="","",SUBSTITUTE(AM84,F84,"")&amp;", ")&amp;IF(AN84="","",SUBSTITUTE(AN84,F84,"")&amp;", ")&amp;IF(AO84="","",SUBSTITUTE(AO84,F84,"")&amp;", ")&amp;IF(AP84="","",SUBSTITUTE(AP84,F84,"")&amp;", ")&amp;IF(AQ84="","",SUBSTITUTE(AQ84,F84,"")&amp;", ")&amp;IF(AR84="","",SUBSTITUTE(AR84,F84,"")&amp;", ")&amp;IF(OR(K84="",K84="-"),"",K84&amp;", "))</f>
        <v/>
      </c>
      <c r="AY84" s="2920" t="str">
        <f t="shared" ref="AY84:AY86" si="18">IFERROR(LEFT(AX84,LEN(AX84)-2)&amp;"), ","")</f>
        <v/>
      </c>
    </row>
    <row r="85" spans="1:51" ht="12.2" customHeight="1" x14ac:dyDescent="0.2">
      <c r="A85" s="2360"/>
      <c r="B85" s="2252">
        <f t="shared" si="17"/>
        <v>3</v>
      </c>
      <c r="C85" s="4508"/>
      <c r="D85" s="4392" t="s">
        <v>526</v>
      </c>
      <c r="E85" s="4393"/>
      <c r="F85" s="4473"/>
      <c r="G85" s="4474"/>
      <c r="H85" s="4474"/>
      <c r="I85" s="4474"/>
      <c r="J85" s="4420"/>
      <c r="K85" s="4475" t="s">
        <v>1459</v>
      </c>
      <c r="L85" s="4476"/>
      <c r="M85" s="4477"/>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394" t="str">
        <f>IFERROR(VLOOKUP(F85,'Tablas Técnicas'!$O$9:$T$88,5,FALSE),"")</f>
        <v/>
      </c>
      <c r="R85" s="4394"/>
      <c r="S85" s="4394"/>
      <c r="T85" s="4394"/>
      <c r="U85" s="4394"/>
      <c r="V85" s="2213"/>
      <c r="W85" s="2214"/>
      <c r="X85" s="2213"/>
      <c r="Y85" s="2215"/>
      <c r="Z85" s="2216"/>
      <c r="AA85" s="2214"/>
      <c r="AB85" s="2213"/>
      <c r="AC85" s="2215"/>
      <c r="AD85" s="2216"/>
      <c r="AE85" s="2214"/>
      <c r="AF85" s="2213"/>
      <c r="AG85" s="2217"/>
      <c r="AH85" s="2369"/>
      <c r="AI85" s="4511"/>
      <c r="AJ85" s="2920">
        <v>2</v>
      </c>
      <c r="AK85" s="2920">
        <f>P80</f>
        <v>1</v>
      </c>
      <c r="AL85" s="2920" t="str">
        <f>IF(AND(ISNUMBER(MATCH($F85,'Tablas Técnicas'!$L$10:$L$643,0)),INDEX($J97:$J103,Tablas!A$1)="",COUNTIF(AM85:$AS85,$F85)=0),$F85,IF(INDEX($J97:$J103,Tablas!A$1)="","",$F85&amp;INDEX($J97:$J103,Tablas!A$1)))</f>
        <v/>
      </c>
      <c r="AM85" s="2920" t="str">
        <f>IF(AND(ISNUMBER(MATCH($F85,'Tablas Técnicas'!$L$10:$L$643,0)),INDEX($J97:$J103,Tablas!B$1)="",COUNTIF(AN85:$AS85,$F85)=0),$F85,IF(INDEX($J97:$J103,Tablas!B$1)="","",$F85&amp;INDEX($J97:$J103,Tablas!B$1)))</f>
        <v/>
      </c>
      <c r="AN85" s="2920" t="str">
        <f>IF(AND(ISNUMBER(MATCH($F85,'Tablas Técnicas'!$L$10:$L$643,0)),INDEX($J97:$J103,Tablas!C$1)="",COUNTIF(AO85:$AS85,$F85)=0),$F85,IF(INDEX($J97:$J103,Tablas!C$1)="","",$F85&amp;INDEX($J97:$J103,Tablas!C$1)))</f>
        <v/>
      </c>
      <c r="AO85" s="2920" t="str">
        <f>IF(AND(ISNUMBER(MATCH($F85,'Tablas Técnicas'!$L$10:$L$643,0)),INDEX($J97:$J103,Tablas!D$1)="",COUNTIF(AP85:$AS85,$F85)=0),$F85,IF(INDEX($J97:$J103,Tablas!D$1)="","",$F85&amp;INDEX($J97:$J103,Tablas!D$1)))</f>
        <v/>
      </c>
      <c r="AP85" s="2920" t="str">
        <f>IF(AND(ISNUMBER(MATCH($F85,'Tablas Técnicas'!$L$10:$L$643,0)),INDEX($J97:$J103,Tablas!E$1)="",COUNTIF(AQ85:$AS85,$F85)=0),$F85,IF(INDEX($J97:$J103,Tablas!E$1)="","",$F85&amp;INDEX($J97:$J103,Tablas!E$1)))</f>
        <v/>
      </c>
      <c r="AQ85" s="2920" t="str">
        <f>IF(AND(ISNUMBER(MATCH($F85,'Tablas Técnicas'!$L$10:$L$643,0)),INDEX($J97:$J103,Tablas!F$1)="",COUNTIF(AR85:$AS85,$F85)=0),$F85,IF(INDEX($J97:$J103,Tablas!F$1)="","",$F85&amp;INDEX($J97:$J103,Tablas!F$1)))</f>
        <v/>
      </c>
      <c r="AR85" s="2920" t="str">
        <f>IF(AND(ISNUMBER(MATCH($F85,'Tablas Técnicas'!$L$10:$L$643,0)),INDEX($J97:$J103,Tablas!G$1)="",COUNTIF(AS85:$AS85,$F85)=0),$F85,IF(INDEX($J97:$J103,Tablas!G$1)="","",$F85&amp;INDEX($J97:$J103,Tablas!G$1)))</f>
        <v/>
      </c>
      <c r="AS85" s="2922">
        <f>V85+X85+Z85+AB85+AD85+AF85</f>
        <v>0</v>
      </c>
      <c r="AT85" s="2922">
        <f t="array" ref="AT85">SUM(IF($AL85:$AR85='Tablas Técnicas'!$L$10:$L$643,IF(D85="Primario",'Tablas Técnicas'!$E$10:$E$643,'Tablas Técnicas'!$F$10:$F$643)+IF(K85="Sostenimiento menor",'Tablas Técnicas'!$I$10:$I$643,IF(K85="sostenimiento mayor",'Tablas Técnicas'!$J$10:$J$643,0)),0),0)+VALUE(RIGHT(P85,2))+AU85+AV85</f>
        <v>0</v>
      </c>
      <c r="AU85" s="2922">
        <f>IFERROR(IF(V85=0,0,VALUE(MID(Q85,SEARCH("AGI",Q85)+4,1))),0)+IFERROR(IF(X85=0,0,VALUE(MID(Q85,SEARCH("CON",Q85)+4,1))),0)+IFERROR(IF(Z85=0,0,VALUE(MID(Q85,SEARCH("DES",Q85)+4,1))),0)+IFERROR(IF(AB85=0,0,VALUE(MID(Q85,SEARCH("FUE",Q85)+4,1))),0)+IFERROR(IF(AD85=0,0,VALUE(MID(Q85,SEARCH("POD",Q85)+4,1))),0)+IFERROR(IF(AF85=0,0,VALUE(MID(Q85,SEARCH("VOL",Q85)+4,1))),0)</f>
        <v>0</v>
      </c>
      <c r="AV85" s="2922">
        <f>(COUNTIF(AL85:AR85,"*Estado añadido:*")-1)*COUNTIF(AL85:AR85,"*Estado añadido:*")</f>
        <v>0</v>
      </c>
      <c r="AW85" s="2922">
        <f t="array" ref="AW85">SUM(IF($AL85:$AR85='Tablas Técnicas'!$L$10:$L$643,'Tablas Técnicas'!$G$10:$G$643,0))</f>
        <v>0</v>
      </c>
      <c r="AX85" s="2920"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20" t="str">
        <f t="shared" si="18"/>
        <v/>
      </c>
    </row>
    <row r="86" spans="1:51" ht="12.2" customHeight="1" x14ac:dyDescent="0.2">
      <c r="A86" s="2360"/>
      <c r="B86" s="2252">
        <f t="shared" si="17"/>
        <v>3</v>
      </c>
      <c r="C86" s="4508"/>
      <c r="D86" s="4481" t="s">
        <v>526</v>
      </c>
      <c r="E86" s="4482"/>
      <c r="F86" s="4398"/>
      <c r="G86" s="4399"/>
      <c r="H86" s="4399"/>
      <c r="I86" s="4399"/>
      <c r="J86" s="4400"/>
      <c r="K86" s="4478" t="s">
        <v>1459</v>
      </c>
      <c r="L86" s="4479"/>
      <c r="M86" s="4480"/>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483" t="str">
        <f>IFERROR(VLOOKUP(F86,'Tablas Técnicas'!$O$9:$T$88,5,FALSE),"")</f>
        <v/>
      </c>
      <c r="R86" s="4483"/>
      <c r="S86" s="4483"/>
      <c r="T86" s="4483"/>
      <c r="U86" s="4483"/>
      <c r="V86" s="2218"/>
      <c r="W86" s="2219"/>
      <c r="X86" s="2218"/>
      <c r="Y86" s="2220"/>
      <c r="Z86" s="2221"/>
      <c r="AA86" s="2219"/>
      <c r="AB86" s="2218"/>
      <c r="AC86" s="2220"/>
      <c r="AD86" s="2221"/>
      <c r="AE86" s="2219"/>
      <c r="AF86" s="2218"/>
      <c r="AG86" s="2222"/>
      <c r="AH86" s="2369"/>
      <c r="AI86" s="4511"/>
      <c r="AJ86" s="2920">
        <v>3</v>
      </c>
      <c r="AK86" s="2920">
        <f>P80</f>
        <v>1</v>
      </c>
      <c r="AL86" s="2920" t="str">
        <f>IF(AND(ISNUMBER(MATCH($F86,'Tablas Técnicas'!$L$10:$L$643,0)),INDEX($P97:$P103,Tablas!A$1)="",COUNTIF(AM86:$AS86,$F86)=0),$F86,IF(INDEX($P97:$P103,Tablas!A$1)="","",$F86&amp;INDEX($P97:$P103,Tablas!A$1)))</f>
        <v/>
      </c>
      <c r="AM86" s="2920" t="str">
        <f>IF(AND(ISNUMBER(MATCH($F86,'Tablas Técnicas'!$L$10:$L$643,0)),INDEX($P97:$P103,Tablas!B$1)="",COUNTIF(AN86:$AS86,$F86)=0),$F86,IF(INDEX($P97:$P103,Tablas!B$1)="","",$F86&amp;INDEX($P97:$P103,Tablas!B$1)))</f>
        <v/>
      </c>
      <c r="AN86" s="2920" t="str">
        <f>IF(AND(ISNUMBER(MATCH($F86,'Tablas Técnicas'!$L$10:$L$643,0)),INDEX($P97:$P103,Tablas!C$1)="",COUNTIF(AO86:$AS86,$F86)=0),$F86,IF(INDEX($P97:$P103,Tablas!C$1)="","",$F86&amp;INDEX($P97:$P103,Tablas!C$1)))</f>
        <v/>
      </c>
      <c r="AO86" s="2920" t="str">
        <f>IF(AND(ISNUMBER(MATCH($F86,'Tablas Técnicas'!$L$10:$L$643,0)),INDEX($P97:$P103,Tablas!D$1)="",COUNTIF(AP86:$AS86,$F86)=0),$F86,IF(INDEX($P97:$P103,Tablas!D$1)="","",$F86&amp;INDEX($P97:$P103,Tablas!D$1)))</f>
        <v/>
      </c>
      <c r="AP86" s="2920" t="str">
        <f>IF(AND(ISNUMBER(MATCH($F86,'Tablas Técnicas'!$L$10:$L$643,0)),INDEX($P97:$P103,Tablas!E$1)="",COUNTIF(AQ86:$AS86,$F86)=0),$F86,IF(INDEX($P97:$P103,Tablas!E$1)="","",$F86&amp;INDEX($P97:$P103,Tablas!E$1)))</f>
        <v/>
      </c>
      <c r="AQ86" s="2920" t="str">
        <f>IF(AND(ISNUMBER(MATCH($F86,'Tablas Técnicas'!$L$10:$L$643,0)),INDEX($P97:$P103,Tablas!F$1)="",COUNTIF(AR86:$AS86,$F86)=0),$F86,IF(INDEX($P97:$P103,Tablas!F$1)="","",$F86&amp;INDEX($P97:$P103,Tablas!F$1)))</f>
        <v/>
      </c>
      <c r="AR86" s="2920" t="str">
        <f>IF(AND(ISNUMBER(MATCH($F86,'Tablas Técnicas'!$L$10:$L$643,0)),INDEX($P97:$P103,Tablas!G$1)="",COUNTIF(AS86:$AS86,$F86)=0),$F86,IF(INDEX($P97:$P103,Tablas!G$1)="","",$F86&amp;INDEX($P97:$P103,Tablas!G$1)))</f>
        <v/>
      </c>
      <c r="AS86" s="2922">
        <f>V86+X86+Z86+AB86+AD86+AF86</f>
        <v>0</v>
      </c>
      <c r="AT86" s="2922">
        <f t="array" ref="AT86">SUM(IF($AL86:$AR86='Tablas Técnicas'!$L$10:$L$643,IF(D86="Primario",'Tablas Técnicas'!$E$10:$E$643,'Tablas Técnicas'!$F$10:$F$643)+IF(K86="Sostenimiento menor",'Tablas Técnicas'!$I$10:$I$643,IF(K86="sostenimiento mayor",'Tablas Técnicas'!$J$10:$J$643,0)),0),0)+VALUE(RIGHT(P86,2))+AU86+AV86</f>
        <v>0</v>
      </c>
      <c r="AU86" s="2922">
        <f>IFERROR(IF(V86=0,0,VALUE(MID(Q86,SEARCH("AGI",Q86)+4,1))),0)+IFERROR(IF(X86=0,0,VALUE(MID(Q86,SEARCH("CON",Q86)+4,1))),0)+IFERROR(IF(Z86=0,0,VALUE(MID(Q86,SEARCH("DES",Q86)+4,1))),0)+IFERROR(IF(AB86=0,0,VALUE(MID(Q86,SEARCH("FUE",Q86)+4,1))),0)+IFERROR(IF(AD86=0,0,VALUE(MID(Q86,SEARCH("POD",Q86)+4,1))),0)+IFERROR(IF(AF86=0,0,VALUE(MID(Q86,SEARCH("VOL",Q86)+4,1))),0)</f>
        <v>0</v>
      </c>
      <c r="AV86" s="2922">
        <f>(COUNTIF(AL86:AR86,"*Estado añadido:*")-1)*COUNTIF(AL86:AR86,"*Estado añadido:*")</f>
        <v>0</v>
      </c>
      <c r="AW86" s="2922">
        <f t="array" ref="AW86">SUM(IF($AL86:$AR86='Tablas Técnicas'!$L$10:$L$643,'Tablas Técnicas'!$G$10:$G$643,0))</f>
        <v>0</v>
      </c>
      <c r="AX86" s="2920" t="str">
        <f t="shared" si="19"/>
        <v/>
      </c>
      <c r="AY86" s="2920" t="str">
        <f t="shared" si="18"/>
        <v/>
      </c>
    </row>
    <row r="87" spans="1:51" ht="12.2" customHeight="1" x14ac:dyDescent="0.2">
      <c r="A87" s="2360"/>
      <c r="B87" s="2252">
        <f t="shared" si="17"/>
        <v>3</v>
      </c>
      <c r="C87" s="4508"/>
      <c r="D87" s="4392" t="s">
        <v>526</v>
      </c>
      <c r="E87" s="4393"/>
      <c r="F87" s="4473"/>
      <c r="G87" s="4474"/>
      <c r="H87" s="4474"/>
      <c r="I87" s="4474"/>
      <c r="J87" s="4420"/>
      <c r="K87" s="4475" t="s">
        <v>1459</v>
      </c>
      <c r="L87" s="4476"/>
      <c r="M87" s="4477"/>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394" t="str">
        <f>IFERROR(VLOOKUP(F87,'Tablas Técnicas'!$O$9:$T$88,5,FALSE),"")</f>
        <v/>
      </c>
      <c r="R87" s="4394"/>
      <c r="S87" s="4394"/>
      <c r="T87" s="4394"/>
      <c r="U87" s="4394"/>
      <c r="V87" s="2213"/>
      <c r="W87" s="2214"/>
      <c r="X87" s="2213"/>
      <c r="Y87" s="2215"/>
      <c r="Z87" s="2216"/>
      <c r="AA87" s="2214"/>
      <c r="AB87" s="2213"/>
      <c r="AC87" s="2215"/>
      <c r="AD87" s="2216"/>
      <c r="AE87" s="2214"/>
      <c r="AF87" s="2213"/>
      <c r="AG87" s="2217"/>
      <c r="AH87" s="2369"/>
      <c r="AI87" s="4511"/>
      <c r="AJ87" s="2920">
        <v>4</v>
      </c>
      <c r="AK87" s="2920">
        <f>P80</f>
        <v>1</v>
      </c>
      <c r="AL87" s="2920" t="str">
        <f>IF(AND(ISNUMBER(MATCH($F87,'Tablas Técnicas'!$L$10:$L$643,0)),INDEX($V97:$V103,Tablas!A$1)="",COUNTIF(AM87:$AS87,$F87)=0),$F87,IF(INDEX($V97:$V103,Tablas!A$1)="","",$F87&amp;INDEX($V97:$V103,Tablas!A$1)))</f>
        <v/>
      </c>
      <c r="AM87" s="2920" t="str">
        <f>IF(AND(ISNUMBER(MATCH($F87,'Tablas Técnicas'!$L$10:$L$643,0)),INDEX($V97:$V103,Tablas!B$1)="",COUNTIF(AN87:$AS87,$F87)=0),$F87,IF(INDEX($V97:$V103,Tablas!B$1)="","",$F87&amp;INDEX($V97:$V103,Tablas!B$1)))</f>
        <v/>
      </c>
      <c r="AN87" s="2920" t="str">
        <f>IF(AND(ISNUMBER(MATCH($F87,'Tablas Técnicas'!$L$10:$L$643,0)),INDEX($V97:$V103,Tablas!C$1)="",COUNTIF(AO87:$AS87,$F87)=0),$F87,IF(INDEX($V97:$V103,Tablas!C$1)="","",$F87&amp;INDEX($V97:$V103,Tablas!C$1)))</f>
        <v/>
      </c>
      <c r="AO87" s="2920" t="str">
        <f>IF(AND(ISNUMBER(MATCH($F87,'Tablas Técnicas'!$L$10:$L$643,0)),INDEX($V97:$V103,Tablas!D$1)="",COUNTIF(AP87:$AS87,$F87)=0),$F87,IF(INDEX($V97:$V103,Tablas!D$1)="","",$F87&amp;INDEX($V97:$V103,Tablas!D$1)))</f>
        <v/>
      </c>
      <c r="AP87" s="2920" t="str">
        <f>IF(AND(ISNUMBER(MATCH($F87,'Tablas Técnicas'!$L$10:$L$643,0)),INDEX($V97:$V103,Tablas!E$1)="",COUNTIF(AQ87:$AS87,$F87)=0),$F87,IF(INDEX($V97:$V103,Tablas!E$1)="","",$F87&amp;INDEX($V97:$V103,Tablas!E$1)))</f>
        <v/>
      </c>
      <c r="AQ87" s="2920" t="str">
        <f>IF(AND(ISNUMBER(MATCH($F87,'Tablas Técnicas'!$L$10:$L$643,0)),INDEX($V97:$V103,Tablas!F$1)="",COUNTIF(AR87:$AS87,$F87)=0),$F87,IF(INDEX($V97:$V103,Tablas!F$1)="","",$F87&amp;INDEX($V97:$V103,Tablas!F$1)))</f>
        <v/>
      </c>
      <c r="AR87" s="2920" t="str">
        <f>IF(AND(ISNUMBER(MATCH($F87,'Tablas Técnicas'!$L$10:$L$643,0)),INDEX($V97:$V103,Tablas!G$1)="",COUNTIF(AS87:$AS87,$F87)=0),$F87,IF(INDEX($V97:$V103,Tablas!G$1)="","",$F87&amp;INDEX($V97:$V103,Tablas!G$1)))</f>
        <v/>
      </c>
      <c r="AS87" s="2922">
        <f>V87+X87+Z87+AB87+AD87+AF87</f>
        <v>0</v>
      </c>
      <c r="AT87" s="2922">
        <f t="array" ref="AT87">SUM(IF($AL87:$AR87='Tablas Técnicas'!$L$10:$L$643,IF(D87="Primario",'Tablas Técnicas'!$E$10:$E$643,'Tablas Técnicas'!$F$10:$F$643)+IF(K87="Sostenimiento menor",'Tablas Técnicas'!$I$10:$I$643,IF(K87="sostenimiento mayor",'Tablas Técnicas'!$J$10:$J$643,0)),0),0)+VALUE(RIGHT(P87,2))+AU87+AV87</f>
        <v>0</v>
      </c>
      <c r="AU87" s="2922">
        <f>IFERROR(IF(V87=0,0,VALUE(MID(Q87,SEARCH("AGI",Q87)+4,1))),0)+IFERROR(IF(X87=0,0,VALUE(MID(Q87,SEARCH("CON",Q87)+4,1))),0)+IFERROR(IF(Z87=0,0,VALUE(MID(Q87,SEARCH("DES",Q87)+4,1))),0)+IFERROR(IF(AB87=0,0,VALUE(MID(Q87,SEARCH("FUE",Q87)+4,1))),0)+IFERROR(IF(AD87=0,0,VALUE(MID(Q87,SEARCH("POD",Q87)+4,1))),0)+IFERROR(IF(AF87=0,0,VALUE(MID(Q87,SEARCH("VOL",Q87)+4,1))),0)</f>
        <v>0</v>
      </c>
      <c r="AV87" s="2922">
        <f>(COUNTIF(AL87:AR87,"*Estado añadido:*")-1)*COUNTIF(AL87:AR87,"*Estado añadido:*")</f>
        <v>0</v>
      </c>
      <c r="AW87" s="2922">
        <f t="array" ref="AW87">SUM(IF($AL87:$AR87='Tablas Técnicas'!$L$10:$L$643,'Tablas Técnicas'!$G$10:$G$643,0))</f>
        <v>0</v>
      </c>
      <c r="AX87" s="2920" t="str">
        <f t="shared" si="19"/>
        <v/>
      </c>
      <c r="AY87" s="2920" t="str">
        <f>IFERROR(LEFT(AX87,LEN(AX87)-2)&amp;"), ","")</f>
        <v/>
      </c>
    </row>
    <row r="88" spans="1:51" ht="12.2" customHeight="1" thickBot="1" x14ac:dyDescent="0.25">
      <c r="A88" s="2360"/>
      <c r="B88" s="2252">
        <f t="shared" si="17"/>
        <v>3</v>
      </c>
      <c r="C88" s="4508"/>
      <c r="D88" s="4395" t="s">
        <v>526</v>
      </c>
      <c r="E88" s="4396"/>
      <c r="F88" s="4494"/>
      <c r="G88" s="4495"/>
      <c r="H88" s="4495"/>
      <c r="I88" s="4495"/>
      <c r="J88" s="4496"/>
      <c r="K88" s="4470" t="s">
        <v>1459</v>
      </c>
      <c r="L88" s="4471"/>
      <c r="M88" s="4472"/>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397" t="str">
        <f>IFERROR(VLOOKUP(F88,'Tablas Técnicas'!$O$9:$T$88,5,FALSE),"")</f>
        <v/>
      </c>
      <c r="R88" s="4397"/>
      <c r="S88" s="4397"/>
      <c r="T88" s="4397"/>
      <c r="U88" s="4397"/>
      <c r="V88" s="2223"/>
      <c r="W88" s="2224"/>
      <c r="X88" s="2223"/>
      <c r="Y88" s="2225"/>
      <c r="Z88" s="2226"/>
      <c r="AA88" s="2224"/>
      <c r="AB88" s="2223"/>
      <c r="AC88" s="2225"/>
      <c r="AD88" s="2226"/>
      <c r="AE88" s="2224"/>
      <c r="AF88" s="2223"/>
      <c r="AG88" s="2227"/>
      <c r="AH88" s="2369"/>
      <c r="AI88" s="4511"/>
      <c r="AJ88" s="2920">
        <v>5</v>
      </c>
      <c r="AK88" s="2920">
        <f>P80</f>
        <v>1</v>
      </c>
      <c r="AL88" s="2920" t="str">
        <f>IF(AND(ISNUMBER(MATCH($F88,'Tablas Técnicas'!$L$10:$L$643,0)),INDEX($AB97:$AB103,Tablas!A$1)="",COUNTIF(AM88:$AS88,$F88)=0),$F88,IF(INDEX($AB97:$AB103,Tablas!A$1)="","",$F88&amp;INDEX($AB97:$AB103,Tablas!A$1)))</f>
        <v/>
      </c>
      <c r="AM88" s="2920" t="str">
        <f>IF(AND(ISNUMBER(MATCH($F88,'Tablas Técnicas'!$L$10:$L$643,0)),INDEX($AB97:$AB103,Tablas!B$1)="",COUNTIF(AN88:$AS88,$F88)=0),$F88,IF(INDEX($AB97:$AB103,Tablas!B$1)="","",$F88&amp;INDEX($AB97:$AB103,Tablas!B$1)))</f>
        <v/>
      </c>
      <c r="AN88" s="2920" t="str">
        <f>IF(AND(ISNUMBER(MATCH($F88,'Tablas Técnicas'!$L$10:$L$643,0)),INDEX($AB97:$AB103,Tablas!C$1)="",COUNTIF(AO88:$AS88,$F88)=0),$F88,IF(INDEX($AB97:$AB103,Tablas!C$1)="","",$F88&amp;INDEX($AB97:$AB103,Tablas!C$1)))</f>
        <v/>
      </c>
      <c r="AO88" s="2920" t="str">
        <f>IF(AND(ISNUMBER(MATCH($F88,'Tablas Técnicas'!$L$10:$L$643,0)),INDEX($AB97:$AB103,Tablas!D$1)="",COUNTIF(AP88:$AS88,$F88)=0),$F88,IF(INDEX($AB97:$AB103,Tablas!D$1)="","",$F88&amp;INDEX($AB97:$AB103,Tablas!D$1)))</f>
        <v/>
      </c>
      <c r="AP88" s="2920" t="str">
        <f>IF(AND(ISNUMBER(MATCH($F88,'Tablas Técnicas'!$L$10:$L$643,0)),INDEX($AB97:$AB103,Tablas!E$1)="",COUNTIF(AQ88:$AS88,$F88)=0),$F88,IF(INDEX($AB97:$AB103,Tablas!E$1)="","",$F88&amp;INDEX($AB97:$AB103,Tablas!E$1)))</f>
        <v/>
      </c>
      <c r="AQ88" s="2920" t="str">
        <f>IF(AND(ISNUMBER(MATCH($F88,'Tablas Técnicas'!$L$10:$L$643,0)),INDEX($AB97:$AB103,Tablas!F$1)="",COUNTIF(AR88:$AS88,$F88)=0),$F88,IF(INDEX($AB97:$AB103,Tablas!F$1)="","",$F88&amp;INDEX($AB97:$AB103,Tablas!F$1)))</f>
        <v/>
      </c>
      <c r="AR88" s="2920" t="str">
        <f>IF(AND(ISNUMBER(MATCH($F88,'Tablas Técnicas'!$L$10:$L$643,0)),INDEX($AB97:$AB103,Tablas!G$1)="",COUNTIF(AS88:$AS88,$F88)=0),$F88,IF(INDEX($AB97:$AB103,Tablas!G$1)="","",$F88&amp;INDEX($AB97:$AB103,Tablas!G$1)))</f>
        <v/>
      </c>
      <c r="AS88" s="2922">
        <f>V88+X88+Z88+AB88+AD88+AF88</f>
        <v>0</v>
      </c>
      <c r="AT88" s="2922">
        <f t="array" ref="AT88">SUM(IF($AL88:$AR88='Tablas Técnicas'!$L$10:$L$643,IF(D88="Primario",'Tablas Técnicas'!$E$10:$E$643,'Tablas Técnicas'!$F$10:$F$643)+IF(K88="Sostenimiento menor",'Tablas Técnicas'!$I$10:$I$643,IF(K88="sostenimiento mayor",'Tablas Técnicas'!$J$10:$J$643,0)),0),0)+VALUE(RIGHT(P88,2))+AU88+AV88</f>
        <v>0</v>
      </c>
      <c r="AU88" s="2922">
        <f>IFERROR(IF(V88=0,0,VALUE(MID(Q88,SEARCH("AGI",Q88)+4,1))),0)+IFERROR(IF(X88=0,0,VALUE(MID(Q88,SEARCH("CON",Q88)+4,1))),0)+IFERROR(IF(Z88=0,0,VALUE(MID(Q88,SEARCH("DES",Q88)+4,1))),0)+IFERROR(IF(AB88=0,0,VALUE(MID(Q88,SEARCH("FUE",Q88)+4,1))),0)+IFERROR(IF(AD88=0,0,VALUE(MID(Q88,SEARCH("POD",Q88)+4,1))),0)+IFERROR(IF(AF88=0,0,VALUE(MID(Q88,SEARCH("VOL",Q88)+4,1))),0)</f>
        <v>0</v>
      </c>
      <c r="AV88" s="2922">
        <f>(COUNTIF(AL88:AR88,"*Estado añadido:*")-1)*COUNTIF(AL88:AR88,"*Estado añadido:*")</f>
        <v>0</v>
      </c>
      <c r="AW88" s="2922">
        <f t="array" ref="AW88">SUM(IF($AL88:$AR88='Tablas Técnicas'!$L$10:$L$643,'Tablas Técnicas'!$G$10:$G$643,0))</f>
        <v>0</v>
      </c>
      <c r="AX88" s="2920" t="str">
        <f t="shared" si="19"/>
        <v/>
      </c>
      <c r="AY88" s="2920" t="str">
        <f t="shared" ref="AY88" si="20">IFERROR(LEFT(AX88,LEN(AX88)-2)&amp;"), ","")</f>
        <v/>
      </c>
    </row>
    <row r="89" spans="1:51" ht="12.2" customHeight="1" x14ac:dyDescent="0.2">
      <c r="A89" s="2360"/>
      <c r="B89" s="2252">
        <f t="shared" si="17"/>
        <v>3</v>
      </c>
      <c r="C89" s="4508"/>
      <c r="D89" s="4447" t="s">
        <v>2853</v>
      </c>
      <c r="E89" s="4448"/>
      <c r="F89" s="4435"/>
      <c r="G89" s="4436"/>
      <c r="H89" s="4436"/>
      <c r="I89" s="4436"/>
      <c r="J89" s="4437"/>
      <c r="K89" s="4411"/>
      <c r="L89" s="4412"/>
      <c r="M89" s="4413"/>
      <c r="N89" s="2081" t="str">
        <f>IFERROR(INDEX('Tablas Técnicas'!$Q$200:$Q$299,MATCH(F89&amp;K89,'Tablas Técnicas'!$S$200:$S$299,0)),"")</f>
        <v/>
      </c>
      <c r="O89" s="4414"/>
      <c r="P89" s="4415"/>
      <c r="Q89" s="4416"/>
      <c r="R89" s="4415"/>
      <c r="S89" s="2789" t="str">
        <f>IFERROR("Nivel: "&amp;MAX(1,INDEX('Tablas Técnicas'!$R$200:$R$299,MATCH(F89&amp;K89,'Tablas Técnicas'!$S$200:$S$299,0))),"")</f>
        <v/>
      </c>
      <c r="T89" s="2082"/>
      <c r="U89" s="2083" t="str">
        <f>IFERROR("("&amp;VLOOKUP(F89,'Tablas Técnicas'!$V$199:$X$225,3,FALSE)&amp;")","")</f>
        <v/>
      </c>
      <c r="V89" s="4356" t="s">
        <v>9836</v>
      </c>
      <c r="W89" s="4357"/>
      <c r="X89" s="4358"/>
      <c r="Y89" s="2800">
        <v>0</v>
      </c>
      <c r="Z89" s="4372" t="s">
        <v>9013</v>
      </c>
      <c r="AA89" s="4360"/>
      <c r="AB89" s="4361"/>
      <c r="AC89" s="2800">
        <v>0</v>
      </c>
      <c r="AD89" s="4373" t="str">
        <f>"Ki sin repartir: "&amp;AL97-AL98&amp;IF(AM97=0,""," ("&amp;AM97-AM98&amp;")")</f>
        <v>Ki sin repartir: 0</v>
      </c>
      <c r="AE89" s="4363"/>
      <c r="AF89" s="4363"/>
      <c r="AG89" s="4364"/>
      <c r="AH89" s="2369"/>
      <c r="AI89" s="4511"/>
      <c r="AJ89" s="2920">
        <v>1</v>
      </c>
      <c r="AK89" s="2920">
        <f>P80</f>
        <v>1</v>
      </c>
      <c r="AL89" s="2920" t="e">
        <f>VLOOKUP(F89,'Tablas Técnicas'!$V$199:$X$221,2,FALSE)</f>
        <v>#N/A</v>
      </c>
      <c r="AM89" s="2920"/>
      <c r="AN89" s="2921"/>
      <c r="AO89" s="2920"/>
      <c r="AP89" s="2920"/>
      <c r="AQ89" s="2921"/>
      <c r="AR89" s="2920"/>
      <c r="AS89" s="2920"/>
      <c r="AT89" s="2920"/>
      <c r="AU89" s="2920"/>
      <c r="AV89" s="2920"/>
      <c r="AW89" s="2922"/>
      <c r="AX89" s="2922"/>
      <c r="AY89" s="2920" t="str">
        <f>IF(F89="","",F89&amp;IF(K89="",""," ("&amp;IF(F89="Atadura Elemental",O89&amp;IF(Q89="","",", "&amp;Q89),K89)&amp;")")&amp;", ")</f>
        <v/>
      </c>
    </row>
    <row r="90" spans="1:51" ht="12.2" customHeight="1" x14ac:dyDescent="0.2">
      <c r="A90" s="2360"/>
      <c r="B90" s="2252">
        <f t="shared" si="17"/>
        <v>3</v>
      </c>
      <c r="C90" s="4508"/>
      <c r="D90" s="4449"/>
      <c r="E90" s="4450"/>
      <c r="F90" s="4417"/>
      <c r="G90" s="4418"/>
      <c r="H90" s="4418"/>
      <c r="I90" s="4418"/>
      <c r="J90" s="4419"/>
      <c r="K90" s="4420"/>
      <c r="L90" s="4421"/>
      <c r="M90" s="4422"/>
      <c r="N90" s="2084" t="str">
        <f>IFERROR(INDEX('Tablas Técnicas'!$Q$200:$Q$299,MATCH(F90&amp;K90,'Tablas Técnicas'!$S$200:$S$299,0)),"")</f>
        <v/>
      </c>
      <c r="O90" s="4423"/>
      <c r="P90" s="4424"/>
      <c r="Q90" s="4504"/>
      <c r="R90" s="4424"/>
      <c r="S90" s="2798" t="str">
        <f>IFERROR("Nivel: "&amp;MAX(1,INDEX('Tablas Técnicas'!$R$200:$R$299,MATCH(F90&amp;K90,'Tablas Técnicas'!$S$200:$S$299,0))),"")</f>
        <v/>
      </c>
      <c r="T90" s="2801"/>
      <c r="U90" s="2802" t="str">
        <f>IFERROR("("&amp;VLOOKUP(F90,'Tablas Técnicas'!$V$199:$X$225,3,FALSE)&amp;")","")</f>
        <v/>
      </c>
      <c r="V90" s="4353" t="str">
        <f>"Mod. "&amp;V82</f>
        <v>Mod. AGI</v>
      </c>
      <c r="W90" s="4354"/>
      <c r="X90" s="4353" t="str">
        <f t="shared" ref="X90" si="21">"Mod. "&amp;X82</f>
        <v>Mod. CON</v>
      </c>
      <c r="Y90" s="4354"/>
      <c r="Z90" s="4353" t="str">
        <f t="shared" ref="Z90" si="22">"Mod. "&amp;Z82</f>
        <v>Mod. DES</v>
      </c>
      <c r="AA90" s="4354"/>
      <c r="AB90" s="4353" t="str">
        <f t="shared" ref="AB90" si="23">"Mod. "&amp;AB82</f>
        <v>Mod. FUE</v>
      </c>
      <c r="AC90" s="4354"/>
      <c r="AD90" s="4353" t="str">
        <f t="shared" ref="AD90" si="24">"Mod. "&amp;AD82</f>
        <v>Mod. POD</v>
      </c>
      <c r="AE90" s="4354"/>
      <c r="AF90" s="4353" t="str">
        <f t="shared" ref="AF90" si="25">"Mod. "&amp;AF82</f>
        <v>Mod. VOL</v>
      </c>
      <c r="AG90" s="4355"/>
      <c r="AH90" s="2369"/>
      <c r="AI90" s="4511"/>
      <c r="AJ90" s="2920">
        <v>2</v>
      </c>
      <c r="AK90" s="2920">
        <f>P80</f>
        <v>1</v>
      </c>
      <c r="AL90" s="2920" t="e">
        <f>VLOOKUP(F90,'Tablas Técnicas'!$V$199:$X$221,2,FALSE)</f>
        <v>#N/A</v>
      </c>
      <c r="AM90" s="2920"/>
      <c r="AN90" s="2921"/>
      <c r="AO90" s="2920"/>
      <c r="AP90" s="2920"/>
      <c r="AQ90" s="2921"/>
      <c r="AR90" s="2920"/>
      <c r="AS90" s="2920"/>
      <c r="AT90" s="2920"/>
      <c r="AU90" s="2920"/>
      <c r="AV90" s="2920"/>
      <c r="AW90" s="2922"/>
      <c r="AX90" s="2922"/>
      <c r="AY90" s="2920" t="str">
        <f>IF(F90="","",F90&amp;IF(K90="",""," ("&amp;IF(F90="Atadura Elemental",O90&amp;IF(Q90="","",", "&amp;Q90),K90)&amp;")")&amp;", ")</f>
        <v/>
      </c>
    </row>
    <row r="91" spans="1:51" ht="12.2" customHeight="1" thickBot="1" x14ac:dyDescent="0.25">
      <c r="A91" s="2360"/>
      <c r="B91" s="2252">
        <f t="shared" si="17"/>
        <v>3</v>
      </c>
      <c r="C91" s="4508"/>
      <c r="D91" s="4484"/>
      <c r="E91" s="4485"/>
      <c r="F91" s="4426"/>
      <c r="G91" s="4427"/>
      <c r="H91" s="4427"/>
      <c r="I91" s="4427"/>
      <c r="J91" s="4428"/>
      <c r="K91" s="4429"/>
      <c r="L91" s="4430"/>
      <c r="M91" s="4431"/>
      <c r="N91" s="2085" t="str">
        <f>IFERROR(INDEX('Tablas Técnicas'!$Q$200:$Q$299,MATCH(F91&amp;K91,'Tablas Técnicas'!$S$200:$S$299,0)),"")</f>
        <v/>
      </c>
      <c r="O91" s="4432"/>
      <c r="P91" s="4433"/>
      <c r="Q91" s="4462"/>
      <c r="R91" s="4433"/>
      <c r="S91" s="2799" t="str">
        <f>IFERROR("Nivel: "&amp;MAX(1,INDEX('Tablas Técnicas'!$R$200:$R$299,MATCH(F91&amp;K91,'Tablas Técnicas'!$S$200:$S$299,0))),"")</f>
        <v/>
      </c>
      <c r="T91" s="2803"/>
      <c r="U91" s="2804" t="str">
        <f>IFERROR("("&amp;VLOOKUP(F91,'Tablas Técnicas'!$V$199:$X$225,3,FALSE)&amp;")","")</f>
        <v/>
      </c>
      <c r="V91" s="4368"/>
      <c r="W91" s="4367"/>
      <c r="X91" s="4367"/>
      <c r="Y91" s="4367"/>
      <c r="Z91" s="4367"/>
      <c r="AA91" s="4367"/>
      <c r="AB91" s="4367"/>
      <c r="AC91" s="4367"/>
      <c r="AD91" s="4367"/>
      <c r="AE91" s="4367"/>
      <c r="AF91" s="4367"/>
      <c r="AG91" s="4438"/>
      <c r="AH91" s="2369"/>
      <c r="AI91" s="4511"/>
      <c r="AJ91" s="2920">
        <v>3</v>
      </c>
      <c r="AK91" s="2920">
        <f>P80</f>
        <v>1</v>
      </c>
      <c r="AL91" s="2920" t="e">
        <f>VLOOKUP(F91,'Tablas Técnicas'!$V$199:$X$221,2,FALSE)</f>
        <v>#N/A</v>
      </c>
      <c r="AM91" s="2920"/>
      <c r="AN91" s="2921"/>
      <c r="AO91" s="2920"/>
      <c r="AP91" s="2920"/>
      <c r="AQ91" s="2921"/>
      <c r="AR91" s="2922"/>
      <c r="AS91" s="2922"/>
      <c r="AT91" s="2922"/>
      <c r="AU91" s="2922"/>
      <c r="AV91" s="2922"/>
      <c r="AW91" s="2922"/>
      <c r="AX91" s="2922"/>
      <c r="AY91" s="2920" t="str">
        <f>IF(F91="","",F91&amp;IF(K91="",""," ("&amp;IF(F91="Atadura Elemental",O91&amp;IF(Q91="","",", "&amp;Q91),K91)&amp;")")&amp;", ")</f>
        <v/>
      </c>
    </row>
    <row r="92" spans="1:51" ht="12.2" customHeight="1" x14ac:dyDescent="0.2">
      <c r="A92" s="2360"/>
      <c r="B92" s="2252">
        <f t="shared" si="17"/>
        <v>3</v>
      </c>
      <c r="C92" s="4508"/>
      <c r="D92" s="4386" t="s">
        <v>9511</v>
      </c>
      <c r="E92" s="4387"/>
      <c r="F92" s="4387"/>
      <c r="G92" s="4387"/>
      <c r="H92" s="4387"/>
      <c r="I92" s="4387"/>
      <c r="J92" s="4387"/>
      <c r="K92" s="4387"/>
      <c r="L92" s="4387"/>
      <c r="M92" s="4387"/>
      <c r="N92" s="4387"/>
      <c r="O92" s="4387"/>
      <c r="P92" s="4387"/>
      <c r="Q92" s="4387"/>
      <c r="R92" s="4387"/>
      <c r="S92" s="4387"/>
      <c r="T92" s="4387"/>
      <c r="U92" s="4387"/>
      <c r="V92" s="4388"/>
      <c r="W92" s="4388"/>
      <c r="X92" s="4388"/>
      <c r="Y92" s="4388"/>
      <c r="Z92" s="4388"/>
      <c r="AA92" s="4388"/>
      <c r="AB92" s="4388"/>
      <c r="AC92" s="4388"/>
      <c r="AD92" s="4388"/>
      <c r="AE92" s="4388"/>
      <c r="AF92" s="4388"/>
      <c r="AG92" s="4389"/>
      <c r="AH92" s="2369"/>
      <c r="AI92" s="4511"/>
      <c r="AJ92" s="2920"/>
      <c r="AK92" s="2920"/>
      <c r="AL92" s="2920"/>
      <c r="AM92" s="2920"/>
      <c r="AN92" s="2921" t="s">
        <v>9014</v>
      </c>
      <c r="AO92" s="2920" t="e">
        <f>LEFT(AY84&amp;AY85&amp;AY86&amp;AY87&amp;AY88,LEN(AY84&amp;AY85&amp;AY86&amp;AY87&amp;AY88)-2)</f>
        <v>#VALUE!</v>
      </c>
      <c r="AP92" s="2920"/>
      <c r="AQ92" s="2921"/>
      <c r="AR92" s="2922"/>
      <c r="AS92" s="2922"/>
      <c r="AT92" s="2922"/>
      <c r="AU92" s="2921"/>
      <c r="AV92" s="2921"/>
      <c r="AW92" s="2922"/>
      <c r="AX92" s="2922"/>
      <c r="AY92" s="2920"/>
    </row>
    <row r="93" spans="1:51" ht="12.2" customHeight="1" x14ac:dyDescent="0.2">
      <c r="A93" s="2360"/>
      <c r="B93" s="2252">
        <f t="shared" si="17"/>
        <v>3</v>
      </c>
      <c r="C93" s="4508"/>
      <c r="D93" s="4369" t="str">
        <f>IF(F84="","",F84)</f>
        <v/>
      </c>
      <c r="E93" s="4370"/>
      <c r="F93" s="4370"/>
      <c r="G93" s="4370"/>
      <c r="H93" s="4370"/>
      <c r="I93" s="4371"/>
      <c r="J93" s="4369" t="str">
        <f>IF(F85="","",F85)</f>
        <v/>
      </c>
      <c r="K93" s="4370"/>
      <c r="L93" s="4370"/>
      <c r="M93" s="4370"/>
      <c r="N93" s="4370"/>
      <c r="O93" s="4371"/>
      <c r="P93" s="4370" t="str">
        <f>IF(F86="","",F86)</f>
        <v/>
      </c>
      <c r="Q93" s="4370"/>
      <c r="R93" s="4370"/>
      <c r="S93" s="4370"/>
      <c r="T93" s="4370"/>
      <c r="U93" s="4371"/>
      <c r="V93" s="4369" t="str">
        <f>IF(F87="","",F87)</f>
        <v/>
      </c>
      <c r="W93" s="4370"/>
      <c r="X93" s="4370"/>
      <c r="Y93" s="4370"/>
      <c r="Z93" s="4370"/>
      <c r="AA93" s="4371"/>
      <c r="AB93" s="4370" t="str">
        <f>IF(F88="","",F88)</f>
        <v/>
      </c>
      <c r="AC93" s="4370"/>
      <c r="AD93" s="4370"/>
      <c r="AE93" s="4370"/>
      <c r="AF93" s="4370"/>
      <c r="AG93" s="4385"/>
      <c r="AH93" s="2369"/>
      <c r="AI93" s="4511"/>
      <c r="AJ93" s="2920"/>
      <c r="AK93" s="2920"/>
      <c r="AL93" s="2920"/>
      <c r="AM93" s="2920"/>
      <c r="AN93" s="2921" t="s">
        <v>9015</v>
      </c>
      <c r="AO93" s="2920" t="e">
        <f>LEFT(AY89&amp;AY90&amp;AY91,LEN(AY89&amp;AY90&amp;AY91)-2)</f>
        <v>#VALUE!</v>
      </c>
      <c r="AP93" s="2920"/>
      <c r="AQ93" s="2921"/>
      <c r="AR93" s="2922"/>
      <c r="AS93" s="2922"/>
      <c r="AT93" s="2922"/>
      <c r="AU93" s="2921"/>
      <c r="AV93" s="2921"/>
      <c r="AW93" s="2922"/>
      <c r="AX93" s="2922"/>
      <c r="AY93" s="2920"/>
    </row>
    <row r="94" spans="1:51" ht="12.2" customHeight="1" x14ac:dyDescent="0.2">
      <c r="A94" s="2360"/>
      <c r="B94" s="2252">
        <f t="shared" si="17"/>
        <v>3</v>
      </c>
      <c r="C94" s="4508"/>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511"/>
      <c r="AJ94" s="2920"/>
      <c r="AK94" s="2920"/>
      <c r="AL94" s="2920"/>
      <c r="AM94" s="2920"/>
      <c r="AN94" s="2921"/>
      <c r="AO94" s="2920"/>
      <c r="AP94" s="2920"/>
      <c r="AQ94" s="2921"/>
      <c r="AR94" s="2922"/>
      <c r="AS94" s="2922"/>
      <c r="AT94" s="2922"/>
      <c r="AU94" s="2922"/>
      <c r="AV94" s="2922"/>
      <c r="AW94" s="2922"/>
      <c r="AX94" s="2922"/>
      <c r="AY94" s="2920"/>
    </row>
    <row r="95" spans="1:51" ht="12.2" customHeight="1" x14ac:dyDescent="0.2">
      <c r="A95" s="2360"/>
      <c r="B95" s="2252">
        <f t="shared" si="17"/>
        <v>3</v>
      </c>
      <c r="C95" s="4508"/>
      <c r="D95" s="2198" t="s">
        <v>9016</v>
      </c>
      <c r="E95" s="2806"/>
      <c r="F95" s="2805"/>
      <c r="G95" s="2807"/>
      <c r="H95" s="2807"/>
      <c r="I95" s="2804" t="str">
        <f>IFERROR(IF(D93="Ataque Elemental",IF(NOT(ISNA(VLOOKUP(D97,'Tablas Técnicas'!$Z$25:$Z$30,1,0))),D97,"Variable"),VLOOKUP(D93,'Tablas Técnicas'!$O$9:$W$88,9,FALSE)),"")</f>
        <v/>
      </c>
      <c r="J95" s="2808" t="s">
        <v>9016</v>
      </c>
      <c r="K95" s="2809"/>
      <c r="L95" s="2810"/>
      <c r="M95" s="2811"/>
      <c r="N95" s="2811"/>
      <c r="O95" s="2812" t="str">
        <f>IFERROR(IF(J93="Ataque Elemental",IF(NOT(ISNA(VLOOKUP(J97,'Tablas Técnicas'!$Z$25:$Z$30,1,0))),J97,"Variable"),VLOOKUP(J93,'Tablas Técnicas'!$O$9:$W$88,9,FALSE)),"")</f>
        <v/>
      </c>
      <c r="P95" s="2813" t="s">
        <v>9016</v>
      </c>
      <c r="Q95" s="2809"/>
      <c r="R95" s="2810"/>
      <c r="S95" s="2811"/>
      <c r="T95" s="2811"/>
      <c r="U95" s="2804" t="str">
        <f>IFERROR(IF(P93="Ataque Elemental",IF(NOT(ISNA(VLOOKUP(P97,'Tablas Técnicas'!$Z$25:$Z$30,1,0))),P97,"Variable"),VLOOKUP(P93,'Tablas Técnicas'!$O$9:$W$88,9,FALSE)),"")</f>
        <v/>
      </c>
      <c r="V95" s="2808" t="s">
        <v>9016</v>
      </c>
      <c r="W95" s="2809"/>
      <c r="X95" s="2810"/>
      <c r="Y95" s="2811"/>
      <c r="Z95" s="2811"/>
      <c r="AA95" s="2812" t="str">
        <f>IFERROR(IF(V93="Ataque Elemental",IF(NOT(ISNA(VLOOKUP(V97,'Tablas Técnicas'!$Z$25:$Z$30,1,0))),V97,"Variable"),VLOOKUP(V93,'Tablas Técnicas'!$O$9:$W$88,9,FALSE)),"")</f>
        <v/>
      </c>
      <c r="AB95" s="2813" t="s">
        <v>9016</v>
      </c>
      <c r="AC95" s="2809"/>
      <c r="AD95" s="2810"/>
      <c r="AE95" s="2811"/>
      <c r="AF95" s="2811"/>
      <c r="AG95" s="2203" t="str">
        <f>IFERROR(IF(AB93="Ataque Elemental",IF(NOT(ISNA(VLOOKUP(AB97,'Tablas Técnicas'!$Z$25:$Z$30,1,0))),AB97,"Variable"),VLOOKUP(AB93,'Tablas Técnicas'!$O$9:$W$88,9,FALSE)),"")</f>
        <v/>
      </c>
      <c r="AH95" s="2369"/>
      <c r="AI95" s="4511"/>
      <c r="AJ95" s="2920"/>
      <c r="AK95" s="2922" t="s">
        <v>1376</v>
      </c>
      <c r="AL95" s="2922" t="s">
        <v>1501</v>
      </c>
      <c r="AM95" s="2922" t="s">
        <v>1381</v>
      </c>
      <c r="AN95" s="2922" t="s">
        <v>1386</v>
      </c>
      <c r="AO95" s="2922" t="s">
        <v>1394</v>
      </c>
      <c r="AP95" s="2922" t="s">
        <v>1395</v>
      </c>
      <c r="AQ95" s="2921"/>
      <c r="AR95" s="2922"/>
      <c r="AS95" s="2922"/>
      <c r="AT95" s="2922"/>
      <c r="AU95" s="2922"/>
      <c r="AV95" s="2922"/>
      <c r="AW95" s="2922"/>
      <c r="AX95" s="2922"/>
      <c r="AY95" s="2920"/>
    </row>
    <row r="96" spans="1:51" ht="12.2" customHeight="1" x14ac:dyDescent="0.2">
      <c r="A96" s="2360"/>
      <c r="B96" s="2252">
        <f t="shared" si="17"/>
        <v>3</v>
      </c>
      <c r="C96" s="4508"/>
      <c r="D96" s="4369" t="s">
        <v>2861</v>
      </c>
      <c r="E96" s="4370"/>
      <c r="F96" s="4370"/>
      <c r="G96" s="4370"/>
      <c r="H96" s="4371"/>
      <c r="I96" s="2090" t="s">
        <v>1406</v>
      </c>
      <c r="J96" s="4369" t="s">
        <v>2861</v>
      </c>
      <c r="K96" s="4370"/>
      <c r="L96" s="4370"/>
      <c r="M96" s="4370"/>
      <c r="N96" s="4371"/>
      <c r="O96" s="2091" t="s">
        <v>1406</v>
      </c>
      <c r="P96" s="4369" t="s">
        <v>2861</v>
      </c>
      <c r="Q96" s="4370"/>
      <c r="R96" s="4370"/>
      <c r="S96" s="4370"/>
      <c r="T96" s="4371"/>
      <c r="U96" s="2091" t="s">
        <v>1406</v>
      </c>
      <c r="V96" s="4369"/>
      <c r="W96" s="4370"/>
      <c r="X96" s="4370"/>
      <c r="Y96" s="4370"/>
      <c r="Z96" s="4371"/>
      <c r="AA96" s="2091" t="s">
        <v>1406</v>
      </c>
      <c r="AB96" s="4369" t="s">
        <v>2861</v>
      </c>
      <c r="AC96" s="4370"/>
      <c r="AD96" s="4370"/>
      <c r="AE96" s="4370"/>
      <c r="AF96" s="4371"/>
      <c r="AG96" s="2092" t="s">
        <v>1406</v>
      </c>
      <c r="AH96" s="2369"/>
      <c r="AI96" s="4511"/>
      <c r="AJ96" s="2925" t="s">
        <v>9548</v>
      </c>
      <c r="AK96" s="2920" t="str">
        <f>IF(V82="","",IF(SUM(V84:V88)=0,"",V82&amp;" "&amp;SUM(V84:V88)+V91&amp;IF(SUM(W84:W88)=0,""," ("&amp;SUM(W84:W88)&amp;")")&amp;", "))</f>
        <v/>
      </c>
      <c r="AL96" s="2920" t="str">
        <f>IF(X82="","",IF(SUM(X84:X88)=0,"",X82&amp;" "&amp;SUM(X84:X88)+X91&amp;IF(SUM(Y84:Y88)=0,""," ("&amp;SUM(Y84:Y88)&amp;")")&amp;", "))</f>
        <v/>
      </c>
      <c r="AM96" s="2920" t="str">
        <f>IF(Z82="","",IF(SUM(Z84:Z88)=0,"",Z82&amp;" "&amp;SUM(Z84:Z88)+Z91&amp;IF(SUM(AA84:AA88)=0,""," ("&amp;SUM(AA84:AA88)&amp;")")&amp;", "))</f>
        <v/>
      </c>
      <c r="AN96" s="2920" t="str">
        <f>IF(AB82="","",IF(SUM(AB84:AB88)=0,"",AB82&amp;" "&amp;SUM(AB84:AB88)+AB91&amp;IF(SUM(AC84:AC88)=0,""," ("&amp;SUM(AC84:AC88)&amp;")")&amp;", "))</f>
        <v/>
      </c>
      <c r="AO96" s="2920" t="str">
        <f>IF(AD82="","",IF(SUM(AD84:AD88)=0,"",AD82&amp;" "&amp;SUM(AD84:AD88)+AD91&amp;IF(SUM(AE84:AE88)=0,""," ("&amp;SUM(AE84:AE88)&amp;")")&amp;", "))</f>
        <v/>
      </c>
      <c r="AP96" s="2920" t="str">
        <f>IF(AF82="","",IF(SUM(AF84:AF88)=0,"",AF82&amp;" "&amp;SUM(AF84:AF88)+AF91&amp;IF(SUM(AG84:AG88)=0,""," ("&amp;SUM(AG84:AG88)&amp;")")&amp;", "))</f>
        <v/>
      </c>
      <c r="AQ96" s="2920"/>
      <c r="AR96" s="2920"/>
      <c r="AS96" s="2920"/>
      <c r="AT96" s="2920"/>
      <c r="AU96" s="2920"/>
      <c r="AV96" s="2920"/>
      <c r="AW96" s="2920"/>
      <c r="AX96" s="2920"/>
      <c r="AY96" s="2920"/>
    </row>
    <row r="97" spans="1:51" ht="12.2" customHeight="1" x14ac:dyDescent="0.2">
      <c r="A97" s="2360"/>
      <c r="B97" s="2252">
        <f t="shared" si="17"/>
        <v>3</v>
      </c>
      <c r="C97" s="4508"/>
      <c r="D97" s="4390"/>
      <c r="E97" s="4366"/>
      <c r="F97" s="4366"/>
      <c r="G97" s="4366"/>
      <c r="H97" s="4366"/>
      <c r="I97" s="2093" t="str">
        <f>IF(OR(D93="",D97=""),"",MAX(1,SUMPRODUCT(--(INDEX('Tablas Técnicas'!$C$10:$L$643,,1)=D93),--(INDEX('Tablas Técnicas'!$C$10:$L$643,,2)=D97),INDEX('Tablas Técnicas'!$C$10:$L$643,,9))))</f>
        <v/>
      </c>
      <c r="J97" s="4365"/>
      <c r="K97" s="4366"/>
      <c r="L97" s="4366"/>
      <c r="M97" s="4366"/>
      <c r="N97" s="4366"/>
      <c r="O97" s="2093" t="str">
        <f>IF(OR(J93="",J97=""),"",MAX(1,SUMPRODUCT(--(INDEX('Tablas Técnicas'!$C$10:$L$643,,1)=J93),--(INDEX('Tablas Técnicas'!$C$10:$L$643,,2)=J97),INDEX('Tablas Técnicas'!$C$10:$L$643,,9))))</f>
        <v/>
      </c>
      <c r="P97" s="4365"/>
      <c r="Q97" s="4366"/>
      <c r="R97" s="4366"/>
      <c r="S97" s="4366"/>
      <c r="T97" s="4366"/>
      <c r="U97" s="2093" t="str">
        <f>IF(OR(P93="",P97=""),"",MAX(1,SUMPRODUCT(--(INDEX('Tablas Técnicas'!$C$10:$L$643,,1)=P93),--(INDEX('Tablas Técnicas'!$C$10:$L$643,,2)=P97),INDEX('Tablas Técnicas'!$C$10:$L$643,,9))))</f>
        <v/>
      </c>
      <c r="V97" s="4365"/>
      <c r="W97" s="4366"/>
      <c r="X97" s="4366"/>
      <c r="Y97" s="4366"/>
      <c r="Z97" s="4366"/>
      <c r="AA97" s="2093" t="str">
        <f>IF(OR(V93="",V97=""),"",MAX(1,SUMPRODUCT(--(INDEX('Tablas Técnicas'!$C$10:$L$643,,1)=V93),--(INDEX('Tablas Técnicas'!$C$10:$L$643,,2)=V97),INDEX('Tablas Técnicas'!$C$10:$L$643,,9))))</f>
        <v/>
      </c>
      <c r="AB97" s="4365"/>
      <c r="AC97" s="4366"/>
      <c r="AD97" s="4366"/>
      <c r="AE97" s="4366"/>
      <c r="AF97" s="4366"/>
      <c r="AG97" s="2094" t="str">
        <f>IF(OR(AB93="",AB97=""),"",MAX(1,SUMPRODUCT(--(INDEX('Tablas Técnicas'!$C$10:$L$643,,1)=AB93),--(INDEX('Tablas Técnicas'!$C$10:$L$643,,2)=AB97),INDEX('Tablas Técnicas'!$C$10:$L$643,,9))))</f>
        <v/>
      </c>
      <c r="AH97" s="2369">
        <f>P80</f>
        <v>1</v>
      </c>
      <c r="AI97" s="4511"/>
      <c r="AJ97" s="2920" t="s">
        <v>9512</v>
      </c>
      <c r="AK97" s="2920"/>
      <c r="AL97" s="2920">
        <f>MAX(0,SUM(AT84:AT88)+ABS($AC89*2/5))+IF(AM106,0,Y89)+IF(S80="Si",3*P80,0)</f>
        <v>0</v>
      </c>
      <c r="AM97" s="2920">
        <f t="array" ref="AM97">IF(ISNUMBER(SEARCH("Mantenido",K84&amp;K85&amp;K86&amp;K87&amp;K88)),MAX(0,SUM(VALUE(RIGHT($P84:$P88,2)))),0)</f>
        <v>0</v>
      </c>
      <c r="AN97" s="2922"/>
      <c r="AO97" s="2922"/>
      <c r="AP97" s="2927"/>
      <c r="AQ97" s="2927"/>
      <c r="AR97" s="2927"/>
      <c r="AS97" s="2927"/>
      <c r="AT97" s="2927"/>
      <c r="AU97" s="2927"/>
      <c r="AV97" s="2927"/>
      <c r="AW97" s="2927"/>
      <c r="AX97" s="2927"/>
      <c r="AY97" s="2920"/>
    </row>
    <row r="98" spans="1:51" ht="12.2" customHeight="1" x14ac:dyDescent="0.2">
      <c r="A98" s="2360"/>
      <c r="B98" s="2252">
        <f t="shared" si="17"/>
        <v>3</v>
      </c>
      <c r="C98" s="4508"/>
      <c r="D98" s="4374"/>
      <c r="E98" s="4375"/>
      <c r="F98" s="4375"/>
      <c r="G98" s="4375"/>
      <c r="H98" s="4375"/>
      <c r="I98" s="2095" t="str">
        <f>IF(OR(D93="",D98=""),"",MAX(1,SUMPRODUCT(--(INDEX('Tablas Técnicas'!$C$10:$L$643,,1)=D93),--(INDEX('Tablas Técnicas'!$C$10:$L$643,,2)=D98),INDEX('Tablas Técnicas'!$C$10:$L$643,,9))))</f>
        <v/>
      </c>
      <c r="J98" s="4374"/>
      <c r="K98" s="4375"/>
      <c r="L98" s="4375"/>
      <c r="M98" s="4375"/>
      <c r="N98" s="4375"/>
      <c r="O98" s="2095" t="str">
        <f>IF(OR(J93="",J98=""),"",MAX(1,SUMPRODUCT(--(INDEX('Tablas Técnicas'!$C$10:$L$643,,1)=J93),--(INDEX('Tablas Técnicas'!$C$10:$L$643,,2)=J98),INDEX('Tablas Técnicas'!$C$10:$L$643,,9))))</f>
        <v/>
      </c>
      <c r="P98" s="4374"/>
      <c r="Q98" s="4375"/>
      <c r="R98" s="4375"/>
      <c r="S98" s="4375"/>
      <c r="T98" s="4375"/>
      <c r="U98" s="2095" t="str">
        <f>IF(OR(P93="",P98=""),"",MAX(1,SUMPRODUCT(--(INDEX('Tablas Técnicas'!$C$10:$L$643,,1)=P93),--(INDEX('Tablas Técnicas'!$C$10:$L$643,,2)=P98),INDEX('Tablas Técnicas'!$C$10:$L$643,,9))))</f>
        <v/>
      </c>
      <c r="V98" s="4374"/>
      <c r="W98" s="4375"/>
      <c r="X98" s="4375"/>
      <c r="Y98" s="4375"/>
      <c r="Z98" s="4375"/>
      <c r="AA98" s="2095" t="str">
        <f>IF(OR(V93="",V98=""),"",MAX(1,SUMPRODUCT(--(INDEX('Tablas Técnicas'!$C$10:$L$643,,1)=V93),--(INDEX('Tablas Técnicas'!$C$10:$L$643,,2)=V98),INDEX('Tablas Técnicas'!$C$10:$L$643,,9))))</f>
        <v/>
      </c>
      <c r="AB98" s="4374"/>
      <c r="AC98" s="4375"/>
      <c r="AD98" s="4375"/>
      <c r="AE98" s="4375"/>
      <c r="AF98" s="4375"/>
      <c r="AG98" s="2096" t="str">
        <f>IF(OR(AB93="",AB98=""),"",MAX(1,SUMPRODUCT(--(INDEX('Tablas Técnicas'!$C$10:$L$643,,1)=AB93),--(INDEX('Tablas Técnicas'!$C$10:$L$643,,2)=AB98),INDEX('Tablas Técnicas'!$C$10:$L$643,,9))))</f>
        <v/>
      </c>
      <c r="AH98" s="2369">
        <f>P80</f>
        <v>1</v>
      </c>
      <c r="AI98" s="4511"/>
      <c r="AJ98" s="2920" t="s">
        <v>9018</v>
      </c>
      <c r="AK98" s="2920"/>
      <c r="AL98" s="2920">
        <f>SUM(V84:V88,X84:X88,Z84:Z88,AB84:AB88,AD84:AD88,AF84:AF88)+SUM(V91:AG91)</f>
        <v>0</v>
      </c>
      <c r="AM98" s="2920">
        <f>SUM(W84:W88,Y84:Y88,AA84:AA88,AC84:AC88,AE84:AE88,AG84:AG88)</f>
        <v>0</v>
      </c>
      <c r="AN98" s="2920"/>
      <c r="AO98" s="2920"/>
      <c r="AP98" s="2920"/>
      <c r="AQ98" s="2920"/>
      <c r="AR98" s="2920"/>
      <c r="AS98" s="2920"/>
      <c r="AT98" s="2920"/>
      <c r="AU98" s="2920"/>
      <c r="AV98" s="2920"/>
      <c r="AW98" s="2922"/>
      <c r="AX98" s="2920"/>
      <c r="AY98" s="2920"/>
    </row>
    <row r="99" spans="1:51" ht="12.2" customHeight="1" x14ac:dyDescent="0.2">
      <c r="A99" s="2360"/>
      <c r="B99" s="2252">
        <f t="shared" si="17"/>
        <v>3</v>
      </c>
      <c r="C99" s="4508"/>
      <c r="D99" s="4374"/>
      <c r="E99" s="4375"/>
      <c r="F99" s="4375"/>
      <c r="G99" s="4375"/>
      <c r="H99" s="4375"/>
      <c r="I99" s="2095" t="str">
        <f>IF(OR(D93="",D99=""),"",MAX(1,SUMPRODUCT(--(INDEX('Tablas Técnicas'!$C$10:$L$643,,1)=D93),--(INDEX('Tablas Técnicas'!$C$10:$L$643,,2)=D99),INDEX('Tablas Técnicas'!$C$10:$L$643,,9))))</f>
        <v/>
      </c>
      <c r="J99" s="4374"/>
      <c r="K99" s="4375"/>
      <c r="L99" s="4375"/>
      <c r="M99" s="4375"/>
      <c r="N99" s="4375"/>
      <c r="O99" s="2095" t="str">
        <f>IF(OR(J93="",J99=""),"",MAX(1,SUMPRODUCT(--(INDEX('Tablas Técnicas'!$C$10:$L$643,,1)=J93),--(INDEX('Tablas Técnicas'!$C$10:$L$643,,2)=J99),INDEX('Tablas Técnicas'!$C$10:$L$643,,9))))</f>
        <v/>
      </c>
      <c r="P99" s="4374"/>
      <c r="Q99" s="4375"/>
      <c r="R99" s="4375"/>
      <c r="S99" s="4375"/>
      <c r="T99" s="4375"/>
      <c r="U99" s="2095" t="str">
        <f>IF(OR(P93="",P99=""),"",MAX(1,SUMPRODUCT(--(INDEX('Tablas Técnicas'!$C$10:$L$643,,1)=P93),--(INDEX('Tablas Técnicas'!$C$10:$L$643,,2)=P99),INDEX('Tablas Técnicas'!$C$10:$L$643,,9))))</f>
        <v/>
      </c>
      <c r="V99" s="4374"/>
      <c r="W99" s="4375"/>
      <c r="X99" s="4375"/>
      <c r="Y99" s="4375"/>
      <c r="Z99" s="4375"/>
      <c r="AA99" s="2095" t="str">
        <f>IF(OR(V93="",V99=""),"",MAX(1,SUMPRODUCT(--(INDEX('Tablas Técnicas'!$C$10:$L$643,,1)=V93),--(INDEX('Tablas Técnicas'!$C$10:$L$643,,2)=V99),INDEX('Tablas Técnicas'!$C$10:$L$643,,9))))</f>
        <v/>
      </c>
      <c r="AB99" s="4374"/>
      <c r="AC99" s="4375"/>
      <c r="AD99" s="4375"/>
      <c r="AE99" s="4375"/>
      <c r="AF99" s="4375"/>
      <c r="AG99" s="2096" t="str">
        <f>IF(OR(AB93="",AB99=""),"",MAX(1,SUMPRODUCT(--(INDEX('Tablas Técnicas'!$C$10:$L$643,,1)=AB93),--(INDEX('Tablas Técnicas'!$C$10:$L$643,,2)=AB99),INDEX('Tablas Técnicas'!$C$10:$L$643,,9))))</f>
        <v/>
      </c>
      <c r="AH99" s="2369">
        <f>P80</f>
        <v>1</v>
      </c>
      <c r="AI99" s="4511"/>
      <c r="AJ99" s="2920"/>
      <c r="AK99" s="2920"/>
      <c r="AL99" s="2920"/>
      <c r="AM99" s="2920"/>
      <c r="AN99" s="2920"/>
      <c r="AO99" s="2920"/>
      <c r="AP99" s="2920"/>
      <c r="AQ99" s="2920"/>
      <c r="AR99" s="2920"/>
      <c r="AS99" s="2920"/>
      <c r="AT99" s="2920"/>
      <c r="AU99" s="2920"/>
      <c r="AV99" s="2920"/>
      <c r="AW99" s="2922"/>
      <c r="AX99" s="2922"/>
      <c r="AY99" s="2920"/>
    </row>
    <row r="100" spans="1:51" ht="12.2" customHeight="1" x14ac:dyDescent="0.2">
      <c r="A100" s="2360"/>
      <c r="B100" s="2252">
        <f t="shared" si="17"/>
        <v>3</v>
      </c>
      <c r="C100" s="4508"/>
      <c r="D100" s="4374"/>
      <c r="E100" s="4375"/>
      <c r="F100" s="4375"/>
      <c r="G100" s="4375"/>
      <c r="H100" s="4375"/>
      <c r="I100" s="2095" t="str">
        <f>IF(OR(D93="",D100=""),"",MAX(1,SUMPRODUCT(--(INDEX('Tablas Técnicas'!$C$10:$L$643,,1)=D93),--(INDEX('Tablas Técnicas'!$C$10:$L$643,,2)=D100),INDEX('Tablas Técnicas'!$C$10:$L$643,,9))))</f>
        <v/>
      </c>
      <c r="J100" s="4374"/>
      <c r="K100" s="4375"/>
      <c r="L100" s="4375"/>
      <c r="M100" s="4375"/>
      <c r="N100" s="4375"/>
      <c r="O100" s="2095" t="str">
        <f>IF(OR(J93="",J100=""),"",MAX(1,SUMPRODUCT(--(INDEX('Tablas Técnicas'!$C$10:$L$643,,1)=J93),--(INDEX('Tablas Técnicas'!$C$10:$L$643,,2)=J100),INDEX('Tablas Técnicas'!$C$10:$L$643,,9))))</f>
        <v/>
      </c>
      <c r="P100" s="4374"/>
      <c r="Q100" s="4375"/>
      <c r="R100" s="4375"/>
      <c r="S100" s="4375"/>
      <c r="T100" s="4375"/>
      <c r="U100" s="2095" t="str">
        <f>IF(OR(P93="",P100=""),"",MAX(1,SUMPRODUCT(--(INDEX('Tablas Técnicas'!$C$10:$L$643,,1)=P93),--(INDEX('Tablas Técnicas'!$C$10:$L$643,,2)=P100),INDEX('Tablas Técnicas'!$C$10:$L$643,,9))))</f>
        <v/>
      </c>
      <c r="V100" s="4374"/>
      <c r="W100" s="4375"/>
      <c r="X100" s="4375"/>
      <c r="Y100" s="4375"/>
      <c r="Z100" s="4375"/>
      <c r="AA100" s="2095" t="str">
        <f>IF(OR(V93="",V100=""),"",MAX(1,SUMPRODUCT(--(INDEX('Tablas Técnicas'!$C$10:$L$643,,1)=V93),--(INDEX('Tablas Técnicas'!$C$10:$L$643,,2)=V100),INDEX('Tablas Técnicas'!$C$10:$L$643,,9))))</f>
        <v/>
      </c>
      <c r="AB100" s="4374"/>
      <c r="AC100" s="4375"/>
      <c r="AD100" s="4375"/>
      <c r="AE100" s="4375"/>
      <c r="AF100" s="4375"/>
      <c r="AG100" s="2096" t="str">
        <f>IF(OR(AB93="",AB100=""),"",MAX(1,SUMPRODUCT(--(INDEX('Tablas Técnicas'!$C$10:$L$643,,1)=AB93),--(INDEX('Tablas Técnicas'!$C$10:$L$643,,2)=AB100),INDEX('Tablas Técnicas'!$C$10:$L$643,,9))))</f>
        <v/>
      </c>
      <c r="AH100" s="2369">
        <f>P80</f>
        <v>1</v>
      </c>
      <c r="AI100" s="4511"/>
      <c r="AJ100" s="2920" t="s">
        <v>9019</v>
      </c>
      <c r="AK100" s="2920"/>
      <c r="AL100" s="2920"/>
      <c r="AM100" s="2920"/>
      <c r="AN100" s="2920"/>
      <c r="AO100" s="2920"/>
      <c r="AP100" s="2920"/>
      <c r="AQ100" s="2921"/>
      <c r="AR100" s="2922"/>
      <c r="AS100" s="2922"/>
      <c r="AT100" s="2922"/>
      <c r="AU100" s="2922"/>
      <c r="AV100" s="2922"/>
      <c r="AW100" s="2922"/>
      <c r="AX100" s="2922"/>
      <c r="AY100" s="2920"/>
    </row>
    <row r="101" spans="1:51" ht="12.2" customHeight="1" x14ac:dyDescent="0.2">
      <c r="A101" s="2360"/>
      <c r="B101" s="2252">
        <f t="shared" si="17"/>
        <v>3</v>
      </c>
      <c r="C101" s="4508"/>
      <c r="D101" s="4374"/>
      <c r="E101" s="4375"/>
      <c r="F101" s="4375"/>
      <c r="G101" s="4375"/>
      <c r="H101" s="4375"/>
      <c r="I101" s="2095" t="str">
        <f>IF(OR(D93="",D101=""),"",MAX(1,SUMPRODUCT(--(INDEX('Tablas Técnicas'!$C$10:$L$643,,1)=D93),--(INDEX('Tablas Técnicas'!$C$10:$L$643,,2)=D101),INDEX('Tablas Técnicas'!$C$10:$L$643,,9))))</f>
        <v/>
      </c>
      <c r="J101" s="4374"/>
      <c r="K101" s="4375"/>
      <c r="L101" s="4375"/>
      <c r="M101" s="4375"/>
      <c r="N101" s="4375"/>
      <c r="O101" s="2095" t="str">
        <f>IF(OR(J93="",J101=""),"",MAX(1,SUMPRODUCT(--(INDEX('Tablas Técnicas'!$C$10:$L$643,,1)=J93),--(INDEX('Tablas Técnicas'!$C$10:$L$643,,2)=J101),INDEX('Tablas Técnicas'!$C$10:$L$643,,9))))</f>
        <v/>
      </c>
      <c r="P101" s="4374"/>
      <c r="Q101" s="4375"/>
      <c r="R101" s="4375"/>
      <c r="S101" s="4375"/>
      <c r="T101" s="4375"/>
      <c r="U101" s="2095" t="str">
        <f>IF(OR(P93="",P101=""),"",MAX(1,SUMPRODUCT(--(INDEX('Tablas Técnicas'!$C$10:$L$643,,1)=P93),--(INDEX('Tablas Técnicas'!$C$10:$L$643,,2)=P101),INDEX('Tablas Técnicas'!$C$10:$L$643,,9))))</f>
        <v/>
      </c>
      <c r="V101" s="4374"/>
      <c r="W101" s="4375"/>
      <c r="X101" s="4375"/>
      <c r="Y101" s="4375"/>
      <c r="Z101" s="4375"/>
      <c r="AA101" s="2095" t="str">
        <f>IF(OR(V93="",V101=""),"",MAX(1,SUMPRODUCT(--(INDEX('Tablas Técnicas'!$C$10:$L$643,,1)=V93),--(INDEX('Tablas Técnicas'!$C$10:$L$643,,2)=V101),INDEX('Tablas Técnicas'!$C$10:$L$643,,9))))</f>
        <v/>
      </c>
      <c r="AB101" s="4374"/>
      <c r="AC101" s="4375"/>
      <c r="AD101" s="4375"/>
      <c r="AE101" s="4375"/>
      <c r="AF101" s="4375"/>
      <c r="AG101" s="2096" t="str">
        <f>IF(OR(AB93="",AB101=""),"",MAX(1,SUMPRODUCT(--(INDEX('Tablas Técnicas'!$C$10:$L$643,,1)=AB93),--(INDEX('Tablas Técnicas'!$C$10:$L$643,,2)=AB101),INDEX('Tablas Técnicas'!$C$10:$L$643,,9))))</f>
        <v/>
      </c>
      <c r="AH101" s="2369">
        <f>P80</f>
        <v>1</v>
      </c>
      <c r="AI101" s="4511"/>
      <c r="AJ101" s="2920" t="s">
        <v>10184</v>
      </c>
      <c r="AK101" s="2920"/>
      <c r="AL101" s="2920"/>
      <c r="AM101" s="2920" t="b">
        <f>U80&gt;IF(P80=3,200,IF(P80=2,100,50))</f>
        <v>0</v>
      </c>
      <c r="AN101" s="2920"/>
      <c r="AO101" s="2920"/>
      <c r="AP101" s="2920"/>
      <c r="AQ101" s="2920"/>
      <c r="AR101" s="2922"/>
      <c r="AS101" s="2922"/>
      <c r="AT101" s="2922"/>
      <c r="AU101" s="2922"/>
      <c r="AV101" s="2922"/>
      <c r="AW101" s="2922"/>
      <c r="AX101" s="2922"/>
      <c r="AY101" s="2920"/>
    </row>
    <row r="102" spans="1:51" ht="12.2" customHeight="1" x14ac:dyDescent="0.2">
      <c r="A102" s="2360"/>
      <c r="B102" s="2252">
        <f t="shared" si="17"/>
        <v>3</v>
      </c>
      <c r="C102" s="4508"/>
      <c r="D102" s="4374"/>
      <c r="E102" s="4375"/>
      <c r="F102" s="4375"/>
      <c r="G102" s="4375"/>
      <c r="H102" s="4375"/>
      <c r="I102" s="2095" t="str">
        <f>IF(OR(D93="",D102=""),"",MAX(1,SUMPRODUCT(--(INDEX('Tablas Técnicas'!$C$10:$L$643,,1)=D93),--(INDEX('Tablas Técnicas'!$C$10:$L$643,,2)=D102),INDEX('Tablas Técnicas'!$C$10:$L$643,,9))))</f>
        <v/>
      </c>
      <c r="J102" s="4374"/>
      <c r="K102" s="4375"/>
      <c r="L102" s="4375"/>
      <c r="M102" s="4375"/>
      <c r="N102" s="4375"/>
      <c r="O102" s="2095" t="str">
        <f>IF(OR(J93="",J102=""),"",MAX(1,SUMPRODUCT(--(INDEX('Tablas Técnicas'!$C$10:$L$643,,1)=J93),--(INDEX('Tablas Técnicas'!$C$10:$L$643,,2)=J102),INDEX('Tablas Técnicas'!$C$10:$L$643,,9))))</f>
        <v/>
      </c>
      <c r="P102" s="4374"/>
      <c r="Q102" s="4375"/>
      <c r="R102" s="4375"/>
      <c r="S102" s="4375"/>
      <c r="T102" s="4375"/>
      <c r="U102" s="2095" t="str">
        <f>IF(OR(P93="",P102=""),"",MAX(1,SUMPRODUCT(--(INDEX('Tablas Técnicas'!$C$10:$L$643,,1)=P93),--(INDEX('Tablas Técnicas'!$C$10:$L$643,,2)=P102),INDEX('Tablas Técnicas'!$C$10:$L$643,,9))))</f>
        <v/>
      </c>
      <c r="V102" s="4374"/>
      <c r="W102" s="4375"/>
      <c r="X102" s="4375"/>
      <c r="Y102" s="4375"/>
      <c r="Z102" s="4375"/>
      <c r="AA102" s="2095" t="str">
        <f>IF(OR(V93="",V102=""),"",MAX(1,SUMPRODUCT(--(INDEX('Tablas Técnicas'!$C$10:$L$643,,1)=V93),--(INDEX('Tablas Técnicas'!$C$10:$L$643,,2)=V102),INDEX('Tablas Técnicas'!$C$10:$L$643,,9))))</f>
        <v/>
      </c>
      <c r="AB102" s="4374"/>
      <c r="AC102" s="4375"/>
      <c r="AD102" s="4375"/>
      <c r="AE102" s="4375"/>
      <c r="AF102" s="4375"/>
      <c r="AG102" s="2096" t="str">
        <f>IF(OR(AB93="",AB102=""),"",MAX(1,SUMPRODUCT(--(INDEX('Tablas Técnicas'!$C$10:$L$643,,1)=AB93),--(INDEX('Tablas Técnicas'!$C$10:$L$643,,2)=AB102),INDEX('Tablas Técnicas'!$C$10:$L$643,,9))))</f>
        <v/>
      </c>
      <c r="AH102" s="2369">
        <f>P80</f>
        <v>1</v>
      </c>
      <c r="AI102" s="4511"/>
      <c r="AJ102" s="2920" t="s">
        <v>9020</v>
      </c>
      <c r="AK102" s="2920"/>
      <c r="AL102" s="2920"/>
      <c r="AM102" s="2920" t="b">
        <f t="array" ref="AM102">MAX(I97:I103,O97:O103,U97:U103,AA97:AA103,AG97:AG103,RIGHT(S89:S91,1))&gt;P80</f>
        <v>0</v>
      </c>
      <c r="AN102" s="2920"/>
      <c r="AO102" s="2920"/>
      <c r="AP102" s="2920"/>
      <c r="AQ102" s="2921"/>
      <c r="AR102" s="2922"/>
      <c r="AS102" s="2922"/>
      <c r="AT102" s="2922"/>
      <c r="AU102" s="2922"/>
      <c r="AV102" s="2922"/>
      <c r="AW102" s="2922"/>
      <c r="AX102" s="2922"/>
      <c r="AY102" s="2920"/>
    </row>
    <row r="103" spans="1:51" ht="12.2" customHeight="1" x14ac:dyDescent="0.2">
      <c r="A103" s="2360"/>
      <c r="B103" s="2252">
        <f t="shared" si="17"/>
        <v>3</v>
      </c>
      <c r="C103" s="4508"/>
      <c r="D103" s="4401"/>
      <c r="E103" s="4402"/>
      <c r="F103" s="4402"/>
      <c r="G103" s="4402"/>
      <c r="H103" s="4402"/>
      <c r="I103" s="2097" t="str">
        <f>IF(OR(D93="",D103=""),"",MAX(1,SUMPRODUCT(--(INDEX('Tablas Técnicas'!$C$10:$L$643,,1)=D93),--(INDEX('Tablas Técnicas'!$C$10:$L$643,,2)=D103),INDEX('Tablas Técnicas'!$C$10:$L$643,,9))))</f>
        <v/>
      </c>
      <c r="J103" s="4401"/>
      <c r="K103" s="4402"/>
      <c r="L103" s="4402"/>
      <c r="M103" s="4402"/>
      <c r="N103" s="4402"/>
      <c r="O103" s="2097" t="str">
        <f>IF(OR(J93="",J103=""),"",MAX(1,SUMPRODUCT(--(INDEX('Tablas Técnicas'!$C$10:$L$643,,1)=J93),--(INDEX('Tablas Técnicas'!$C$10:$L$643,,2)=J103),INDEX('Tablas Técnicas'!$C$10:$L$643,,9))))</f>
        <v/>
      </c>
      <c r="P103" s="4401"/>
      <c r="Q103" s="4402"/>
      <c r="R103" s="4402"/>
      <c r="S103" s="4402"/>
      <c r="T103" s="4402"/>
      <c r="U103" s="2097" t="str">
        <f>IF(OR(P93="",P103=""),"",MAX(1,SUMPRODUCT(--(INDEX('Tablas Técnicas'!$C$10:$L$643,,1)=P93),--(INDEX('Tablas Técnicas'!$C$10:$L$643,,2)=P103),INDEX('Tablas Técnicas'!$C$10:$L$643,,9))))</f>
        <v/>
      </c>
      <c r="V103" s="4401"/>
      <c r="W103" s="4402"/>
      <c r="X103" s="4402"/>
      <c r="Y103" s="4402"/>
      <c r="Z103" s="4402"/>
      <c r="AA103" s="2097" t="str">
        <f>IF(OR(V93="",V103=""),"",MAX(1,SUMPRODUCT(--(INDEX('Tablas Técnicas'!$C$10:$L$643,,1)=V93),--(INDEX('Tablas Técnicas'!$C$10:$L$643,,2)=V103),INDEX('Tablas Técnicas'!$C$10:$L$643,,9))))</f>
        <v/>
      </c>
      <c r="AB103" s="4401"/>
      <c r="AC103" s="4402"/>
      <c r="AD103" s="4402"/>
      <c r="AE103" s="4402"/>
      <c r="AF103" s="4402"/>
      <c r="AG103" s="2098" t="str">
        <f>IF(OR(AB93="",AB103=""),"",MAX(1,SUMPRODUCT(--(INDEX('Tablas Técnicas'!$C$10:$L$643,,1)=AB93),--(INDEX('Tablas Técnicas'!$C$10:$L$643,,2)=AB103),INDEX('Tablas Técnicas'!$C$10:$L$643,,9))))</f>
        <v/>
      </c>
      <c r="AH103" s="2369">
        <f>P80</f>
        <v>1</v>
      </c>
      <c r="AI103" s="4511"/>
      <c r="AJ103" s="2920" t="s">
        <v>9529</v>
      </c>
      <c r="AK103" s="2920"/>
      <c r="AL103" s="2920"/>
      <c r="AM103" s="2920" t="b">
        <f>AND(COUNTIF(K84:M88,"Mantenido"),OR(COUNTIF(K84:M88,"Sostenimiento Menor"),COUNTIF(K84:M88,"Sostenimiento Mayor")))</f>
        <v>0</v>
      </c>
      <c r="AN103" s="2921"/>
      <c r="AO103" s="2920"/>
      <c r="AP103" s="2920"/>
      <c r="AQ103" s="2920"/>
      <c r="AR103" s="2920"/>
      <c r="AS103" s="2920"/>
      <c r="AT103" s="2920"/>
      <c r="AU103" s="2922"/>
      <c r="AV103" s="2922"/>
      <c r="AW103" s="2922"/>
      <c r="AX103" s="2922"/>
      <c r="AY103" s="2920"/>
    </row>
    <row r="104" spans="1:51" ht="12.2" customHeight="1" x14ac:dyDescent="0.2">
      <c r="A104" s="2360"/>
      <c r="B104" s="2252">
        <f t="shared" si="17"/>
        <v>3</v>
      </c>
      <c r="C104" s="4508"/>
      <c r="D104" s="4386" t="s">
        <v>1553</v>
      </c>
      <c r="E104" s="4387"/>
      <c r="F104" s="4387"/>
      <c r="G104" s="4387"/>
      <c r="H104" s="4387"/>
      <c r="I104" s="4387"/>
      <c r="J104" s="4387"/>
      <c r="K104" s="4387"/>
      <c r="L104" s="4387"/>
      <c r="M104" s="4387"/>
      <c r="N104" s="4387"/>
      <c r="O104" s="4387"/>
      <c r="P104" s="4387"/>
      <c r="Q104" s="4387"/>
      <c r="R104" s="4387"/>
      <c r="S104" s="4387"/>
      <c r="T104" s="4387"/>
      <c r="U104" s="4387"/>
      <c r="V104" s="4387"/>
      <c r="W104" s="4387"/>
      <c r="X104" s="4387"/>
      <c r="Y104" s="4387"/>
      <c r="Z104" s="4387"/>
      <c r="AA104" s="4387"/>
      <c r="AB104" s="4387"/>
      <c r="AC104" s="4387"/>
      <c r="AD104" s="4387"/>
      <c r="AE104" s="4387"/>
      <c r="AF104" s="4387"/>
      <c r="AG104" s="4442"/>
      <c r="AH104" s="2369"/>
      <c r="AI104" s="4511"/>
      <c r="AJ104" s="2920" t="s">
        <v>9528</v>
      </c>
      <c r="AK104" s="2920"/>
      <c r="AL104" s="2920"/>
      <c r="AM104" s="292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20"/>
      <c r="AO104" s="2920"/>
      <c r="AP104" s="2920"/>
      <c r="AQ104" s="2921"/>
      <c r="AR104" s="2920"/>
      <c r="AS104" s="2920"/>
      <c r="AT104" s="2920"/>
      <c r="AU104" s="2922"/>
      <c r="AV104" s="2922"/>
      <c r="AW104" s="2922"/>
      <c r="AX104" s="2922"/>
      <c r="AY104" s="2920"/>
    </row>
    <row r="105" spans="1:51" ht="12.2" customHeight="1" x14ac:dyDescent="0.2">
      <c r="A105" s="2360"/>
      <c r="B105" s="2252">
        <f t="shared" si="17"/>
        <v>3</v>
      </c>
      <c r="C105" s="4508"/>
      <c r="D105" s="4443"/>
      <c r="E105" s="4461"/>
      <c r="F105" s="4461"/>
      <c r="G105" s="4461"/>
      <c r="H105" s="4461"/>
      <c r="I105" s="4461"/>
      <c r="J105" s="4461"/>
      <c r="K105" s="4461"/>
      <c r="L105" s="4461"/>
      <c r="M105" s="4461"/>
      <c r="N105" s="4461"/>
      <c r="O105" s="4461"/>
      <c r="P105" s="4461"/>
      <c r="Q105" s="4461"/>
      <c r="R105" s="4461"/>
      <c r="S105" s="4461"/>
      <c r="T105" s="4461"/>
      <c r="U105" s="4461"/>
      <c r="V105" s="4461"/>
      <c r="W105" s="4461"/>
      <c r="X105" s="4461"/>
      <c r="Y105" s="4461"/>
      <c r="Z105" s="4461"/>
      <c r="AA105" s="4461"/>
      <c r="AB105" s="4461"/>
      <c r="AC105" s="4461"/>
      <c r="AD105" s="4461"/>
      <c r="AE105" s="4461"/>
      <c r="AF105" s="4461"/>
      <c r="AG105" s="4445"/>
      <c r="AH105" s="2369"/>
      <c r="AI105" s="4511"/>
      <c r="AJ105" s="2920" t="s">
        <v>9536</v>
      </c>
      <c r="AK105" s="2920"/>
      <c r="AL105" s="2920"/>
      <c r="AM105" s="292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20"/>
      <c r="AO105" s="2920"/>
      <c r="AP105" s="2920"/>
      <c r="AQ105" s="2921"/>
      <c r="AR105" s="2920"/>
      <c r="AS105" s="2920"/>
      <c r="AT105" s="2920"/>
      <c r="AU105" s="2922"/>
      <c r="AV105" s="2922"/>
      <c r="AW105" s="2922"/>
      <c r="AX105" s="2922"/>
      <c r="AY105" s="2920"/>
    </row>
    <row r="106" spans="1:51" ht="12.2" customHeight="1" x14ac:dyDescent="0.2">
      <c r="A106" s="2360"/>
      <c r="B106" s="2252">
        <f t="shared" si="17"/>
        <v>3</v>
      </c>
      <c r="C106" s="4508"/>
      <c r="D106" s="4443"/>
      <c r="E106" s="4461"/>
      <c r="F106" s="4461"/>
      <c r="G106" s="4461"/>
      <c r="H106" s="4461"/>
      <c r="I106" s="4461"/>
      <c r="J106" s="4461"/>
      <c r="K106" s="4461"/>
      <c r="L106" s="4461"/>
      <c r="M106" s="4461"/>
      <c r="N106" s="4461"/>
      <c r="O106" s="4461"/>
      <c r="P106" s="4461"/>
      <c r="Q106" s="4461"/>
      <c r="R106" s="4461"/>
      <c r="S106" s="4461"/>
      <c r="T106" s="4461"/>
      <c r="U106" s="4461"/>
      <c r="V106" s="4461"/>
      <c r="W106" s="4461"/>
      <c r="X106" s="4461"/>
      <c r="Y106" s="4461"/>
      <c r="Z106" s="4461"/>
      <c r="AA106" s="4461"/>
      <c r="AB106" s="4461"/>
      <c r="AC106" s="4461"/>
      <c r="AD106" s="4461"/>
      <c r="AE106" s="4461"/>
      <c r="AF106" s="4461"/>
      <c r="AG106" s="4445"/>
      <c r="AH106" s="2369"/>
      <c r="AI106" s="4511"/>
      <c r="AJ106" s="2920" t="s">
        <v>9515</v>
      </c>
      <c r="AK106" s="2920"/>
      <c r="AL106" s="2920"/>
      <c r="AM106" s="2920" t="b">
        <f>AND((IF(SUM(V84:V88)&gt;0,1,0)+IF(SUM(X84:X88)&gt;0,1,0)+IF(SUM(Z84:Z88)&gt;0,1,0)+IF(SUM(AB84:AB88)&gt;0,1,0)+IF(SUM(AD84:AD88,)&gt;0,1,0)+IF(SUM(AF84:AF88)&gt;0,1,0))&lt;3,OR(V91&lt;0,X91&lt;0,Z91&lt;0,AB91&lt;0,AD91&lt;0,AF91&lt;0,Y89&lt;0))</f>
        <v>0</v>
      </c>
      <c r="AN106" s="2920"/>
      <c r="AO106" s="2920"/>
      <c r="AP106" s="2920"/>
      <c r="AQ106" s="2921"/>
      <c r="AR106" s="2920"/>
      <c r="AS106" s="2920"/>
      <c r="AT106" s="2920"/>
      <c r="AU106" s="2922"/>
      <c r="AV106" s="2922"/>
      <c r="AW106" s="2922"/>
      <c r="AX106" s="2922"/>
      <c r="AY106" s="2920"/>
    </row>
    <row r="107" spans="1:51" ht="12.2" customHeight="1" x14ac:dyDescent="0.2">
      <c r="A107" s="2360"/>
      <c r="B107" s="2252">
        <f t="shared" si="17"/>
        <v>3</v>
      </c>
      <c r="C107" s="4508"/>
      <c r="D107" s="4443"/>
      <c r="E107" s="4461"/>
      <c r="F107" s="4461"/>
      <c r="G107" s="4461"/>
      <c r="H107" s="4461"/>
      <c r="I107" s="4461"/>
      <c r="J107" s="4461"/>
      <c r="K107" s="4461"/>
      <c r="L107" s="4461"/>
      <c r="M107" s="4461"/>
      <c r="N107" s="4461"/>
      <c r="O107" s="4461"/>
      <c r="P107" s="4461"/>
      <c r="Q107" s="4461"/>
      <c r="R107" s="4461"/>
      <c r="S107" s="4461"/>
      <c r="T107" s="4461"/>
      <c r="U107" s="4461"/>
      <c r="V107" s="4461"/>
      <c r="W107" s="4461"/>
      <c r="X107" s="4461"/>
      <c r="Y107" s="4461"/>
      <c r="Z107" s="4461"/>
      <c r="AA107" s="4461"/>
      <c r="AB107" s="4461"/>
      <c r="AC107" s="4461"/>
      <c r="AD107" s="4461"/>
      <c r="AE107" s="4461"/>
      <c r="AF107" s="4461"/>
      <c r="AG107" s="4445"/>
      <c r="AH107" s="2369"/>
      <c r="AI107" s="4511"/>
      <c r="AJ107" s="2920" t="s">
        <v>9530</v>
      </c>
      <c r="AK107" s="2920"/>
      <c r="AL107" s="2920"/>
      <c r="AM107" s="2920" t="b">
        <f>OR(-V91&gt;TRUNC(SUM(V84:V88)/2),-X91&gt;TRUNC(SUM(X84:X88)/2),-Z91&gt;TRUNC(SUM(Z84:Z88)/2),-AB91&gt;TRUNC(SUM(AB84:AB88)/2),-AD91&gt;TRUNC(SUM(AD84:AD88)/2),-AF91&gt;TRUNC(SUM(AF84:AF88)/2))</f>
        <v>0</v>
      </c>
      <c r="AN107" s="2920"/>
      <c r="AO107" s="2920"/>
      <c r="AP107" s="2920"/>
      <c r="AQ107" s="2921"/>
      <c r="AR107" s="2920"/>
      <c r="AS107" s="2920"/>
      <c r="AT107" s="2920"/>
      <c r="AU107" s="2922"/>
      <c r="AV107" s="2922"/>
      <c r="AW107" s="2922"/>
      <c r="AX107" s="2922"/>
      <c r="AY107" s="2920"/>
    </row>
    <row r="108" spans="1:51" ht="12.2" customHeight="1" x14ac:dyDescent="0.2">
      <c r="A108" s="2360"/>
      <c r="B108" s="2252">
        <f t="shared" si="17"/>
        <v>3</v>
      </c>
      <c r="C108" s="4508"/>
      <c r="D108" s="4443"/>
      <c r="E108" s="4461"/>
      <c r="F108" s="4461"/>
      <c r="G108" s="4461"/>
      <c r="H108" s="4461"/>
      <c r="I108" s="4461"/>
      <c r="J108" s="4461"/>
      <c r="K108" s="4461"/>
      <c r="L108" s="4461"/>
      <c r="M108" s="4461"/>
      <c r="N108" s="4461"/>
      <c r="O108" s="4461"/>
      <c r="P108" s="4461"/>
      <c r="Q108" s="4461"/>
      <c r="R108" s="4461"/>
      <c r="S108" s="4461"/>
      <c r="T108" s="4461"/>
      <c r="U108" s="4461"/>
      <c r="V108" s="4461"/>
      <c r="W108" s="4461"/>
      <c r="X108" s="4461"/>
      <c r="Y108" s="4461"/>
      <c r="Z108" s="4461"/>
      <c r="AA108" s="4461"/>
      <c r="AB108" s="4461"/>
      <c r="AC108" s="4461"/>
      <c r="AD108" s="4461"/>
      <c r="AE108" s="4461"/>
      <c r="AF108" s="4461"/>
      <c r="AG108" s="4445"/>
      <c r="AH108" s="2369"/>
      <c r="AI108" s="4511"/>
      <c r="AJ108" s="2920" t="s">
        <v>9531</v>
      </c>
      <c r="AK108" s="2920"/>
      <c r="AL108" s="2920"/>
      <c r="AM108" s="2920" t="b">
        <f>COUNTIF(D84:E88,"Primario")&gt;1</f>
        <v>0</v>
      </c>
      <c r="AN108" s="2920"/>
      <c r="AO108" s="2920"/>
      <c r="AP108" s="2920"/>
      <c r="AQ108" s="2921"/>
      <c r="AR108" s="2921"/>
      <c r="AS108" s="2921"/>
      <c r="AT108" s="2921"/>
      <c r="AU108" s="2922"/>
      <c r="AV108" s="2922"/>
      <c r="AW108" s="2922"/>
      <c r="AX108" s="2920"/>
      <c r="AY108" s="2920"/>
    </row>
    <row r="109" spans="1:51" ht="12.2" customHeight="1" x14ac:dyDescent="0.2">
      <c r="A109" s="2360"/>
      <c r="B109" s="2252">
        <f t="shared" si="17"/>
        <v>3</v>
      </c>
      <c r="C109" s="4508"/>
      <c r="D109" s="4443"/>
      <c r="E109" s="4461"/>
      <c r="F109" s="4461"/>
      <c r="G109" s="4461"/>
      <c r="H109" s="4461"/>
      <c r="I109" s="4461"/>
      <c r="J109" s="4461"/>
      <c r="K109" s="4461"/>
      <c r="L109" s="4461"/>
      <c r="M109" s="4461"/>
      <c r="N109" s="4461"/>
      <c r="O109" s="4461"/>
      <c r="P109" s="4461"/>
      <c r="Q109" s="4461"/>
      <c r="R109" s="4461"/>
      <c r="S109" s="4461"/>
      <c r="T109" s="4461"/>
      <c r="U109" s="4461"/>
      <c r="V109" s="4461"/>
      <c r="W109" s="4461"/>
      <c r="X109" s="4461"/>
      <c r="Y109" s="4461"/>
      <c r="Z109" s="4461"/>
      <c r="AA109" s="4461"/>
      <c r="AB109" s="4461"/>
      <c r="AC109" s="4461"/>
      <c r="AD109" s="4461"/>
      <c r="AE109" s="4461"/>
      <c r="AF109" s="4461"/>
      <c r="AG109" s="4445"/>
      <c r="AH109" s="2369"/>
      <c r="AI109" s="4511"/>
      <c r="AJ109" s="2920" t="s">
        <v>9514</v>
      </c>
      <c r="AK109" s="2920"/>
      <c r="AL109" s="2920"/>
      <c r="AM109" s="2920" t="b">
        <f>SUM(V91:AG91)&lt;&gt;Y89+ABS(AC89)*2/5+IF(S80="Si",3*P80,0)</f>
        <v>0</v>
      </c>
      <c r="AN109" s="2920"/>
      <c r="AO109" s="2920"/>
      <c r="AP109" s="2920"/>
      <c r="AQ109" s="2921"/>
      <c r="AR109" s="2921"/>
      <c r="AS109" s="2921"/>
      <c r="AT109" s="2921"/>
      <c r="AU109" s="2922"/>
      <c r="AV109" s="2922"/>
      <c r="AW109" s="2922"/>
      <c r="AX109" s="2920"/>
      <c r="AY109" s="2920"/>
    </row>
    <row r="110" spans="1:51" ht="12.2" customHeight="1" x14ac:dyDescent="0.2">
      <c r="A110" s="2360"/>
      <c r="B110" s="2252">
        <f t="shared" si="17"/>
        <v>3</v>
      </c>
      <c r="C110" s="4508"/>
      <c r="D110" s="4443"/>
      <c r="E110" s="4461"/>
      <c r="F110" s="4461"/>
      <c r="G110" s="4461"/>
      <c r="H110" s="4461"/>
      <c r="I110" s="4461"/>
      <c r="J110" s="4461"/>
      <c r="K110" s="4461"/>
      <c r="L110" s="4461"/>
      <c r="M110" s="4461"/>
      <c r="N110" s="4461"/>
      <c r="O110" s="4461"/>
      <c r="P110" s="4461"/>
      <c r="Q110" s="4461"/>
      <c r="R110" s="4461"/>
      <c r="S110" s="4461"/>
      <c r="T110" s="4461"/>
      <c r="U110" s="4461"/>
      <c r="V110" s="4461"/>
      <c r="W110" s="4461"/>
      <c r="X110" s="4461"/>
      <c r="Y110" s="4461"/>
      <c r="Z110" s="4461"/>
      <c r="AA110" s="4461"/>
      <c r="AB110" s="4461"/>
      <c r="AC110" s="4461"/>
      <c r="AD110" s="4461"/>
      <c r="AE110" s="4461"/>
      <c r="AF110" s="4461"/>
      <c r="AG110" s="4445"/>
      <c r="AH110" s="2369"/>
      <c r="AI110" s="4511"/>
      <c r="AJ110" s="2920" t="s">
        <v>9513</v>
      </c>
      <c r="AK110" s="2920"/>
      <c r="AL110" s="2920"/>
      <c r="AM110" s="2920" t="b">
        <f>AL97-AL98+AM97-AM98&lt;&gt;0</f>
        <v>0</v>
      </c>
      <c r="AN110" s="2922"/>
      <c r="AO110" s="2922"/>
      <c r="AP110" s="2922"/>
      <c r="AQ110" s="2922"/>
      <c r="AR110" s="2921"/>
      <c r="AS110" s="2921"/>
      <c r="AT110" s="2921"/>
      <c r="AU110" s="2922"/>
      <c r="AV110" s="2922"/>
      <c r="AW110" s="2922"/>
      <c r="AX110" s="2920"/>
      <c r="AY110" s="2920"/>
    </row>
    <row r="111" spans="1:51" ht="12.2" customHeight="1" thickBot="1" x14ac:dyDescent="0.25">
      <c r="A111" s="2360"/>
      <c r="B111" s="2252"/>
      <c r="C111" s="4509"/>
      <c r="D111" s="451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13"/>
      <c r="F111" s="4513"/>
      <c r="G111" s="4513"/>
      <c r="H111" s="4513"/>
      <c r="I111" s="4513"/>
      <c r="J111" s="4513"/>
      <c r="K111" s="4513"/>
      <c r="L111" s="4513"/>
      <c r="M111" s="4513"/>
      <c r="N111" s="4513"/>
      <c r="O111" s="4513"/>
      <c r="P111" s="4513"/>
      <c r="Q111" s="4513"/>
      <c r="R111" s="4513"/>
      <c r="S111" s="4513"/>
      <c r="T111" s="4513"/>
      <c r="U111" s="4513"/>
      <c r="V111" s="4513"/>
      <c r="W111" s="4513"/>
      <c r="X111" s="4513"/>
      <c r="Y111" s="4513"/>
      <c r="Z111" s="4513"/>
      <c r="AA111" s="4513"/>
      <c r="AB111" s="4513"/>
      <c r="AC111" s="4513"/>
      <c r="AD111" s="4513"/>
      <c r="AE111" s="4513"/>
      <c r="AF111" s="4513"/>
      <c r="AG111" s="4514"/>
      <c r="AH111" s="2369"/>
      <c r="AI111" s="4511"/>
      <c r="AJ111" s="2920" t="s">
        <v>9550</v>
      </c>
      <c r="AK111" s="2922"/>
      <c r="AL111" s="2922"/>
      <c r="AM111" s="2922" t="b">
        <f>ABS(SUM(N89:N91))&gt;(SUM(N84:N88)-10*Y89+AC89+IF(S80="Si",10*P80,0)+IF(COUNTIF(K84:M88,"Mantenido")&gt;0,P80*10)+MAX(IF(COUNTIF(K84:M88,"Sostenimiento Menor")&gt;0,P80*20)+IF(COUNTIF(K84:M88,"Sostenimiento Mayor")&gt;0,P80*30)))/2</f>
        <v>0</v>
      </c>
      <c r="AN111" s="2920"/>
      <c r="AO111" s="2920"/>
      <c r="AP111" s="2920"/>
      <c r="AQ111" s="2920"/>
      <c r="AR111" s="2921"/>
      <c r="AS111" s="2921"/>
      <c r="AT111" s="2921"/>
      <c r="AU111" s="2922"/>
      <c r="AV111" s="2922"/>
      <c r="AW111" s="2922"/>
      <c r="AX111" s="2920"/>
      <c r="AY111" s="2920"/>
    </row>
    <row r="112" spans="1:51" ht="12.2" customHeight="1" x14ac:dyDescent="0.2">
      <c r="A112" s="2360"/>
      <c r="B112" s="2252"/>
      <c r="C112" s="4463"/>
      <c r="D112" s="4463" t="str">
        <f>IFERROR(VLOOKUP(D93,'Tablas Técnicas'!$O$9:$T$88,2,FALSE),"")</f>
        <v/>
      </c>
      <c r="E112" s="4463"/>
      <c r="F112" s="4463"/>
      <c r="G112" s="4463"/>
      <c r="H112" s="4463"/>
      <c r="I112" s="4463"/>
      <c r="J112" s="4463" t="str">
        <f>IFERROR(VLOOKUP(J93,'Tablas Técnicas'!$O$9:$T$88,2,FALSE),"")</f>
        <v/>
      </c>
      <c r="K112" s="4463"/>
      <c r="L112" s="4463"/>
      <c r="M112" s="4463"/>
      <c r="N112" s="4463"/>
      <c r="O112" s="4463"/>
      <c r="P112" s="4463" t="str">
        <f>IFERROR(VLOOKUP(P93,'Tablas Técnicas'!$O$9:$T$88,2,FALSE),"")</f>
        <v/>
      </c>
      <c r="Q112" s="4463"/>
      <c r="R112" s="4463"/>
      <c r="S112" s="4463"/>
      <c r="T112" s="4463"/>
      <c r="U112" s="4463"/>
      <c r="V112" s="4463" t="str">
        <f>IFERROR(VLOOKUP(V93,'Tablas Técnicas'!$O$9:$T$88,2,FALSE),"")</f>
        <v/>
      </c>
      <c r="W112" s="4463"/>
      <c r="X112" s="4463"/>
      <c r="Y112" s="4463"/>
      <c r="Z112" s="4463"/>
      <c r="AA112" s="4463"/>
      <c r="AB112" s="4463" t="str">
        <f>IFERROR(VLOOKUP(AB93,'Tablas Técnicas'!$O$9:$T$88,2,FALSE),"")</f>
        <v/>
      </c>
      <c r="AC112" s="4463"/>
      <c r="AD112" s="4463"/>
      <c r="AE112" s="4463"/>
      <c r="AF112" s="4463"/>
      <c r="AG112" s="4463"/>
      <c r="AH112" s="2369"/>
      <c r="AI112" s="2073"/>
      <c r="AJ112" s="2920"/>
      <c r="AK112" s="2920"/>
      <c r="AL112" s="2920"/>
      <c r="AM112" s="2920"/>
      <c r="AN112" s="2920"/>
      <c r="AO112" s="2920"/>
      <c r="AP112" s="2920"/>
      <c r="AQ112" s="2920"/>
      <c r="AR112" s="2921"/>
      <c r="AS112" s="2921"/>
      <c r="AT112" s="2921"/>
      <c r="AU112" s="2922"/>
      <c r="AV112" s="2922"/>
      <c r="AW112" s="2922"/>
      <c r="AX112" s="2922"/>
      <c r="AY112" s="2920"/>
    </row>
    <row r="113" spans="1:51" ht="12.2" customHeight="1" thickBot="1" x14ac:dyDescent="0.25">
      <c r="A113" s="2360"/>
      <c r="B113" s="2252"/>
      <c r="C113" s="4463"/>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28"/>
      <c r="AK113" s="2928"/>
      <c r="AL113" s="2928"/>
      <c r="AM113" s="2928"/>
      <c r="AN113" s="2928"/>
      <c r="AO113" s="2928"/>
      <c r="AP113" s="2920"/>
      <c r="AQ113" s="2921"/>
      <c r="AR113" s="2922"/>
      <c r="AS113" s="2922"/>
      <c r="AT113" s="2922"/>
      <c r="AU113" s="2922"/>
      <c r="AV113" s="2922"/>
      <c r="AW113" s="2922"/>
      <c r="AX113" s="2922"/>
      <c r="AY113" s="2929"/>
    </row>
    <row r="114" spans="1:51" ht="12.2" customHeight="1" x14ac:dyDescent="0.2">
      <c r="A114" s="2360"/>
      <c r="B114" s="2252">
        <f t="shared" ref="B114:B144" si="26">1+B80</f>
        <v>4</v>
      </c>
      <c r="C114" s="4507" t="str">
        <f>"Técnica "&amp;B114</f>
        <v>Técnica 4</v>
      </c>
      <c r="D114" s="4497" t="s">
        <v>8918</v>
      </c>
      <c r="E114" s="4498"/>
      <c r="F114" s="4498"/>
      <c r="G114" s="4498"/>
      <c r="H114" s="4498"/>
      <c r="I114" s="4498"/>
      <c r="J114" s="4498"/>
      <c r="K114" s="4498"/>
      <c r="L114" s="4498"/>
      <c r="M114" s="4498"/>
      <c r="N114" s="4499"/>
      <c r="O114" s="4458" t="s">
        <v>1328</v>
      </c>
      <c r="P114" s="4460">
        <v>1</v>
      </c>
      <c r="Q114" s="4377" t="s">
        <v>9002</v>
      </c>
      <c r="R114" s="4453"/>
      <c r="S114" s="4455" t="s">
        <v>1384</v>
      </c>
      <c r="T114" s="4378" t="s">
        <v>1509</v>
      </c>
      <c r="U114" s="4440">
        <f>MAX(IF(P114=3,60,IF(P114=2,40,20)),MIN(SUM(N118:N125)-10*Y123+AC123+IF(S114="Si",10*P114,0)+IF(COUNTIF(K118:M122,"Mantenido")&gt;0,P114*10)+MAX(IF(COUNTIF(K118:M122,"Sostenimiento Menor")&gt;0,P114*20)+IF(COUNTIF(K118:M122,"Sostenimiento Mayor")&gt;0,P114*30))))</f>
        <v>20</v>
      </c>
      <c r="V114" s="4377" t="s">
        <v>9003</v>
      </c>
      <c r="W114" s="4378"/>
      <c r="X114" s="4381" t="str">
        <f>IFERROR(LEFT(AK130&amp;AL130&amp;AM130&amp;AN130&amp;AO130&amp;AP130,LEN(AK130&amp;AL130&amp;AM130&amp;AN130&amp;AO130&amp;AP130)-2),"")</f>
        <v/>
      </c>
      <c r="Y114" s="4381"/>
      <c r="Z114" s="4381"/>
      <c r="AA114" s="4381"/>
      <c r="AB114" s="4381"/>
      <c r="AC114" s="4381"/>
      <c r="AD114" s="4381"/>
      <c r="AE114" s="4381"/>
      <c r="AF114" s="4381"/>
      <c r="AG114" s="4382"/>
      <c r="AH114" s="2369"/>
      <c r="AI114" s="4511"/>
      <c r="AJ114" s="2925" t="s">
        <v>9547</v>
      </c>
      <c r="AK114" s="2925"/>
      <c r="AL114" s="2925"/>
      <c r="AM114" s="2925"/>
      <c r="AN114" s="2925"/>
      <c r="AO114" s="2925"/>
      <c r="AP114" s="2925"/>
      <c r="AQ114" s="2925"/>
      <c r="AR114" s="2925"/>
      <c r="AS114" s="2920"/>
      <c r="AT114" s="2920"/>
      <c r="AU114" s="2920"/>
      <c r="AV114" s="2920"/>
      <c r="AW114" s="2922"/>
      <c r="AX114" s="2922"/>
      <c r="AY114" s="2920"/>
    </row>
    <row r="115" spans="1:51" ht="12.2" customHeight="1" x14ac:dyDescent="0.2">
      <c r="A115" s="2360"/>
      <c r="B115" s="2252">
        <f t="shared" si="26"/>
        <v>4</v>
      </c>
      <c r="C115" s="4508"/>
      <c r="D115" s="4500"/>
      <c r="E115" s="4501"/>
      <c r="F115" s="4501"/>
      <c r="G115" s="4501"/>
      <c r="H115" s="4501"/>
      <c r="I115" s="4501"/>
      <c r="J115" s="4501"/>
      <c r="K115" s="4501"/>
      <c r="L115" s="4501"/>
      <c r="M115" s="4501"/>
      <c r="N115" s="4502"/>
      <c r="O115" s="4459"/>
      <c r="P115" s="4456"/>
      <c r="Q115" s="4379"/>
      <c r="R115" s="4454"/>
      <c r="S115" s="4456"/>
      <c r="T115" s="4380"/>
      <c r="U115" s="4503"/>
      <c r="V115" s="4379"/>
      <c r="W115" s="4380"/>
      <c r="X115" s="4383"/>
      <c r="Y115" s="4383"/>
      <c r="Z115" s="4383"/>
      <c r="AA115" s="4383"/>
      <c r="AB115" s="4383"/>
      <c r="AC115" s="4383"/>
      <c r="AD115" s="4383"/>
      <c r="AE115" s="4383"/>
      <c r="AF115" s="4383"/>
      <c r="AG115" s="4384"/>
      <c r="AH115" s="2369"/>
      <c r="AI115" s="4511"/>
      <c r="AJ115" s="2925"/>
      <c r="AK115" s="2925" t="s">
        <v>9548</v>
      </c>
      <c r="AL115" s="2925" t="s">
        <v>10268</v>
      </c>
      <c r="AM115" s="2926"/>
      <c r="AN115" s="2926"/>
      <c r="AO115" s="2926"/>
      <c r="AP115" s="2926"/>
      <c r="AQ115" s="2926"/>
      <c r="AR115" s="2925"/>
      <c r="AS115" s="2920"/>
      <c r="AT115" s="2920"/>
      <c r="AU115" s="2920"/>
      <c r="AV115" s="2920"/>
      <c r="AW115" s="2922"/>
      <c r="AX115" s="4510" t="s">
        <v>9517</v>
      </c>
      <c r="AY115" s="4510"/>
    </row>
    <row r="116" spans="1:51" ht="12.2" customHeight="1" x14ac:dyDescent="0.2">
      <c r="A116" s="2360"/>
      <c r="B116" s="2252">
        <f t="shared" si="26"/>
        <v>4</v>
      </c>
      <c r="C116" s="4508"/>
      <c r="D116" s="4386" t="s">
        <v>2858</v>
      </c>
      <c r="E116" s="4387"/>
      <c r="F116" s="4387"/>
      <c r="G116" s="4387"/>
      <c r="H116" s="4387"/>
      <c r="I116" s="4387"/>
      <c r="J116" s="4387"/>
      <c r="K116" s="4467" t="s">
        <v>9847</v>
      </c>
      <c r="L116" s="4467"/>
      <c r="M116" s="4467"/>
      <c r="N116" s="4387" t="s">
        <v>1503</v>
      </c>
      <c r="O116" s="4467" t="s">
        <v>2856</v>
      </c>
      <c r="P116" s="4467" t="s">
        <v>9004</v>
      </c>
      <c r="Q116" s="4387" t="s">
        <v>1367</v>
      </c>
      <c r="R116" s="4387"/>
      <c r="S116" s="4387"/>
      <c r="T116" s="4387"/>
      <c r="U116" s="4387"/>
      <c r="V116" s="4376" t="s">
        <v>1376</v>
      </c>
      <c r="W116" s="4354"/>
      <c r="X116" s="4376" t="s">
        <v>1501</v>
      </c>
      <c r="Y116" s="4464"/>
      <c r="Z116" s="4354" t="s">
        <v>1381</v>
      </c>
      <c r="AA116" s="4354"/>
      <c r="AB116" s="4376" t="s">
        <v>1386</v>
      </c>
      <c r="AC116" s="4464"/>
      <c r="AD116" s="4354" t="s">
        <v>1394</v>
      </c>
      <c r="AE116" s="4354"/>
      <c r="AF116" s="4376" t="s">
        <v>1395</v>
      </c>
      <c r="AG116" s="4355"/>
      <c r="AH116" s="2369"/>
      <c r="AI116" s="4511"/>
      <c r="AJ116" s="2920"/>
      <c r="AK116" s="2920"/>
      <c r="AL116" s="2920" t="s">
        <v>9825</v>
      </c>
      <c r="AM116" s="2920"/>
      <c r="AN116" s="2920"/>
      <c r="AO116" s="2920"/>
      <c r="AP116" s="2920"/>
      <c r="AQ116" s="2920"/>
      <c r="AR116" s="2922"/>
      <c r="AS116" s="2922" t="s">
        <v>9537</v>
      </c>
      <c r="AT116" s="2922" t="s">
        <v>9538</v>
      </c>
      <c r="AU116" s="2920" t="s">
        <v>9526</v>
      </c>
      <c r="AV116" s="2920" t="s">
        <v>9527</v>
      </c>
      <c r="AW116" s="2922" t="s">
        <v>1503</v>
      </c>
      <c r="AX116" s="2922" t="s">
        <v>9006</v>
      </c>
      <c r="AY116" s="2920" t="s">
        <v>9007</v>
      </c>
    </row>
    <row r="117" spans="1:51" ht="12.2" customHeight="1" x14ac:dyDescent="0.2">
      <c r="A117" s="2360"/>
      <c r="B117" s="2252">
        <f t="shared" si="26"/>
        <v>4</v>
      </c>
      <c r="C117" s="4508"/>
      <c r="D117" s="4465"/>
      <c r="E117" s="4466"/>
      <c r="F117" s="4466"/>
      <c r="G117" s="4466"/>
      <c r="H117" s="4466"/>
      <c r="I117" s="4466"/>
      <c r="J117" s="4466"/>
      <c r="K117" s="4468"/>
      <c r="L117" s="4468"/>
      <c r="M117" s="4468"/>
      <c r="N117" s="4388"/>
      <c r="O117" s="4468"/>
      <c r="P117" s="4469"/>
      <c r="Q117" s="4388"/>
      <c r="R117" s="4388"/>
      <c r="S117" s="4388"/>
      <c r="T117" s="4388"/>
      <c r="U117" s="4388"/>
      <c r="V117" s="2795" t="s">
        <v>9516</v>
      </c>
      <c r="W117" s="2796" t="s">
        <v>2862</v>
      </c>
      <c r="X117" s="2795" t="s">
        <v>9516</v>
      </c>
      <c r="Y117" s="2796" t="s">
        <v>2862</v>
      </c>
      <c r="Z117" s="2795" t="s">
        <v>9516</v>
      </c>
      <c r="AA117" s="2796" t="s">
        <v>2862</v>
      </c>
      <c r="AB117" s="2795" t="s">
        <v>9516</v>
      </c>
      <c r="AC117" s="2796" t="s">
        <v>2862</v>
      </c>
      <c r="AD117" s="2795" t="s">
        <v>9516</v>
      </c>
      <c r="AE117" s="2796" t="s">
        <v>2862</v>
      </c>
      <c r="AF117" s="2795" t="s">
        <v>9516</v>
      </c>
      <c r="AG117" s="2797" t="s">
        <v>2862</v>
      </c>
      <c r="AH117" s="2369"/>
      <c r="AI117" s="4511"/>
      <c r="AJ117" s="2920"/>
      <c r="AK117" s="2920" t="s">
        <v>9518</v>
      </c>
      <c r="AL117" s="2920">
        <v>1</v>
      </c>
      <c r="AM117" s="2920">
        <v>2</v>
      </c>
      <c r="AN117" s="2920">
        <v>3</v>
      </c>
      <c r="AO117" s="2920">
        <v>4</v>
      </c>
      <c r="AP117" s="2920">
        <v>5</v>
      </c>
      <c r="AQ117" s="2920">
        <v>6</v>
      </c>
      <c r="AR117" s="2920">
        <v>7</v>
      </c>
      <c r="AS117" s="2922"/>
      <c r="AT117" s="2920" t="s">
        <v>9549</v>
      </c>
      <c r="AU117" s="2922"/>
      <c r="AV117" s="2922"/>
      <c r="AW117" s="2922" t="s">
        <v>9549</v>
      </c>
      <c r="AX117" s="2922"/>
      <c r="AY117" s="2920"/>
    </row>
    <row r="118" spans="1:51" ht="12.2" customHeight="1" x14ac:dyDescent="0.2">
      <c r="A118" s="2360"/>
      <c r="B118" s="2252">
        <f t="shared" si="26"/>
        <v>4</v>
      </c>
      <c r="C118" s="4508"/>
      <c r="D118" s="4486" t="s">
        <v>9008</v>
      </c>
      <c r="E118" s="4487"/>
      <c r="F118" s="4488"/>
      <c r="G118" s="4489"/>
      <c r="H118" s="4489"/>
      <c r="I118" s="4489"/>
      <c r="J118" s="4411"/>
      <c r="K118" s="4490" t="s">
        <v>1459</v>
      </c>
      <c r="L118" s="4491"/>
      <c r="M118" s="4492"/>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93" t="str">
        <f>IFERROR(VLOOKUP(F118,'Tablas Técnicas'!$O$9:$T$88,5,FALSE),"")</f>
        <v/>
      </c>
      <c r="R118" s="4493"/>
      <c r="S118" s="4493"/>
      <c r="T118" s="4493"/>
      <c r="U118" s="4493"/>
      <c r="V118" s="2208"/>
      <c r="W118" s="2209"/>
      <c r="X118" s="2208"/>
      <c r="Y118" s="2210"/>
      <c r="Z118" s="2211"/>
      <c r="AA118" s="2209"/>
      <c r="AB118" s="2208"/>
      <c r="AC118" s="2210"/>
      <c r="AD118" s="2211"/>
      <c r="AE118" s="2209"/>
      <c r="AF118" s="2208"/>
      <c r="AG118" s="2212"/>
      <c r="AH118" s="2369"/>
      <c r="AI118" s="4511"/>
      <c r="AJ118" s="2920">
        <v>1</v>
      </c>
      <c r="AK118" s="2920">
        <f>P114</f>
        <v>1</v>
      </c>
      <c r="AL118" s="2920" t="str">
        <f>IF(AND(ISNUMBER(MATCH($F118,'Tablas Técnicas'!$L$10:$L$643,0)),INDEX($D131:$D137,Tablas!A$1)="",COUNTIF(AM118:$AS118,$F118)=0),$F118,IF(INDEX($D131:$D137,Tablas!A$1)="","",$F118&amp;INDEX($D131:$D137,Tablas!A$1)))</f>
        <v/>
      </c>
      <c r="AM118" s="2920" t="str">
        <f>IF(AND(ISNUMBER(MATCH($F118,'Tablas Técnicas'!$L$10:$L$643,0)),INDEX($D131:$D137,Tablas!B$1)="",COUNTIF(AN118:$AS118,$F118)=0),$F118,IF(INDEX($D131:$D137,Tablas!B$1)="","",$F118&amp;INDEX($D131:$D137,Tablas!B$1)))</f>
        <v/>
      </c>
      <c r="AN118" s="2920" t="str">
        <f>IF(AND(ISNUMBER(MATCH($F118,'Tablas Técnicas'!$L$10:$L$643,0)),INDEX($D131:$D137,Tablas!C$1)="",COUNTIF(AO118:$AS118,$F118)=0),$F118,IF(INDEX($D131:$D137,Tablas!C$1)="","",$F118&amp;INDEX($D131:$D137,Tablas!C$1)))</f>
        <v/>
      </c>
      <c r="AO118" s="2920" t="str">
        <f>IF(AND(ISNUMBER(MATCH($F118,'Tablas Técnicas'!$L$10:$L$643,0)),INDEX($D131:$D137,Tablas!D$1)="",COUNTIF(AP118:$AS118,$F118)=0),$F118,IF(INDEX($D131:$D137,Tablas!D$1)="","",$F118&amp;INDEX($D131:$D137,Tablas!D$1)))</f>
        <v/>
      </c>
      <c r="AP118" s="2920" t="str">
        <f>IF(AND(ISNUMBER(MATCH($F118,'Tablas Técnicas'!$L$10:$L$643,0)),INDEX($D131:$D137,Tablas!E$1)="",COUNTIF(AQ118:$AS118,$F118)=0),$F118,IF(INDEX($D131:$D137,Tablas!E$1)="","",$F118&amp;INDEX($D131:$D137,Tablas!E$1)))</f>
        <v/>
      </c>
      <c r="AQ118" s="2920" t="str">
        <f>IF(AND(ISNUMBER(MATCH($F118,'Tablas Técnicas'!$L$10:$L$643,0)),INDEX($D131:$D137,Tablas!F$1)="",COUNTIF(AR118:$AS118,$F118)=0),$F118,IF(INDEX($D131:$D137,Tablas!F$1)="","",$F118&amp;INDEX($D131:$D137,Tablas!F$1)))</f>
        <v/>
      </c>
      <c r="AR118" s="2920" t="str">
        <f>IF(AND(ISNUMBER(MATCH($F118,'Tablas Técnicas'!$L$10:$L$643,0)),INDEX($D131:$D137,Tablas!G$1)="",COUNTIF(AS118:$AS118,$F118)=0),$F118,IF(INDEX($D131:$D137,Tablas!G$1)="","",$F118&amp;INDEX($D131:$D137,Tablas!G$1)))</f>
        <v/>
      </c>
      <c r="AS118" s="2922">
        <f>V118+X118+Z118+AB118+AD118+AF118</f>
        <v>0</v>
      </c>
      <c r="AT118" s="2922">
        <f t="array" ref="AT118">SUM(IF($AL118:$AR118='Tablas Técnicas'!$L$10:$L$643,IF(D118="Primario",'Tablas Técnicas'!$E$10:$E$643,'Tablas Técnicas'!$F$10:$F$643)+IF(K118="Sostenimiento menor",'Tablas Técnicas'!$I$10:$I$643,IF(K118="sostenimiento mayor",'Tablas Técnicas'!$J$10:$J$643,0)),0),0)+VALUE(RIGHT(P118,2))+AU118+AV118</f>
        <v>0</v>
      </c>
      <c r="AU118" s="292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22">
        <f>(COUNTIF(AL118:AR118,"*Estado añadido:*")-1)*COUNTIF(AL118:AR118,"*Estado añadido:*")</f>
        <v>0</v>
      </c>
      <c r="AW118" s="2922">
        <f t="array" ref="AW118">SUM(IF($AL118:$AR118='Tablas Técnicas'!$L$10:$L$643,'Tablas Técnicas'!$G$10:$G$643,0))</f>
        <v>0</v>
      </c>
      <c r="AX118" s="292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20" t="str">
        <f t="shared" ref="AY118:AY120" si="27">IFERROR(LEFT(AX118,LEN(AX118)-2)&amp;"), ","")</f>
        <v/>
      </c>
    </row>
    <row r="119" spans="1:51" ht="12.2" customHeight="1" x14ac:dyDescent="0.2">
      <c r="A119" s="2360"/>
      <c r="B119" s="2252">
        <f t="shared" si="26"/>
        <v>4</v>
      </c>
      <c r="C119" s="4508"/>
      <c r="D119" s="4392" t="s">
        <v>526</v>
      </c>
      <c r="E119" s="4393"/>
      <c r="F119" s="4473"/>
      <c r="G119" s="4474"/>
      <c r="H119" s="4474"/>
      <c r="I119" s="4474"/>
      <c r="J119" s="4420"/>
      <c r="K119" s="4475" t="s">
        <v>1459</v>
      </c>
      <c r="L119" s="4476"/>
      <c r="M119" s="4477"/>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394" t="str">
        <f>IFERROR(VLOOKUP(F119,'Tablas Técnicas'!$O$9:$T$88,5,FALSE),"")</f>
        <v/>
      </c>
      <c r="R119" s="4394"/>
      <c r="S119" s="4394"/>
      <c r="T119" s="4394"/>
      <c r="U119" s="4394"/>
      <c r="V119" s="2213"/>
      <c r="W119" s="2214"/>
      <c r="X119" s="2213"/>
      <c r="Y119" s="2215"/>
      <c r="Z119" s="2216"/>
      <c r="AA119" s="2214"/>
      <c r="AB119" s="2213"/>
      <c r="AC119" s="2215"/>
      <c r="AD119" s="2216"/>
      <c r="AE119" s="2214"/>
      <c r="AF119" s="2213"/>
      <c r="AG119" s="2217"/>
      <c r="AH119" s="2369"/>
      <c r="AI119" s="4511"/>
      <c r="AJ119" s="2920">
        <v>2</v>
      </c>
      <c r="AK119" s="2920">
        <f>P114</f>
        <v>1</v>
      </c>
      <c r="AL119" s="2920" t="str">
        <f>IF(AND(ISNUMBER(MATCH($F119,'Tablas Técnicas'!$L$10:$L$643,0)),INDEX($J131:$J137,Tablas!A$1)="",COUNTIF(AM119:$AS119,$F119)=0),$F119,IF(INDEX($J131:$J137,Tablas!A$1)="","",$F119&amp;INDEX($J131:$J137,Tablas!A$1)))</f>
        <v/>
      </c>
      <c r="AM119" s="2920" t="str">
        <f>IF(AND(ISNUMBER(MATCH($F119,'Tablas Técnicas'!$L$10:$L$643,0)),INDEX($J131:$J137,Tablas!B$1)="",COUNTIF(AN119:$AS119,$F119)=0),$F119,IF(INDEX($J131:$J137,Tablas!B$1)="","",$F119&amp;INDEX($J131:$J137,Tablas!B$1)))</f>
        <v/>
      </c>
      <c r="AN119" s="2920" t="str">
        <f>IF(AND(ISNUMBER(MATCH($F119,'Tablas Técnicas'!$L$10:$L$643,0)),INDEX($J131:$J137,Tablas!C$1)="",COUNTIF(AO119:$AS119,$F119)=0),$F119,IF(INDEX($J131:$J137,Tablas!C$1)="","",$F119&amp;INDEX($J131:$J137,Tablas!C$1)))</f>
        <v/>
      </c>
      <c r="AO119" s="2920" t="str">
        <f>IF(AND(ISNUMBER(MATCH($F119,'Tablas Técnicas'!$L$10:$L$643,0)),INDEX($J131:$J137,Tablas!D$1)="",COUNTIF(AP119:$AS119,$F119)=0),$F119,IF(INDEX($J131:$J137,Tablas!D$1)="","",$F119&amp;INDEX($J131:$J137,Tablas!D$1)))</f>
        <v/>
      </c>
      <c r="AP119" s="2920" t="str">
        <f>IF(AND(ISNUMBER(MATCH($F119,'Tablas Técnicas'!$L$10:$L$643,0)),INDEX($J131:$J137,Tablas!E$1)="",COUNTIF(AQ119:$AS119,$F119)=0),$F119,IF(INDEX($J131:$J137,Tablas!E$1)="","",$F119&amp;INDEX($J131:$J137,Tablas!E$1)))</f>
        <v/>
      </c>
      <c r="AQ119" s="2920" t="str">
        <f>IF(AND(ISNUMBER(MATCH($F119,'Tablas Técnicas'!$L$10:$L$643,0)),INDEX($J131:$J137,Tablas!F$1)="",COUNTIF(AR119:$AS119,$F119)=0),$F119,IF(INDEX($J131:$J137,Tablas!F$1)="","",$F119&amp;INDEX($J131:$J137,Tablas!F$1)))</f>
        <v/>
      </c>
      <c r="AR119" s="2920" t="str">
        <f>IF(AND(ISNUMBER(MATCH($F119,'Tablas Técnicas'!$L$10:$L$643,0)),INDEX($J131:$J137,Tablas!G$1)="",COUNTIF(AS119:$AS119,$F119)=0),$F119,IF(INDEX($J131:$J137,Tablas!G$1)="","",$F119&amp;INDEX($J131:$J137,Tablas!G$1)))</f>
        <v/>
      </c>
      <c r="AS119" s="2922">
        <f>V119+X119+Z119+AB119+AD119+AF119</f>
        <v>0</v>
      </c>
      <c r="AT119" s="2922">
        <f t="array" ref="AT119">SUM(IF($AL119:$AR119='Tablas Técnicas'!$L$10:$L$643,IF(D119="Primario",'Tablas Técnicas'!$E$10:$E$643,'Tablas Técnicas'!$F$10:$F$643)+IF(K119="Sostenimiento menor",'Tablas Técnicas'!$I$10:$I$643,IF(K119="sostenimiento mayor",'Tablas Técnicas'!$J$10:$J$643,0)),0),0)+VALUE(RIGHT(P119,2))+AU119+AV119</f>
        <v>0</v>
      </c>
      <c r="AU119" s="292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22">
        <f>(COUNTIF(AL119:AR119,"*Estado añadido:*")-1)*COUNTIF(AL119:AR119,"*Estado añadido:*")</f>
        <v>0</v>
      </c>
      <c r="AW119" s="2922">
        <f t="array" ref="AW119">SUM(IF($AL119:$AR119='Tablas Técnicas'!$L$10:$L$643,'Tablas Técnicas'!$G$10:$G$643,0))</f>
        <v>0</v>
      </c>
      <c r="AX119" s="2920"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20" t="str">
        <f t="shared" si="27"/>
        <v/>
      </c>
    </row>
    <row r="120" spans="1:51" ht="12.2" customHeight="1" x14ac:dyDescent="0.2">
      <c r="A120" s="2360"/>
      <c r="B120" s="2252">
        <f t="shared" si="26"/>
        <v>4</v>
      </c>
      <c r="C120" s="4508"/>
      <c r="D120" s="4481" t="s">
        <v>526</v>
      </c>
      <c r="E120" s="4482"/>
      <c r="F120" s="4398"/>
      <c r="G120" s="4399"/>
      <c r="H120" s="4399"/>
      <c r="I120" s="4399"/>
      <c r="J120" s="4400"/>
      <c r="K120" s="4478" t="s">
        <v>1459</v>
      </c>
      <c r="L120" s="4479"/>
      <c r="M120" s="4480"/>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483" t="str">
        <f>IFERROR(VLOOKUP(F120,'Tablas Técnicas'!$O$9:$T$88,5,FALSE),"")</f>
        <v/>
      </c>
      <c r="R120" s="4483"/>
      <c r="S120" s="4483"/>
      <c r="T120" s="4483"/>
      <c r="U120" s="4483"/>
      <c r="V120" s="2218"/>
      <c r="W120" s="2219"/>
      <c r="X120" s="2218"/>
      <c r="Y120" s="2220"/>
      <c r="Z120" s="2221"/>
      <c r="AA120" s="2219"/>
      <c r="AB120" s="2218"/>
      <c r="AC120" s="2220"/>
      <c r="AD120" s="2221"/>
      <c r="AE120" s="2219"/>
      <c r="AF120" s="2218"/>
      <c r="AG120" s="2222"/>
      <c r="AH120" s="2369"/>
      <c r="AI120" s="4511"/>
      <c r="AJ120" s="2920">
        <v>3</v>
      </c>
      <c r="AK120" s="2920">
        <f>P114</f>
        <v>1</v>
      </c>
      <c r="AL120" s="2920" t="str">
        <f>IF(AND(ISNUMBER(MATCH($F120,'Tablas Técnicas'!$L$10:$L$643,0)),INDEX($P131:$P137,Tablas!A$1)="",COUNTIF(AM120:$AS120,$F120)=0),$F120,IF(INDEX($P131:$P137,Tablas!A$1)="","",$F120&amp;INDEX($P131:$P137,Tablas!A$1)))</f>
        <v/>
      </c>
      <c r="AM120" s="2920" t="str">
        <f>IF(AND(ISNUMBER(MATCH($F120,'Tablas Técnicas'!$L$10:$L$643,0)),INDEX($P131:$P137,Tablas!B$1)="",COUNTIF(AN120:$AS120,$F120)=0),$F120,IF(INDEX($P131:$P137,Tablas!B$1)="","",$F120&amp;INDEX($P131:$P137,Tablas!B$1)))</f>
        <v/>
      </c>
      <c r="AN120" s="2920" t="str">
        <f>IF(AND(ISNUMBER(MATCH($F120,'Tablas Técnicas'!$L$10:$L$643,0)),INDEX($P131:$P137,Tablas!C$1)="",COUNTIF(AO120:$AS120,$F120)=0),$F120,IF(INDEX($P131:$P137,Tablas!C$1)="","",$F120&amp;INDEX($P131:$P137,Tablas!C$1)))</f>
        <v/>
      </c>
      <c r="AO120" s="2920" t="str">
        <f>IF(AND(ISNUMBER(MATCH($F120,'Tablas Técnicas'!$L$10:$L$643,0)),INDEX($P131:$P137,Tablas!D$1)="",COUNTIF(AP120:$AS120,$F120)=0),$F120,IF(INDEX($P131:$P137,Tablas!D$1)="","",$F120&amp;INDEX($P131:$P137,Tablas!D$1)))</f>
        <v/>
      </c>
      <c r="AP120" s="2920" t="str">
        <f>IF(AND(ISNUMBER(MATCH($F120,'Tablas Técnicas'!$L$10:$L$643,0)),INDEX($P131:$P137,Tablas!E$1)="",COUNTIF(AQ120:$AS120,$F120)=0),$F120,IF(INDEX($P131:$P137,Tablas!E$1)="","",$F120&amp;INDEX($P131:$P137,Tablas!E$1)))</f>
        <v/>
      </c>
      <c r="AQ120" s="2920" t="str">
        <f>IF(AND(ISNUMBER(MATCH($F120,'Tablas Técnicas'!$L$10:$L$643,0)),INDEX($P131:$P137,Tablas!F$1)="",COUNTIF(AR120:$AS120,$F120)=0),$F120,IF(INDEX($P131:$P137,Tablas!F$1)="","",$F120&amp;INDEX($P131:$P137,Tablas!F$1)))</f>
        <v/>
      </c>
      <c r="AR120" s="2920" t="str">
        <f>IF(AND(ISNUMBER(MATCH($F120,'Tablas Técnicas'!$L$10:$L$643,0)),INDEX($P131:$P137,Tablas!G$1)="",COUNTIF(AS120:$AS120,$F120)=0),$F120,IF(INDEX($P131:$P137,Tablas!G$1)="","",$F120&amp;INDEX($P131:$P137,Tablas!G$1)))</f>
        <v/>
      </c>
      <c r="AS120" s="2922">
        <f>V120+X120+Z120+AB120+AD120+AF120</f>
        <v>0</v>
      </c>
      <c r="AT120" s="2922">
        <f t="array" ref="AT120">SUM(IF($AL120:$AR120='Tablas Técnicas'!$L$10:$L$643,IF(D120="Primario",'Tablas Técnicas'!$E$10:$E$643,'Tablas Técnicas'!$F$10:$F$643)+IF(K120="Sostenimiento menor",'Tablas Técnicas'!$I$10:$I$643,IF(K120="sostenimiento mayor",'Tablas Técnicas'!$J$10:$J$643,0)),0),0)+VALUE(RIGHT(P120,2))+AU120+AV120</f>
        <v>0</v>
      </c>
      <c r="AU120" s="292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22">
        <f>(COUNTIF(AL120:AR120,"*Estado añadido:*")-1)*COUNTIF(AL120:AR120,"*Estado añadido:*")</f>
        <v>0</v>
      </c>
      <c r="AW120" s="2922">
        <f t="array" ref="AW120">SUM(IF($AL120:$AR120='Tablas Técnicas'!$L$10:$L$643,'Tablas Técnicas'!$G$10:$G$643,0))</f>
        <v>0</v>
      </c>
      <c r="AX120" s="2920" t="str">
        <f t="shared" si="28"/>
        <v/>
      </c>
      <c r="AY120" s="2920" t="str">
        <f t="shared" si="27"/>
        <v/>
      </c>
    </row>
    <row r="121" spans="1:51" ht="12.2" customHeight="1" x14ac:dyDescent="0.2">
      <c r="A121" s="2360"/>
      <c r="B121" s="2252">
        <f t="shared" si="26"/>
        <v>4</v>
      </c>
      <c r="C121" s="4508"/>
      <c r="D121" s="4392" t="s">
        <v>526</v>
      </c>
      <c r="E121" s="4393"/>
      <c r="F121" s="4473"/>
      <c r="G121" s="4474"/>
      <c r="H121" s="4474"/>
      <c r="I121" s="4474"/>
      <c r="J121" s="4420"/>
      <c r="K121" s="4475" t="s">
        <v>1459</v>
      </c>
      <c r="L121" s="4476"/>
      <c r="M121" s="4477"/>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394" t="str">
        <f>IFERROR(VLOOKUP(F121,'Tablas Técnicas'!$O$9:$T$88,5,FALSE),"")</f>
        <v/>
      </c>
      <c r="R121" s="4394"/>
      <c r="S121" s="4394"/>
      <c r="T121" s="4394"/>
      <c r="U121" s="4394"/>
      <c r="V121" s="2213"/>
      <c r="W121" s="2214"/>
      <c r="X121" s="2213"/>
      <c r="Y121" s="2215"/>
      <c r="Z121" s="2216"/>
      <c r="AA121" s="2214"/>
      <c r="AB121" s="2213"/>
      <c r="AC121" s="2215"/>
      <c r="AD121" s="2216"/>
      <c r="AE121" s="2214"/>
      <c r="AF121" s="2213"/>
      <c r="AG121" s="2217"/>
      <c r="AH121" s="2369"/>
      <c r="AI121" s="4511"/>
      <c r="AJ121" s="2920">
        <v>4</v>
      </c>
      <c r="AK121" s="2920">
        <f>P114</f>
        <v>1</v>
      </c>
      <c r="AL121" s="2920" t="str">
        <f>IF(AND(ISNUMBER(MATCH($F121,'Tablas Técnicas'!$L$10:$L$643,0)),INDEX($V131:$V137,Tablas!A$1)="",COUNTIF(AM121:$AS121,$F121)=0),$F121,IF(INDEX($V131:$V137,Tablas!A$1)="","",$F121&amp;INDEX($V131:$V137,Tablas!A$1)))</f>
        <v/>
      </c>
      <c r="AM121" s="2920" t="str">
        <f>IF(AND(ISNUMBER(MATCH($F121,'Tablas Técnicas'!$L$10:$L$643,0)),INDEX($V131:$V137,Tablas!B$1)="",COUNTIF(AN121:$AS121,$F121)=0),$F121,IF(INDEX($V131:$V137,Tablas!B$1)="","",$F121&amp;INDEX($V131:$V137,Tablas!B$1)))</f>
        <v/>
      </c>
      <c r="AN121" s="2920" t="str">
        <f>IF(AND(ISNUMBER(MATCH($F121,'Tablas Técnicas'!$L$10:$L$643,0)),INDEX($V131:$V137,Tablas!C$1)="",COUNTIF(AO121:$AS121,$F121)=0),$F121,IF(INDEX($V131:$V137,Tablas!C$1)="","",$F121&amp;INDEX($V131:$V137,Tablas!C$1)))</f>
        <v/>
      </c>
      <c r="AO121" s="2920" t="str">
        <f>IF(AND(ISNUMBER(MATCH($F121,'Tablas Técnicas'!$L$10:$L$643,0)),INDEX($V131:$V137,Tablas!D$1)="",COUNTIF(AP121:$AS121,$F121)=0),$F121,IF(INDEX($V131:$V137,Tablas!D$1)="","",$F121&amp;INDEX($V131:$V137,Tablas!D$1)))</f>
        <v/>
      </c>
      <c r="AP121" s="2920" t="str">
        <f>IF(AND(ISNUMBER(MATCH($F121,'Tablas Técnicas'!$L$10:$L$643,0)),INDEX($V131:$V137,Tablas!E$1)="",COUNTIF(AQ121:$AS121,$F121)=0),$F121,IF(INDEX($V131:$V137,Tablas!E$1)="","",$F121&amp;INDEX($V131:$V137,Tablas!E$1)))</f>
        <v/>
      </c>
      <c r="AQ121" s="2920" t="str">
        <f>IF(AND(ISNUMBER(MATCH($F121,'Tablas Técnicas'!$L$10:$L$643,0)),INDEX($V131:$V137,Tablas!F$1)="",COUNTIF(AR121:$AS121,$F121)=0),$F121,IF(INDEX($V131:$V137,Tablas!F$1)="","",$F121&amp;INDEX($V131:$V137,Tablas!F$1)))</f>
        <v/>
      </c>
      <c r="AR121" s="2920" t="str">
        <f>IF(AND(ISNUMBER(MATCH($F121,'Tablas Técnicas'!$L$10:$L$643,0)),INDEX($V131:$V137,Tablas!G$1)="",COUNTIF(AS121:$AS121,$F121)=0),$F121,IF(INDEX($V131:$V137,Tablas!G$1)="","",$F121&amp;INDEX($V131:$V137,Tablas!G$1)))</f>
        <v/>
      </c>
      <c r="AS121" s="2922">
        <f>V121+X121+Z121+AB121+AD121+AF121</f>
        <v>0</v>
      </c>
      <c r="AT121" s="2922">
        <f t="array" ref="AT121">SUM(IF($AL121:$AR121='Tablas Técnicas'!$L$10:$L$643,IF(D121="Primario",'Tablas Técnicas'!$E$10:$E$643,'Tablas Técnicas'!$F$10:$F$643)+IF(K121="Sostenimiento menor",'Tablas Técnicas'!$I$10:$I$643,IF(K121="sostenimiento mayor",'Tablas Técnicas'!$J$10:$J$643,0)),0),0)+VALUE(RIGHT(P121,2))+AU121+AV121</f>
        <v>0</v>
      </c>
      <c r="AU121" s="292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22">
        <f>(COUNTIF(AL121:AR121,"*Estado añadido:*")-1)*COUNTIF(AL121:AR121,"*Estado añadido:*")</f>
        <v>0</v>
      </c>
      <c r="AW121" s="2922">
        <f t="array" ref="AW121">SUM(IF($AL121:$AR121='Tablas Técnicas'!$L$10:$L$643,'Tablas Técnicas'!$G$10:$G$643,0))</f>
        <v>0</v>
      </c>
      <c r="AX121" s="2920" t="str">
        <f t="shared" si="28"/>
        <v/>
      </c>
      <c r="AY121" s="2920" t="str">
        <f>IFERROR(LEFT(AX121,LEN(AX121)-2)&amp;"), ","")</f>
        <v/>
      </c>
    </row>
    <row r="122" spans="1:51" ht="12.2" customHeight="1" thickBot="1" x14ac:dyDescent="0.25">
      <c r="A122" s="2360"/>
      <c r="B122" s="2252">
        <f t="shared" si="26"/>
        <v>4</v>
      </c>
      <c r="C122" s="4508"/>
      <c r="D122" s="4395" t="s">
        <v>526</v>
      </c>
      <c r="E122" s="4396"/>
      <c r="F122" s="4494"/>
      <c r="G122" s="4495"/>
      <c r="H122" s="4495"/>
      <c r="I122" s="4495"/>
      <c r="J122" s="4496"/>
      <c r="K122" s="4470" t="s">
        <v>1459</v>
      </c>
      <c r="L122" s="4471"/>
      <c r="M122" s="4472"/>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397" t="str">
        <f>IFERROR(VLOOKUP(F122,'Tablas Técnicas'!$O$9:$T$88,5,FALSE),"")</f>
        <v/>
      </c>
      <c r="R122" s="4397"/>
      <c r="S122" s="4397"/>
      <c r="T122" s="4397"/>
      <c r="U122" s="4397"/>
      <c r="V122" s="2223"/>
      <c r="W122" s="2224"/>
      <c r="X122" s="2223"/>
      <c r="Y122" s="2225"/>
      <c r="Z122" s="2226"/>
      <c r="AA122" s="2224"/>
      <c r="AB122" s="2223"/>
      <c r="AC122" s="2225"/>
      <c r="AD122" s="2226"/>
      <c r="AE122" s="2224"/>
      <c r="AF122" s="2223"/>
      <c r="AG122" s="2227"/>
      <c r="AH122" s="2369"/>
      <c r="AI122" s="4511"/>
      <c r="AJ122" s="2920">
        <v>5</v>
      </c>
      <c r="AK122" s="2920">
        <f>P114</f>
        <v>1</v>
      </c>
      <c r="AL122" s="2920" t="str">
        <f>IF(AND(ISNUMBER(MATCH($F122,'Tablas Técnicas'!$L$10:$L$643,0)),INDEX($AB131:$AB137,Tablas!A$1)="",COUNTIF(AM122:$AS122,$F122)=0),$F122,IF(INDEX($AB131:$AB137,Tablas!A$1)="","",$F122&amp;INDEX($AB131:$AB137,Tablas!A$1)))</f>
        <v/>
      </c>
      <c r="AM122" s="2920" t="str">
        <f>IF(AND(ISNUMBER(MATCH($F122,'Tablas Técnicas'!$L$10:$L$643,0)),INDEX($AB131:$AB137,Tablas!B$1)="",COUNTIF(AN122:$AS122,$F122)=0),$F122,IF(INDEX($AB131:$AB137,Tablas!B$1)="","",$F122&amp;INDEX($AB131:$AB137,Tablas!B$1)))</f>
        <v/>
      </c>
      <c r="AN122" s="2920" t="str">
        <f>IF(AND(ISNUMBER(MATCH($F122,'Tablas Técnicas'!$L$10:$L$643,0)),INDEX($AB131:$AB137,Tablas!C$1)="",COUNTIF(AO122:$AS122,$F122)=0),$F122,IF(INDEX($AB131:$AB137,Tablas!C$1)="","",$F122&amp;INDEX($AB131:$AB137,Tablas!C$1)))</f>
        <v/>
      </c>
      <c r="AO122" s="2920" t="str">
        <f>IF(AND(ISNUMBER(MATCH($F122,'Tablas Técnicas'!$L$10:$L$643,0)),INDEX($AB131:$AB137,Tablas!D$1)="",COUNTIF(AP122:$AS122,$F122)=0),$F122,IF(INDEX($AB131:$AB137,Tablas!D$1)="","",$F122&amp;INDEX($AB131:$AB137,Tablas!D$1)))</f>
        <v/>
      </c>
      <c r="AP122" s="2920" t="str">
        <f>IF(AND(ISNUMBER(MATCH($F122,'Tablas Técnicas'!$L$10:$L$643,0)),INDEX($AB131:$AB137,Tablas!E$1)="",COUNTIF(AQ122:$AS122,$F122)=0),$F122,IF(INDEX($AB131:$AB137,Tablas!E$1)="","",$F122&amp;INDEX($AB131:$AB137,Tablas!E$1)))</f>
        <v/>
      </c>
      <c r="AQ122" s="2920" t="str">
        <f>IF(AND(ISNUMBER(MATCH($F122,'Tablas Técnicas'!$L$10:$L$643,0)),INDEX($AB131:$AB137,Tablas!F$1)="",COUNTIF(AR122:$AS122,$F122)=0),$F122,IF(INDEX($AB131:$AB137,Tablas!F$1)="","",$F122&amp;INDEX($AB131:$AB137,Tablas!F$1)))</f>
        <v/>
      </c>
      <c r="AR122" s="2920" t="str">
        <f>IF(AND(ISNUMBER(MATCH($F122,'Tablas Técnicas'!$L$10:$L$643,0)),INDEX($AB131:$AB137,Tablas!G$1)="",COUNTIF(AS122:$AS122,$F122)=0),$F122,IF(INDEX($AB131:$AB137,Tablas!G$1)="","",$F122&amp;INDEX($AB131:$AB137,Tablas!G$1)))</f>
        <v/>
      </c>
      <c r="AS122" s="2922">
        <f>V122+X122+Z122+AB122+AD122+AF122</f>
        <v>0</v>
      </c>
      <c r="AT122" s="2922">
        <f t="array" ref="AT122">SUM(IF($AL122:$AR122='Tablas Técnicas'!$L$10:$L$643,IF(D122="Primario",'Tablas Técnicas'!$E$10:$E$643,'Tablas Técnicas'!$F$10:$F$643)+IF(K122="Sostenimiento menor",'Tablas Técnicas'!$I$10:$I$643,IF(K122="sostenimiento mayor",'Tablas Técnicas'!$J$10:$J$643,0)),0),0)+VALUE(RIGHT(P122,2))+AU122+AV122</f>
        <v>0</v>
      </c>
      <c r="AU122" s="292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22">
        <f>(COUNTIF(AL122:AR122,"*Estado añadido:*")-1)*COUNTIF(AL122:AR122,"*Estado añadido:*")</f>
        <v>0</v>
      </c>
      <c r="AW122" s="2922">
        <f t="array" ref="AW122">SUM(IF($AL122:$AR122='Tablas Técnicas'!$L$10:$L$643,'Tablas Técnicas'!$G$10:$G$643,0))</f>
        <v>0</v>
      </c>
      <c r="AX122" s="2920" t="str">
        <f t="shared" si="28"/>
        <v/>
      </c>
      <c r="AY122" s="2920" t="str">
        <f t="shared" ref="AY122" si="29">IFERROR(LEFT(AX122,LEN(AX122)-2)&amp;"), ","")</f>
        <v/>
      </c>
    </row>
    <row r="123" spans="1:51" ht="12.2" customHeight="1" x14ac:dyDescent="0.2">
      <c r="A123" s="2360"/>
      <c r="B123" s="2252">
        <f t="shared" si="26"/>
        <v>4</v>
      </c>
      <c r="C123" s="4508"/>
      <c r="D123" s="4447" t="s">
        <v>2853</v>
      </c>
      <c r="E123" s="4448"/>
      <c r="F123" s="4435"/>
      <c r="G123" s="4436"/>
      <c r="H123" s="4436"/>
      <c r="I123" s="4436"/>
      <c r="J123" s="4437"/>
      <c r="K123" s="4411"/>
      <c r="L123" s="4412"/>
      <c r="M123" s="4413"/>
      <c r="N123" s="2081" t="str">
        <f>IFERROR(INDEX('Tablas Técnicas'!$Q$200:$Q$299,MATCH(F123&amp;K123,'Tablas Técnicas'!$S$200:$S$299,0)),"")</f>
        <v/>
      </c>
      <c r="O123" s="4414"/>
      <c r="P123" s="4415"/>
      <c r="Q123" s="4416"/>
      <c r="R123" s="4415"/>
      <c r="S123" s="2789" t="str">
        <f>IFERROR("Nivel: "&amp;MAX(1,INDEX('Tablas Técnicas'!$R$200:$R$299,MATCH(F123&amp;K123,'Tablas Técnicas'!$S$200:$S$299,0))),"")</f>
        <v/>
      </c>
      <c r="T123" s="2082"/>
      <c r="U123" s="2083" t="str">
        <f>IFERROR("("&amp;VLOOKUP(F123,'Tablas Técnicas'!$V$199:$X$225,3,FALSE)&amp;")","")</f>
        <v/>
      </c>
      <c r="V123" s="4356" t="s">
        <v>9836</v>
      </c>
      <c r="W123" s="4357"/>
      <c r="X123" s="4358"/>
      <c r="Y123" s="2800">
        <v>0</v>
      </c>
      <c r="Z123" s="4372" t="s">
        <v>9013</v>
      </c>
      <c r="AA123" s="4360"/>
      <c r="AB123" s="4361"/>
      <c r="AC123" s="2800">
        <v>0</v>
      </c>
      <c r="AD123" s="4373" t="str">
        <f>"Ki sin repartir: "&amp;AL131-AL132&amp;IF(AM131=0,""," ("&amp;AM131-AM132&amp;")")</f>
        <v>Ki sin repartir: 0</v>
      </c>
      <c r="AE123" s="4363"/>
      <c r="AF123" s="4363"/>
      <c r="AG123" s="4364"/>
      <c r="AH123" s="2369"/>
      <c r="AI123" s="4511"/>
      <c r="AJ123" s="2920">
        <v>1</v>
      </c>
      <c r="AK123" s="2920">
        <f>P114</f>
        <v>1</v>
      </c>
      <c r="AL123" s="2920" t="e">
        <f>VLOOKUP(F123,'Tablas Técnicas'!$V$199:$X$221,2,FALSE)</f>
        <v>#N/A</v>
      </c>
      <c r="AM123" s="2920"/>
      <c r="AN123" s="2921"/>
      <c r="AO123" s="2920"/>
      <c r="AP123" s="2920"/>
      <c r="AQ123" s="2921"/>
      <c r="AR123" s="2920"/>
      <c r="AS123" s="2920"/>
      <c r="AT123" s="2920"/>
      <c r="AU123" s="2920"/>
      <c r="AV123" s="2920"/>
      <c r="AW123" s="2922"/>
      <c r="AX123" s="2922"/>
      <c r="AY123" s="2920" t="str">
        <f>IF(F123="","",F123&amp;IF(K123="",""," ("&amp;IF(F123="Atadura Elemental",O123&amp;IF(Q123="","",", "&amp;Q123),K123)&amp;")")&amp;", ")</f>
        <v/>
      </c>
    </row>
    <row r="124" spans="1:51" ht="12.2" customHeight="1" x14ac:dyDescent="0.2">
      <c r="A124" s="2360"/>
      <c r="B124" s="2252">
        <f t="shared" si="26"/>
        <v>4</v>
      </c>
      <c r="C124" s="4508"/>
      <c r="D124" s="4449"/>
      <c r="E124" s="4450"/>
      <c r="F124" s="4417"/>
      <c r="G124" s="4418"/>
      <c r="H124" s="4418"/>
      <c r="I124" s="4418"/>
      <c r="J124" s="4419"/>
      <c r="K124" s="4420"/>
      <c r="L124" s="4421"/>
      <c r="M124" s="4422"/>
      <c r="N124" s="2084" t="str">
        <f>IFERROR(INDEX('Tablas Técnicas'!$Q$200:$Q$299,MATCH(F124&amp;K124,'Tablas Técnicas'!$S$200:$S$299,0)),"")</f>
        <v/>
      </c>
      <c r="O124" s="4423"/>
      <c r="P124" s="4424"/>
      <c r="Q124" s="4504"/>
      <c r="R124" s="4424"/>
      <c r="S124" s="2798" t="str">
        <f>IFERROR("Nivel: "&amp;MAX(1,INDEX('Tablas Técnicas'!$R$200:$R$299,MATCH(F124&amp;K124,'Tablas Técnicas'!$S$200:$S$299,0))),"")</f>
        <v/>
      </c>
      <c r="T124" s="2801"/>
      <c r="U124" s="2802" t="str">
        <f>IFERROR("("&amp;VLOOKUP(F124,'Tablas Técnicas'!$V$199:$X$225,3,FALSE)&amp;")","")</f>
        <v/>
      </c>
      <c r="V124" s="4353" t="str">
        <f>"Mod. "&amp;V116</f>
        <v>Mod. AGI</v>
      </c>
      <c r="W124" s="4354"/>
      <c r="X124" s="4353" t="str">
        <f t="shared" ref="X124" si="30">"Mod. "&amp;X116</f>
        <v>Mod. CON</v>
      </c>
      <c r="Y124" s="4354"/>
      <c r="Z124" s="4353" t="str">
        <f t="shared" ref="Z124" si="31">"Mod. "&amp;Z116</f>
        <v>Mod. DES</v>
      </c>
      <c r="AA124" s="4354"/>
      <c r="AB124" s="4353" t="str">
        <f t="shared" ref="AB124" si="32">"Mod. "&amp;AB116</f>
        <v>Mod. FUE</v>
      </c>
      <c r="AC124" s="4354"/>
      <c r="AD124" s="4353" t="str">
        <f t="shared" ref="AD124" si="33">"Mod. "&amp;AD116</f>
        <v>Mod. POD</v>
      </c>
      <c r="AE124" s="4354"/>
      <c r="AF124" s="4353" t="str">
        <f t="shared" ref="AF124" si="34">"Mod. "&amp;AF116</f>
        <v>Mod. VOL</v>
      </c>
      <c r="AG124" s="4355"/>
      <c r="AH124" s="2369"/>
      <c r="AI124" s="4511"/>
      <c r="AJ124" s="2920">
        <v>2</v>
      </c>
      <c r="AK124" s="2920">
        <f>P114</f>
        <v>1</v>
      </c>
      <c r="AL124" s="2920" t="e">
        <f>VLOOKUP(F124,'Tablas Técnicas'!$V$199:$X$221,2,FALSE)</f>
        <v>#N/A</v>
      </c>
      <c r="AM124" s="2920"/>
      <c r="AN124" s="2921"/>
      <c r="AO124" s="2920"/>
      <c r="AP124" s="2920"/>
      <c r="AQ124" s="2921"/>
      <c r="AR124" s="2920"/>
      <c r="AS124" s="2920"/>
      <c r="AT124" s="2920"/>
      <c r="AU124" s="2920"/>
      <c r="AV124" s="2920"/>
      <c r="AW124" s="2922"/>
      <c r="AX124" s="2922"/>
      <c r="AY124" s="2920" t="str">
        <f>IF(F124="","",F124&amp;IF(K124="",""," ("&amp;IF(F124="Atadura Elemental",O124&amp;IF(Q124="","",", "&amp;Q124),K124)&amp;")")&amp;", ")</f>
        <v/>
      </c>
    </row>
    <row r="125" spans="1:51" ht="12.2" customHeight="1" thickBot="1" x14ac:dyDescent="0.25">
      <c r="A125" s="2360"/>
      <c r="B125" s="2252">
        <f t="shared" si="26"/>
        <v>4</v>
      </c>
      <c r="C125" s="4508"/>
      <c r="D125" s="4484"/>
      <c r="E125" s="4485"/>
      <c r="F125" s="4426"/>
      <c r="G125" s="4427"/>
      <c r="H125" s="4427"/>
      <c r="I125" s="4427"/>
      <c r="J125" s="4428"/>
      <c r="K125" s="4429"/>
      <c r="L125" s="4430"/>
      <c r="M125" s="4431"/>
      <c r="N125" s="2085" t="str">
        <f>IFERROR(INDEX('Tablas Técnicas'!$Q$200:$Q$299,MATCH(F125&amp;K125,'Tablas Técnicas'!$S$200:$S$299,0)),"")</f>
        <v/>
      </c>
      <c r="O125" s="4432"/>
      <c r="P125" s="4433"/>
      <c r="Q125" s="4462"/>
      <c r="R125" s="4433"/>
      <c r="S125" s="2799" t="str">
        <f>IFERROR("Nivel: "&amp;MAX(1,INDEX('Tablas Técnicas'!$R$200:$R$299,MATCH(F125&amp;K125,'Tablas Técnicas'!$S$200:$S$299,0))),"")</f>
        <v/>
      </c>
      <c r="T125" s="2803"/>
      <c r="U125" s="2804" t="str">
        <f>IFERROR("("&amp;VLOOKUP(F125,'Tablas Técnicas'!$V$199:$X$225,3,FALSE)&amp;")","")</f>
        <v/>
      </c>
      <c r="V125" s="4368"/>
      <c r="W125" s="4367"/>
      <c r="X125" s="4367"/>
      <c r="Y125" s="4367"/>
      <c r="Z125" s="4367"/>
      <c r="AA125" s="4367"/>
      <c r="AB125" s="4367"/>
      <c r="AC125" s="4367"/>
      <c r="AD125" s="4367"/>
      <c r="AE125" s="4367"/>
      <c r="AF125" s="4367"/>
      <c r="AG125" s="4438"/>
      <c r="AH125" s="2369"/>
      <c r="AI125" s="4511"/>
      <c r="AJ125" s="2920">
        <v>3</v>
      </c>
      <c r="AK125" s="2920">
        <f>P114</f>
        <v>1</v>
      </c>
      <c r="AL125" s="2920" t="e">
        <f>VLOOKUP(F125,'Tablas Técnicas'!$V$199:$X$221,2,FALSE)</f>
        <v>#N/A</v>
      </c>
      <c r="AM125" s="2920"/>
      <c r="AN125" s="2921"/>
      <c r="AO125" s="2920"/>
      <c r="AP125" s="2920"/>
      <c r="AQ125" s="2921"/>
      <c r="AR125" s="2922"/>
      <c r="AS125" s="2922"/>
      <c r="AT125" s="2922"/>
      <c r="AU125" s="2922"/>
      <c r="AV125" s="2922"/>
      <c r="AW125" s="2922"/>
      <c r="AX125" s="2922"/>
      <c r="AY125" s="2920" t="str">
        <f>IF(F125="","",F125&amp;IF(K125="",""," ("&amp;IF(F125="Atadura Elemental",O125&amp;IF(Q125="","",", "&amp;Q125),K125)&amp;")")&amp;", ")</f>
        <v/>
      </c>
    </row>
    <row r="126" spans="1:51" ht="12.2" customHeight="1" x14ac:dyDescent="0.2">
      <c r="A126" s="2360"/>
      <c r="B126" s="2252">
        <f t="shared" si="26"/>
        <v>4</v>
      </c>
      <c r="C126" s="4508"/>
      <c r="D126" s="4386" t="s">
        <v>9511</v>
      </c>
      <c r="E126" s="4387"/>
      <c r="F126" s="4387"/>
      <c r="G126" s="4387"/>
      <c r="H126" s="4387"/>
      <c r="I126" s="4387"/>
      <c r="J126" s="4387"/>
      <c r="K126" s="4387"/>
      <c r="L126" s="4387"/>
      <c r="M126" s="4387"/>
      <c r="N126" s="4387"/>
      <c r="O126" s="4387"/>
      <c r="P126" s="4387"/>
      <c r="Q126" s="4387"/>
      <c r="R126" s="4387"/>
      <c r="S126" s="4387"/>
      <c r="T126" s="4387"/>
      <c r="U126" s="4387"/>
      <c r="V126" s="4388"/>
      <c r="W126" s="4388"/>
      <c r="X126" s="4388"/>
      <c r="Y126" s="4388"/>
      <c r="Z126" s="4388"/>
      <c r="AA126" s="4388"/>
      <c r="AB126" s="4388"/>
      <c r="AC126" s="4388"/>
      <c r="AD126" s="4388"/>
      <c r="AE126" s="4388"/>
      <c r="AF126" s="4388"/>
      <c r="AG126" s="4389"/>
      <c r="AH126" s="2369"/>
      <c r="AI126" s="4511"/>
      <c r="AJ126" s="2920"/>
      <c r="AK126" s="2920"/>
      <c r="AL126" s="2920"/>
      <c r="AM126" s="2920"/>
      <c r="AN126" s="2921" t="s">
        <v>9014</v>
      </c>
      <c r="AO126" s="2920" t="e">
        <f>LEFT(AY118&amp;AY119&amp;AY120&amp;AY121&amp;AY122,LEN(AY118&amp;AY119&amp;AY120&amp;AY121&amp;AY122)-2)</f>
        <v>#VALUE!</v>
      </c>
      <c r="AP126" s="2920"/>
      <c r="AQ126" s="2921"/>
      <c r="AR126" s="2922"/>
      <c r="AS126" s="2922"/>
      <c r="AT126" s="2922"/>
      <c r="AU126" s="2921"/>
      <c r="AV126" s="2921"/>
      <c r="AW126" s="2922"/>
      <c r="AX126" s="2922"/>
      <c r="AY126" s="2920"/>
    </row>
    <row r="127" spans="1:51" ht="12.2" customHeight="1" x14ac:dyDescent="0.2">
      <c r="A127" s="2360"/>
      <c r="B127" s="2252">
        <f t="shared" si="26"/>
        <v>4</v>
      </c>
      <c r="C127" s="4508"/>
      <c r="D127" s="4369" t="str">
        <f>IF(F118="","",F118)</f>
        <v/>
      </c>
      <c r="E127" s="4370"/>
      <c r="F127" s="4370"/>
      <c r="G127" s="4370"/>
      <c r="H127" s="4370"/>
      <c r="I127" s="4371"/>
      <c r="J127" s="4369" t="str">
        <f>IF(F119="","",F119)</f>
        <v/>
      </c>
      <c r="K127" s="4370"/>
      <c r="L127" s="4370"/>
      <c r="M127" s="4370"/>
      <c r="N127" s="4370"/>
      <c r="O127" s="4371"/>
      <c r="P127" s="4370" t="str">
        <f>IF(F120="","",F120)</f>
        <v/>
      </c>
      <c r="Q127" s="4370"/>
      <c r="R127" s="4370"/>
      <c r="S127" s="4370"/>
      <c r="T127" s="4370"/>
      <c r="U127" s="4371"/>
      <c r="V127" s="4369" t="str">
        <f>IF(F121="","",F121)</f>
        <v/>
      </c>
      <c r="W127" s="4370"/>
      <c r="X127" s="4370"/>
      <c r="Y127" s="4370"/>
      <c r="Z127" s="4370"/>
      <c r="AA127" s="4371"/>
      <c r="AB127" s="4370" t="str">
        <f>IF(F122="","",F122)</f>
        <v/>
      </c>
      <c r="AC127" s="4370"/>
      <c r="AD127" s="4370"/>
      <c r="AE127" s="4370"/>
      <c r="AF127" s="4370"/>
      <c r="AG127" s="4385"/>
      <c r="AH127" s="2369"/>
      <c r="AI127" s="4511"/>
      <c r="AJ127" s="2920"/>
      <c r="AK127" s="2920"/>
      <c r="AL127" s="2920"/>
      <c r="AM127" s="2920"/>
      <c r="AN127" s="2921" t="s">
        <v>9015</v>
      </c>
      <c r="AO127" s="2920" t="e">
        <f>LEFT(AY123&amp;AY124&amp;AY125,LEN(AY123&amp;AY124&amp;AY125)-2)</f>
        <v>#VALUE!</v>
      </c>
      <c r="AP127" s="2920"/>
      <c r="AQ127" s="2921"/>
      <c r="AR127" s="2922"/>
      <c r="AS127" s="2922"/>
      <c r="AT127" s="2922"/>
      <c r="AU127" s="2921"/>
      <c r="AV127" s="2921"/>
      <c r="AW127" s="2922"/>
      <c r="AX127" s="2922"/>
      <c r="AY127" s="2920"/>
    </row>
    <row r="128" spans="1:51" ht="12.2" customHeight="1" x14ac:dyDescent="0.2">
      <c r="A128" s="2360"/>
      <c r="B128" s="2252">
        <f t="shared" si="26"/>
        <v>4</v>
      </c>
      <c r="C128" s="4508"/>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511"/>
      <c r="AJ128" s="2920"/>
      <c r="AK128" s="2920"/>
      <c r="AL128" s="2920"/>
      <c r="AM128" s="2920"/>
      <c r="AN128" s="2921"/>
      <c r="AO128" s="2920"/>
      <c r="AP128" s="2920"/>
      <c r="AQ128" s="2921"/>
      <c r="AR128" s="2922"/>
      <c r="AS128" s="2922"/>
      <c r="AT128" s="2922"/>
      <c r="AU128" s="2922"/>
      <c r="AV128" s="2922"/>
      <c r="AW128" s="2922"/>
      <c r="AX128" s="2922"/>
      <c r="AY128" s="2920"/>
    </row>
    <row r="129" spans="1:51" ht="12.2" customHeight="1" x14ac:dyDescent="0.2">
      <c r="A129" s="2360"/>
      <c r="B129" s="2252">
        <f t="shared" si="26"/>
        <v>4</v>
      </c>
      <c r="C129" s="4508"/>
      <c r="D129" s="2198" t="s">
        <v>9016</v>
      </c>
      <c r="E129" s="2806"/>
      <c r="F129" s="2805"/>
      <c r="G129" s="2807"/>
      <c r="H129" s="2807"/>
      <c r="I129" s="2804" t="str">
        <f>IFERROR(IF(D127="Ataque Elemental",IF(NOT(ISNA(VLOOKUP(D131,'Tablas Técnicas'!$Z$25:$Z$30,1,0))),D131,"Variable"),VLOOKUP(D127,'Tablas Técnicas'!$O$9:$W$88,9,FALSE)),"")</f>
        <v/>
      </c>
      <c r="J129" s="2808" t="s">
        <v>9016</v>
      </c>
      <c r="K129" s="2809"/>
      <c r="L129" s="2810"/>
      <c r="M129" s="2811"/>
      <c r="N129" s="2811"/>
      <c r="O129" s="2812" t="str">
        <f>IFERROR(IF(J127="Ataque Elemental",IF(NOT(ISNA(VLOOKUP(J131,'Tablas Técnicas'!$Z$25:$Z$30,1,0))),J131,"Variable"),VLOOKUP(J127,'Tablas Técnicas'!$O$9:$W$88,9,FALSE)),"")</f>
        <v/>
      </c>
      <c r="P129" s="2813" t="s">
        <v>9016</v>
      </c>
      <c r="Q129" s="2809"/>
      <c r="R129" s="2810"/>
      <c r="S129" s="2811"/>
      <c r="T129" s="2811"/>
      <c r="U129" s="2804" t="str">
        <f>IFERROR(IF(P127="Ataque Elemental",IF(NOT(ISNA(VLOOKUP(P131,'Tablas Técnicas'!$Z$25:$Z$30,1,0))),P131,"Variable"),VLOOKUP(P127,'Tablas Técnicas'!$O$9:$W$88,9,FALSE)),"")</f>
        <v/>
      </c>
      <c r="V129" s="2808" t="s">
        <v>9016</v>
      </c>
      <c r="W129" s="2809"/>
      <c r="X129" s="2810"/>
      <c r="Y129" s="2811"/>
      <c r="Z129" s="2811"/>
      <c r="AA129" s="2812" t="str">
        <f>IFERROR(IF(V127="Ataque Elemental",IF(NOT(ISNA(VLOOKUP(V131,'Tablas Técnicas'!$Z$25:$Z$30,1,0))),V131,"Variable"),VLOOKUP(V127,'Tablas Técnicas'!$O$9:$W$88,9,FALSE)),"")</f>
        <v/>
      </c>
      <c r="AB129" s="2813" t="s">
        <v>9016</v>
      </c>
      <c r="AC129" s="2809"/>
      <c r="AD129" s="2810"/>
      <c r="AE129" s="2811"/>
      <c r="AF129" s="2811"/>
      <c r="AG129" s="2203" t="str">
        <f>IFERROR(IF(AB127="Ataque Elemental",IF(NOT(ISNA(VLOOKUP(AB131,'Tablas Técnicas'!$Z$25:$Z$30,1,0))),AB131,"Variable"),VLOOKUP(AB127,'Tablas Técnicas'!$O$9:$W$88,9,FALSE)),"")</f>
        <v/>
      </c>
      <c r="AH129" s="2369"/>
      <c r="AI129" s="4511"/>
      <c r="AJ129" s="2920"/>
      <c r="AK129" s="2922" t="s">
        <v>1376</v>
      </c>
      <c r="AL129" s="2922" t="s">
        <v>1501</v>
      </c>
      <c r="AM129" s="2922" t="s">
        <v>1381</v>
      </c>
      <c r="AN129" s="2922" t="s">
        <v>1386</v>
      </c>
      <c r="AO129" s="2922" t="s">
        <v>1394</v>
      </c>
      <c r="AP129" s="2922" t="s">
        <v>1395</v>
      </c>
      <c r="AQ129" s="2921"/>
      <c r="AR129" s="2922"/>
      <c r="AS129" s="2922"/>
      <c r="AT129" s="2922"/>
      <c r="AU129" s="2922"/>
      <c r="AV129" s="2922"/>
      <c r="AW129" s="2922"/>
      <c r="AX129" s="2922"/>
      <c r="AY129" s="2920"/>
    </row>
    <row r="130" spans="1:51" ht="12.2" customHeight="1" x14ac:dyDescent="0.2">
      <c r="A130" s="2360"/>
      <c r="B130" s="2252">
        <f t="shared" si="26"/>
        <v>4</v>
      </c>
      <c r="C130" s="4508"/>
      <c r="D130" s="4369" t="s">
        <v>2861</v>
      </c>
      <c r="E130" s="4370"/>
      <c r="F130" s="4370"/>
      <c r="G130" s="4370"/>
      <c r="H130" s="4371"/>
      <c r="I130" s="2090" t="s">
        <v>1406</v>
      </c>
      <c r="J130" s="4369" t="s">
        <v>2861</v>
      </c>
      <c r="K130" s="4370"/>
      <c r="L130" s="4370"/>
      <c r="M130" s="4370"/>
      <c r="N130" s="4371"/>
      <c r="O130" s="2091" t="s">
        <v>1406</v>
      </c>
      <c r="P130" s="4369" t="s">
        <v>2861</v>
      </c>
      <c r="Q130" s="4370"/>
      <c r="R130" s="4370"/>
      <c r="S130" s="4370"/>
      <c r="T130" s="4371"/>
      <c r="U130" s="2091" t="s">
        <v>1406</v>
      </c>
      <c r="V130" s="4369"/>
      <c r="W130" s="4370"/>
      <c r="X130" s="4370"/>
      <c r="Y130" s="4370"/>
      <c r="Z130" s="4371"/>
      <c r="AA130" s="2091" t="s">
        <v>1406</v>
      </c>
      <c r="AB130" s="4369" t="s">
        <v>2861</v>
      </c>
      <c r="AC130" s="4370"/>
      <c r="AD130" s="4370"/>
      <c r="AE130" s="4370"/>
      <c r="AF130" s="4371"/>
      <c r="AG130" s="2092" t="s">
        <v>1406</v>
      </c>
      <c r="AH130" s="2369"/>
      <c r="AI130" s="4511"/>
      <c r="AJ130" s="2925" t="s">
        <v>9548</v>
      </c>
      <c r="AK130" s="2920" t="str">
        <f>IF(V116="","",IF(SUM(V118:V122)=0,"",V116&amp;" "&amp;SUM(V118:V122)+V125&amp;IF(SUM(W118:W122)=0,""," ("&amp;SUM(W118:W122)&amp;")")&amp;", "))</f>
        <v/>
      </c>
      <c r="AL130" s="2920" t="str">
        <f>IF(X116="","",IF(SUM(X118:X122)=0,"",X116&amp;" "&amp;SUM(X118:X122)+X125&amp;IF(SUM(Y118:Y122)=0,""," ("&amp;SUM(Y118:Y122)&amp;")")&amp;", "))</f>
        <v/>
      </c>
      <c r="AM130" s="2920" t="str">
        <f>IF(Z116="","",IF(SUM(Z118:Z122)=0,"",Z116&amp;" "&amp;SUM(Z118:Z122)+Z125&amp;IF(SUM(AA118:AA122)=0,""," ("&amp;SUM(AA118:AA122)&amp;")")&amp;", "))</f>
        <v/>
      </c>
      <c r="AN130" s="2920" t="str">
        <f>IF(AB116="","",IF(SUM(AB118:AB122)=0,"",AB116&amp;" "&amp;SUM(AB118:AB122)+AB125&amp;IF(SUM(AC118:AC122)=0,""," ("&amp;SUM(AC118:AC122)&amp;")")&amp;", "))</f>
        <v/>
      </c>
      <c r="AO130" s="2920" t="str">
        <f>IF(AD116="","",IF(SUM(AD118:AD122)=0,"",AD116&amp;" "&amp;SUM(AD118:AD122)+AD125&amp;IF(SUM(AE118:AE122)=0,""," ("&amp;SUM(AE118:AE122)&amp;")")&amp;", "))</f>
        <v/>
      </c>
      <c r="AP130" s="2920" t="str">
        <f>IF(AF116="","",IF(SUM(AF118:AF122)=0,"",AF116&amp;" "&amp;SUM(AF118:AF122)+AF125&amp;IF(SUM(AG118:AG122)=0,""," ("&amp;SUM(AG118:AG122)&amp;")")&amp;", "))</f>
        <v/>
      </c>
      <c r="AQ130" s="2920"/>
      <c r="AR130" s="2920"/>
      <c r="AS130" s="2920"/>
      <c r="AT130" s="2920"/>
      <c r="AU130" s="2920"/>
      <c r="AV130" s="2920"/>
      <c r="AW130" s="2920"/>
      <c r="AX130" s="2920"/>
      <c r="AY130" s="2920"/>
    </row>
    <row r="131" spans="1:51" ht="12.2" customHeight="1" x14ac:dyDescent="0.2">
      <c r="A131" s="2360"/>
      <c r="B131" s="2252">
        <f t="shared" si="26"/>
        <v>4</v>
      </c>
      <c r="C131" s="4508"/>
      <c r="D131" s="4390"/>
      <c r="E131" s="4366"/>
      <c r="F131" s="4366"/>
      <c r="G131" s="4366"/>
      <c r="H131" s="4366"/>
      <c r="I131" s="2093" t="str">
        <f>IF(OR(D127="",D131=""),"",MAX(1,SUMPRODUCT(--(INDEX('Tablas Técnicas'!$C$10:$L$643,,1)=D127),--(INDEX('Tablas Técnicas'!$C$10:$L$643,,2)=D131),INDEX('Tablas Técnicas'!$C$10:$L$643,,9))))</f>
        <v/>
      </c>
      <c r="J131" s="4365"/>
      <c r="K131" s="4366"/>
      <c r="L131" s="4366"/>
      <c r="M131" s="4366"/>
      <c r="N131" s="4366"/>
      <c r="O131" s="2093" t="str">
        <f>IF(OR(J127="",J131=""),"",MAX(1,SUMPRODUCT(--(INDEX('Tablas Técnicas'!$C$10:$L$643,,1)=J127),--(INDEX('Tablas Técnicas'!$C$10:$L$643,,2)=J131),INDEX('Tablas Técnicas'!$C$10:$L$643,,9))))</f>
        <v/>
      </c>
      <c r="P131" s="4365"/>
      <c r="Q131" s="4366"/>
      <c r="R131" s="4366"/>
      <c r="S131" s="4366"/>
      <c r="T131" s="4366"/>
      <c r="U131" s="2093" t="str">
        <f>IF(OR(P127="",P131=""),"",MAX(1,SUMPRODUCT(--(INDEX('Tablas Técnicas'!$C$10:$L$643,,1)=P127),--(INDEX('Tablas Técnicas'!$C$10:$L$643,,2)=P131),INDEX('Tablas Técnicas'!$C$10:$L$643,,9))))</f>
        <v/>
      </c>
      <c r="V131" s="4365"/>
      <c r="W131" s="4366"/>
      <c r="X131" s="4366"/>
      <c r="Y131" s="4366"/>
      <c r="Z131" s="4366"/>
      <c r="AA131" s="2093" t="str">
        <f>IF(OR(V127="",V131=""),"",MAX(1,SUMPRODUCT(--(INDEX('Tablas Técnicas'!$C$10:$L$643,,1)=V127),--(INDEX('Tablas Técnicas'!$C$10:$L$643,,2)=V131),INDEX('Tablas Técnicas'!$C$10:$L$643,,9))))</f>
        <v/>
      </c>
      <c r="AB131" s="4365"/>
      <c r="AC131" s="4366"/>
      <c r="AD131" s="4366"/>
      <c r="AE131" s="4366"/>
      <c r="AF131" s="4366"/>
      <c r="AG131" s="2094" t="str">
        <f>IF(OR(AB127="",AB131=""),"",MAX(1,SUMPRODUCT(--(INDEX('Tablas Técnicas'!$C$10:$L$643,,1)=AB127),--(INDEX('Tablas Técnicas'!$C$10:$L$643,,2)=AB131),INDEX('Tablas Técnicas'!$C$10:$L$643,,9))))</f>
        <v/>
      </c>
      <c r="AH131" s="2369">
        <f>P114</f>
        <v>1</v>
      </c>
      <c r="AI131" s="4511"/>
      <c r="AJ131" s="2920" t="s">
        <v>9512</v>
      </c>
      <c r="AK131" s="2920"/>
      <c r="AL131" s="2920">
        <f>MAX(0,SUM(AT118:AT122)+ABS($AC123*2/5))+IF(AM140,0,Y123)+IF(S114="Si",3*P114,0)</f>
        <v>0</v>
      </c>
      <c r="AM131" s="2920">
        <f t="array" ref="AM131">IF(ISNUMBER(SEARCH("Mantenido",K118&amp;K119&amp;K120&amp;K121&amp;K122)),MAX(0,SUM(VALUE(RIGHT($P118:$P122,2)))),0)</f>
        <v>0</v>
      </c>
      <c r="AN131" s="2922"/>
      <c r="AO131" s="2922"/>
      <c r="AP131" s="2927"/>
      <c r="AQ131" s="2927"/>
      <c r="AR131" s="2927"/>
      <c r="AS131" s="2927"/>
      <c r="AT131" s="2927"/>
      <c r="AU131" s="2927"/>
      <c r="AV131" s="2927"/>
      <c r="AW131" s="2927"/>
      <c r="AX131" s="2927"/>
      <c r="AY131" s="2920"/>
    </row>
    <row r="132" spans="1:51" ht="12.2" customHeight="1" x14ac:dyDescent="0.2">
      <c r="A132" s="2360"/>
      <c r="B132" s="2252">
        <f t="shared" si="26"/>
        <v>4</v>
      </c>
      <c r="C132" s="4508"/>
      <c r="D132" s="4374"/>
      <c r="E132" s="4375"/>
      <c r="F132" s="4375"/>
      <c r="G132" s="4375"/>
      <c r="H132" s="4375"/>
      <c r="I132" s="2095" t="str">
        <f>IF(OR(D127="",D132=""),"",MAX(1,SUMPRODUCT(--(INDEX('Tablas Técnicas'!$C$10:$L$643,,1)=D127),--(INDEX('Tablas Técnicas'!$C$10:$L$643,,2)=D132),INDEX('Tablas Técnicas'!$C$10:$L$643,,9))))</f>
        <v/>
      </c>
      <c r="J132" s="4374"/>
      <c r="K132" s="4375"/>
      <c r="L132" s="4375"/>
      <c r="M132" s="4375"/>
      <c r="N132" s="4375"/>
      <c r="O132" s="2095" t="str">
        <f>IF(OR(J127="",J132=""),"",MAX(1,SUMPRODUCT(--(INDEX('Tablas Técnicas'!$C$10:$L$643,,1)=J127),--(INDEX('Tablas Técnicas'!$C$10:$L$643,,2)=J132),INDEX('Tablas Técnicas'!$C$10:$L$643,,9))))</f>
        <v/>
      </c>
      <c r="P132" s="4374"/>
      <c r="Q132" s="4375"/>
      <c r="R132" s="4375"/>
      <c r="S132" s="4375"/>
      <c r="T132" s="4375"/>
      <c r="U132" s="2095" t="str">
        <f>IF(OR(P127="",P132=""),"",MAX(1,SUMPRODUCT(--(INDEX('Tablas Técnicas'!$C$10:$L$643,,1)=P127),--(INDEX('Tablas Técnicas'!$C$10:$L$643,,2)=P132),INDEX('Tablas Técnicas'!$C$10:$L$643,,9))))</f>
        <v/>
      </c>
      <c r="V132" s="4374"/>
      <c r="W132" s="4375"/>
      <c r="X132" s="4375"/>
      <c r="Y132" s="4375"/>
      <c r="Z132" s="4375"/>
      <c r="AA132" s="2095" t="str">
        <f>IF(OR(V127="",V132=""),"",MAX(1,SUMPRODUCT(--(INDEX('Tablas Técnicas'!$C$10:$L$643,,1)=V127),--(INDEX('Tablas Técnicas'!$C$10:$L$643,,2)=V132),INDEX('Tablas Técnicas'!$C$10:$L$643,,9))))</f>
        <v/>
      </c>
      <c r="AB132" s="4374"/>
      <c r="AC132" s="4375"/>
      <c r="AD132" s="4375"/>
      <c r="AE132" s="4375"/>
      <c r="AF132" s="4375"/>
      <c r="AG132" s="2096" t="str">
        <f>IF(OR(AB127="",AB132=""),"",MAX(1,SUMPRODUCT(--(INDEX('Tablas Técnicas'!$C$10:$L$643,,1)=AB127),--(INDEX('Tablas Técnicas'!$C$10:$L$643,,2)=AB132),INDEX('Tablas Técnicas'!$C$10:$L$643,,9))))</f>
        <v/>
      </c>
      <c r="AH132" s="2369">
        <f>P114</f>
        <v>1</v>
      </c>
      <c r="AI132" s="4511"/>
      <c r="AJ132" s="2920" t="s">
        <v>9018</v>
      </c>
      <c r="AK132" s="2920"/>
      <c r="AL132" s="2920">
        <f>SUM(V118:V122,X118:X122,Z118:Z122,AB118:AB122,AD118:AD122,AF118:AF122)+SUM(V125:AG125)</f>
        <v>0</v>
      </c>
      <c r="AM132" s="2920">
        <f>SUM(W118:W122,Y118:Y122,AA118:AA122,AC118:AC122,AE118:AE122,AG118:AG122)</f>
        <v>0</v>
      </c>
      <c r="AN132" s="2920"/>
      <c r="AO132" s="2920"/>
      <c r="AP132" s="2920"/>
      <c r="AQ132" s="2920"/>
      <c r="AR132" s="2920"/>
      <c r="AS132" s="2920"/>
      <c r="AT132" s="2920"/>
      <c r="AU132" s="2920"/>
      <c r="AV132" s="2920"/>
      <c r="AW132" s="2922"/>
      <c r="AX132" s="2920"/>
      <c r="AY132" s="2920"/>
    </row>
    <row r="133" spans="1:51" ht="12.2" customHeight="1" x14ac:dyDescent="0.2">
      <c r="A133" s="2360"/>
      <c r="B133" s="2252">
        <f t="shared" si="26"/>
        <v>4</v>
      </c>
      <c r="C133" s="4508"/>
      <c r="D133" s="4374"/>
      <c r="E133" s="4375"/>
      <c r="F133" s="4375"/>
      <c r="G133" s="4375"/>
      <c r="H133" s="4375"/>
      <c r="I133" s="2095" t="str">
        <f>IF(OR(D127="",D133=""),"",MAX(1,SUMPRODUCT(--(INDEX('Tablas Técnicas'!$C$10:$L$643,,1)=D127),--(INDEX('Tablas Técnicas'!$C$10:$L$643,,2)=D133),INDEX('Tablas Técnicas'!$C$10:$L$643,,9))))</f>
        <v/>
      </c>
      <c r="J133" s="4374"/>
      <c r="K133" s="4375"/>
      <c r="L133" s="4375"/>
      <c r="M133" s="4375"/>
      <c r="N133" s="4375"/>
      <c r="O133" s="2095" t="str">
        <f>IF(OR(J127="",J133=""),"",MAX(1,SUMPRODUCT(--(INDEX('Tablas Técnicas'!$C$10:$L$643,,1)=J127),--(INDEX('Tablas Técnicas'!$C$10:$L$643,,2)=J133),INDEX('Tablas Técnicas'!$C$10:$L$643,,9))))</f>
        <v/>
      </c>
      <c r="P133" s="4374"/>
      <c r="Q133" s="4375"/>
      <c r="R133" s="4375"/>
      <c r="S133" s="4375"/>
      <c r="T133" s="4375"/>
      <c r="U133" s="2095" t="str">
        <f>IF(OR(P127="",P133=""),"",MAX(1,SUMPRODUCT(--(INDEX('Tablas Técnicas'!$C$10:$L$643,,1)=P127),--(INDEX('Tablas Técnicas'!$C$10:$L$643,,2)=P133),INDEX('Tablas Técnicas'!$C$10:$L$643,,9))))</f>
        <v/>
      </c>
      <c r="V133" s="4374"/>
      <c r="W133" s="4375"/>
      <c r="X133" s="4375"/>
      <c r="Y133" s="4375"/>
      <c r="Z133" s="4375"/>
      <c r="AA133" s="2095" t="str">
        <f>IF(OR(V127="",V133=""),"",MAX(1,SUMPRODUCT(--(INDEX('Tablas Técnicas'!$C$10:$L$643,,1)=V127),--(INDEX('Tablas Técnicas'!$C$10:$L$643,,2)=V133),INDEX('Tablas Técnicas'!$C$10:$L$643,,9))))</f>
        <v/>
      </c>
      <c r="AB133" s="4374"/>
      <c r="AC133" s="4375"/>
      <c r="AD133" s="4375"/>
      <c r="AE133" s="4375"/>
      <c r="AF133" s="4375"/>
      <c r="AG133" s="2096" t="str">
        <f>IF(OR(AB127="",AB133=""),"",MAX(1,SUMPRODUCT(--(INDEX('Tablas Técnicas'!$C$10:$L$643,,1)=AB127),--(INDEX('Tablas Técnicas'!$C$10:$L$643,,2)=AB133),INDEX('Tablas Técnicas'!$C$10:$L$643,,9))))</f>
        <v/>
      </c>
      <c r="AH133" s="2369">
        <f>P114</f>
        <v>1</v>
      </c>
      <c r="AI133" s="4511"/>
      <c r="AJ133" s="2920"/>
      <c r="AK133" s="2920"/>
      <c r="AL133" s="2920"/>
      <c r="AM133" s="2920"/>
      <c r="AN133" s="2920"/>
      <c r="AO133" s="2920"/>
      <c r="AP133" s="2920"/>
      <c r="AQ133" s="2920"/>
      <c r="AR133" s="2920"/>
      <c r="AS133" s="2920"/>
      <c r="AT133" s="2920"/>
      <c r="AU133" s="2920"/>
      <c r="AV133" s="2920"/>
      <c r="AW133" s="2922"/>
      <c r="AX133" s="2922"/>
      <c r="AY133" s="2920"/>
    </row>
    <row r="134" spans="1:51" ht="12.2" customHeight="1" x14ac:dyDescent="0.2">
      <c r="A134" s="2360"/>
      <c r="B134" s="2252">
        <f t="shared" si="26"/>
        <v>4</v>
      </c>
      <c r="C134" s="4508"/>
      <c r="D134" s="4374"/>
      <c r="E134" s="4375"/>
      <c r="F134" s="4375"/>
      <c r="G134" s="4375"/>
      <c r="H134" s="4375"/>
      <c r="I134" s="2095" t="str">
        <f>IF(OR(D127="",D134=""),"",MAX(1,SUMPRODUCT(--(INDEX('Tablas Técnicas'!$C$10:$L$643,,1)=D127),--(INDEX('Tablas Técnicas'!$C$10:$L$643,,2)=D134),INDEX('Tablas Técnicas'!$C$10:$L$643,,9))))</f>
        <v/>
      </c>
      <c r="J134" s="4374"/>
      <c r="K134" s="4375"/>
      <c r="L134" s="4375"/>
      <c r="M134" s="4375"/>
      <c r="N134" s="4375"/>
      <c r="O134" s="2095" t="str">
        <f>IF(OR(J127="",J134=""),"",MAX(1,SUMPRODUCT(--(INDEX('Tablas Técnicas'!$C$10:$L$643,,1)=J127),--(INDEX('Tablas Técnicas'!$C$10:$L$643,,2)=J134),INDEX('Tablas Técnicas'!$C$10:$L$643,,9))))</f>
        <v/>
      </c>
      <c r="P134" s="4374"/>
      <c r="Q134" s="4375"/>
      <c r="R134" s="4375"/>
      <c r="S134" s="4375"/>
      <c r="T134" s="4375"/>
      <c r="U134" s="2095" t="str">
        <f>IF(OR(P127="",P134=""),"",MAX(1,SUMPRODUCT(--(INDEX('Tablas Técnicas'!$C$10:$L$643,,1)=P127),--(INDEX('Tablas Técnicas'!$C$10:$L$643,,2)=P134),INDEX('Tablas Técnicas'!$C$10:$L$643,,9))))</f>
        <v/>
      </c>
      <c r="V134" s="4374"/>
      <c r="W134" s="4375"/>
      <c r="X134" s="4375"/>
      <c r="Y134" s="4375"/>
      <c r="Z134" s="4375"/>
      <c r="AA134" s="2095" t="str">
        <f>IF(OR(V127="",V134=""),"",MAX(1,SUMPRODUCT(--(INDEX('Tablas Técnicas'!$C$10:$L$643,,1)=V127),--(INDEX('Tablas Técnicas'!$C$10:$L$643,,2)=V134),INDEX('Tablas Técnicas'!$C$10:$L$643,,9))))</f>
        <v/>
      </c>
      <c r="AB134" s="4374"/>
      <c r="AC134" s="4375"/>
      <c r="AD134" s="4375"/>
      <c r="AE134" s="4375"/>
      <c r="AF134" s="4375"/>
      <c r="AG134" s="2096" t="str">
        <f>IF(OR(AB127="",AB134=""),"",MAX(1,SUMPRODUCT(--(INDEX('Tablas Técnicas'!$C$10:$L$643,,1)=AB127),--(INDEX('Tablas Técnicas'!$C$10:$L$643,,2)=AB134),INDEX('Tablas Técnicas'!$C$10:$L$643,,9))))</f>
        <v/>
      </c>
      <c r="AH134" s="2369">
        <f>P114</f>
        <v>1</v>
      </c>
      <c r="AI134" s="4511"/>
      <c r="AJ134" s="2920" t="s">
        <v>9019</v>
      </c>
      <c r="AK134" s="2920"/>
      <c r="AL134" s="2920"/>
      <c r="AM134" s="2920"/>
      <c r="AN134" s="2920"/>
      <c r="AO134" s="2920"/>
      <c r="AP134" s="2920"/>
      <c r="AQ134" s="2921"/>
      <c r="AR134" s="2922"/>
      <c r="AS134" s="2922"/>
      <c r="AT134" s="2922"/>
      <c r="AU134" s="2922"/>
      <c r="AV134" s="2922"/>
      <c r="AW134" s="2922"/>
      <c r="AX134" s="2922"/>
      <c r="AY134" s="2920"/>
    </row>
    <row r="135" spans="1:51" ht="12.2" customHeight="1" x14ac:dyDescent="0.2">
      <c r="A135" s="2360"/>
      <c r="B135" s="2252">
        <f t="shared" si="26"/>
        <v>4</v>
      </c>
      <c r="C135" s="4508"/>
      <c r="D135" s="4374"/>
      <c r="E135" s="4375"/>
      <c r="F135" s="4375"/>
      <c r="G135" s="4375"/>
      <c r="H135" s="4375"/>
      <c r="I135" s="2095" t="str">
        <f>IF(OR(D127="",D135=""),"",MAX(1,SUMPRODUCT(--(INDEX('Tablas Técnicas'!$C$10:$L$643,,1)=D127),--(INDEX('Tablas Técnicas'!$C$10:$L$643,,2)=D135),INDEX('Tablas Técnicas'!$C$10:$L$643,,9))))</f>
        <v/>
      </c>
      <c r="J135" s="4374"/>
      <c r="K135" s="4375"/>
      <c r="L135" s="4375"/>
      <c r="M135" s="4375"/>
      <c r="N135" s="4375"/>
      <c r="O135" s="2095" t="str">
        <f>IF(OR(J127="",J135=""),"",MAX(1,SUMPRODUCT(--(INDEX('Tablas Técnicas'!$C$10:$L$643,,1)=J127),--(INDEX('Tablas Técnicas'!$C$10:$L$643,,2)=J135),INDEX('Tablas Técnicas'!$C$10:$L$643,,9))))</f>
        <v/>
      </c>
      <c r="P135" s="4374"/>
      <c r="Q135" s="4375"/>
      <c r="R135" s="4375"/>
      <c r="S135" s="4375"/>
      <c r="T135" s="4375"/>
      <c r="U135" s="2095" t="str">
        <f>IF(OR(P127="",P135=""),"",MAX(1,SUMPRODUCT(--(INDEX('Tablas Técnicas'!$C$10:$L$643,,1)=P127),--(INDEX('Tablas Técnicas'!$C$10:$L$643,,2)=P135),INDEX('Tablas Técnicas'!$C$10:$L$643,,9))))</f>
        <v/>
      </c>
      <c r="V135" s="4374"/>
      <c r="W135" s="4375"/>
      <c r="X135" s="4375"/>
      <c r="Y135" s="4375"/>
      <c r="Z135" s="4375"/>
      <c r="AA135" s="2095" t="str">
        <f>IF(OR(V127="",V135=""),"",MAX(1,SUMPRODUCT(--(INDEX('Tablas Técnicas'!$C$10:$L$643,,1)=V127),--(INDEX('Tablas Técnicas'!$C$10:$L$643,,2)=V135),INDEX('Tablas Técnicas'!$C$10:$L$643,,9))))</f>
        <v/>
      </c>
      <c r="AB135" s="4374"/>
      <c r="AC135" s="4375"/>
      <c r="AD135" s="4375"/>
      <c r="AE135" s="4375"/>
      <c r="AF135" s="4375"/>
      <c r="AG135" s="2096" t="str">
        <f>IF(OR(AB127="",AB135=""),"",MAX(1,SUMPRODUCT(--(INDEX('Tablas Técnicas'!$C$10:$L$643,,1)=AB127),--(INDEX('Tablas Técnicas'!$C$10:$L$643,,2)=AB135),INDEX('Tablas Técnicas'!$C$10:$L$643,,9))))</f>
        <v/>
      </c>
      <c r="AH135" s="2369">
        <f>P114</f>
        <v>1</v>
      </c>
      <c r="AI135" s="4511"/>
      <c r="AJ135" s="2920" t="s">
        <v>10184</v>
      </c>
      <c r="AK135" s="2920"/>
      <c r="AL135" s="2920"/>
      <c r="AM135" s="2920" t="b">
        <f>U114&gt;IF(P114=3,200,IF(P114=2,100,50))</f>
        <v>0</v>
      </c>
      <c r="AN135" s="2920"/>
      <c r="AO135" s="2920"/>
      <c r="AP135" s="2920"/>
      <c r="AQ135" s="2920"/>
      <c r="AR135" s="2922"/>
      <c r="AS135" s="2922"/>
      <c r="AT135" s="2922"/>
      <c r="AU135" s="2922"/>
      <c r="AV135" s="2922"/>
      <c r="AW135" s="2922"/>
      <c r="AX135" s="2922"/>
      <c r="AY135" s="2920"/>
    </row>
    <row r="136" spans="1:51" ht="12.2" customHeight="1" x14ac:dyDescent="0.2">
      <c r="A136" s="2360"/>
      <c r="B136" s="2252">
        <f t="shared" si="26"/>
        <v>4</v>
      </c>
      <c r="C136" s="4508"/>
      <c r="D136" s="4374"/>
      <c r="E136" s="4375"/>
      <c r="F136" s="4375"/>
      <c r="G136" s="4375"/>
      <c r="H136" s="4375"/>
      <c r="I136" s="2095" t="str">
        <f>IF(OR(D127="",D136=""),"",MAX(1,SUMPRODUCT(--(INDEX('Tablas Técnicas'!$C$10:$L$643,,1)=D127),--(INDEX('Tablas Técnicas'!$C$10:$L$643,,2)=D136),INDEX('Tablas Técnicas'!$C$10:$L$643,,9))))</f>
        <v/>
      </c>
      <c r="J136" s="4374"/>
      <c r="K136" s="4375"/>
      <c r="L136" s="4375"/>
      <c r="M136" s="4375"/>
      <c r="N136" s="4375"/>
      <c r="O136" s="2095" t="str">
        <f>IF(OR(J127="",J136=""),"",MAX(1,SUMPRODUCT(--(INDEX('Tablas Técnicas'!$C$10:$L$643,,1)=J127),--(INDEX('Tablas Técnicas'!$C$10:$L$643,,2)=J136),INDEX('Tablas Técnicas'!$C$10:$L$643,,9))))</f>
        <v/>
      </c>
      <c r="P136" s="4374"/>
      <c r="Q136" s="4375"/>
      <c r="R136" s="4375"/>
      <c r="S136" s="4375"/>
      <c r="T136" s="4375"/>
      <c r="U136" s="2095" t="str">
        <f>IF(OR(P127="",P136=""),"",MAX(1,SUMPRODUCT(--(INDEX('Tablas Técnicas'!$C$10:$L$643,,1)=P127),--(INDEX('Tablas Técnicas'!$C$10:$L$643,,2)=P136),INDEX('Tablas Técnicas'!$C$10:$L$643,,9))))</f>
        <v/>
      </c>
      <c r="V136" s="4374"/>
      <c r="W136" s="4375"/>
      <c r="X136" s="4375"/>
      <c r="Y136" s="4375"/>
      <c r="Z136" s="4375"/>
      <c r="AA136" s="2095" t="str">
        <f>IF(OR(V127="",V136=""),"",MAX(1,SUMPRODUCT(--(INDEX('Tablas Técnicas'!$C$10:$L$643,,1)=V127),--(INDEX('Tablas Técnicas'!$C$10:$L$643,,2)=V136),INDEX('Tablas Técnicas'!$C$10:$L$643,,9))))</f>
        <v/>
      </c>
      <c r="AB136" s="4374"/>
      <c r="AC136" s="4375"/>
      <c r="AD136" s="4375"/>
      <c r="AE136" s="4375"/>
      <c r="AF136" s="4375"/>
      <c r="AG136" s="2096" t="str">
        <f>IF(OR(AB127="",AB136=""),"",MAX(1,SUMPRODUCT(--(INDEX('Tablas Técnicas'!$C$10:$L$643,,1)=AB127),--(INDEX('Tablas Técnicas'!$C$10:$L$643,,2)=AB136),INDEX('Tablas Técnicas'!$C$10:$L$643,,9))))</f>
        <v/>
      </c>
      <c r="AH136" s="2369">
        <f>P114</f>
        <v>1</v>
      </c>
      <c r="AI136" s="4511"/>
      <c r="AJ136" s="2920" t="s">
        <v>9020</v>
      </c>
      <c r="AK136" s="2920"/>
      <c r="AL136" s="2920"/>
      <c r="AM136" s="2920" t="b">
        <f t="array" ref="AM136">MAX(I131:I137,O131:O137,U131:U137,AA131:AA137,AG131:AG137,RIGHT(S123:S125,1))&gt;P114</f>
        <v>0</v>
      </c>
      <c r="AN136" s="2920"/>
      <c r="AO136" s="2920"/>
      <c r="AP136" s="2920"/>
      <c r="AQ136" s="2921"/>
      <c r="AR136" s="2922"/>
      <c r="AS136" s="2922"/>
      <c r="AT136" s="2922"/>
      <c r="AU136" s="2922"/>
      <c r="AV136" s="2922"/>
      <c r="AW136" s="2922"/>
      <c r="AX136" s="2922"/>
      <c r="AY136" s="2920"/>
    </row>
    <row r="137" spans="1:51" ht="12.2" customHeight="1" x14ac:dyDescent="0.2">
      <c r="A137" s="2360"/>
      <c r="B137" s="2252">
        <f t="shared" si="26"/>
        <v>4</v>
      </c>
      <c r="C137" s="4508"/>
      <c r="D137" s="4401"/>
      <c r="E137" s="4402"/>
      <c r="F137" s="4402"/>
      <c r="G137" s="4402"/>
      <c r="H137" s="4402"/>
      <c r="I137" s="2097" t="str">
        <f>IF(OR(D127="",D137=""),"",MAX(1,SUMPRODUCT(--(INDEX('Tablas Técnicas'!$C$10:$L$643,,1)=D127),--(INDEX('Tablas Técnicas'!$C$10:$L$643,,2)=D137),INDEX('Tablas Técnicas'!$C$10:$L$643,,9))))</f>
        <v/>
      </c>
      <c r="J137" s="4401"/>
      <c r="K137" s="4402"/>
      <c r="L137" s="4402"/>
      <c r="M137" s="4402"/>
      <c r="N137" s="4402"/>
      <c r="O137" s="2097" t="str">
        <f>IF(OR(J127="",J137=""),"",MAX(1,SUMPRODUCT(--(INDEX('Tablas Técnicas'!$C$10:$L$643,,1)=J127),--(INDEX('Tablas Técnicas'!$C$10:$L$643,,2)=J137),INDEX('Tablas Técnicas'!$C$10:$L$643,,9))))</f>
        <v/>
      </c>
      <c r="P137" s="4401"/>
      <c r="Q137" s="4402"/>
      <c r="R137" s="4402"/>
      <c r="S137" s="4402"/>
      <c r="T137" s="4402"/>
      <c r="U137" s="2097" t="str">
        <f>IF(OR(P127="",P137=""),"",MAX(1,SUMPRODUCT(--(INDEX('Tablas Técnicas'!$C$10:$L$643,,1)=P127),--(INDEX('Tablas Técnicas'!$C$10:$L$643,,2)=P137),INDEX('Tablas Técnicas'!$C$10:$L$643,,9))))</f>
        <v/>
      </c>
      <c r="V137" s="4401"/>
      <c r="W137" s="4402"/>
      <c r="X137" s="4402"/>
      <c r="Y137" s="4402"/>
      <c r="Z137" s="4402"/>
      <c r="AA137" s="2097" t="str">
        <f>IF(OR(V127="",V137=""),"",MAX(1,SUMPRODUCT(--(INDEX('Tablas Técnicas'!$C$10:$L$643,,1)=V127),--(INDEX('Tablas Técnicas'!$C$10:$L$643,,2)=V137),INDEX('Tablas Técnicas'!$C$10:$L$643,,9))))</f>
        <v/>
      </c>
      <c r="AB137" s="4401"/>
      <c r="AC137" s="4402"/>
      <c r="AD137" s="4402"/>
      <c r="AE137" s="4402"/>
      <c r="AF137" s="4402"/>
      <c r="AG137" s="2098" t="str">
        <f>IF(OR(AB127="",AB137=""),"",MAX(1,SUMPRODUCT(--(INDEX('Tablas Técnicas'!$C$10:$L$643,,1)=AB127),--(INDEX('Tablas Técnicas'!$C$10:$L$643,,2)=AB137),INDEX('Tablas Técnicas'!$C$10:$L$643,,9))))</f>
        <v/>
      </c>
      <c r="AH137" s="2369">
        <f>P114</f>
        <v>1</v>
      </c>
      <c r="AI137" s="4511"/>
      <c r="AJ137" s="2920" t="s">
        <v>9529</v>
      </c>
      <c r="AK137" s="2920"/>
      <c r="AL137" s="2920"/>
      <c r="AM137" s="2920" t="b">
        <f>AND(COUNTIF(K118:M122,"Mantenido"),OR(COUNTIF(K118:M122,"Sostenimiento Menor"),COUNTIF(K118:M122,"Sostenimiento Mayor")))</f>
        <v>0</v>
      </c>
      <c r="AN137" s="2921"/>
      <c r="AO137" s="2920"/>
      <c r="AP137" s="2920"/>
      <c r="AQ137" s="2920"/>
      <c r="AR137" s="2920"/>
      <c r="AS137" s="2920"/>
      <c r="AT137" s="2920"/>
      <c r="AU137" s="2922"/>
      <c r="AV137" s="2922"/>
      <c r="AW137" s="2922"/>
      <c r="AX137" s="2922"/>
      <c r="AY137" s="2920"/>
    </row>
    <row r="138" spans="1:51" ht="12.2" customHeight="1" x14ac:dyDescent="0.2">
      <c r="A138" s="2360"/>
      <c r="B138" s="2252">
        <f t="shared" si="26"/>
        <v>4</v>
      </c>
      <c r="C138" s="4508"/>
      <c r="D138" s="4386" t="s">
        <v>1553</v>
      </c>
      <c r="E138" s="4387"/>
      <c r="F138" s="4387"/>
      <c r="G138" s="4387"/>
      <c r="H138" s="4387"/>
      <c r="I138" s="4387"/>
      <c r="J138" s="4387"/>
      <c r="K138" s="4387"/>
      <c r="L138" s="4387"/>
      <c r="M138" s="4387"/>
      <c r="N138" s="4387"/>
      <c r="O138" s="4387"/>
      <c r="P138" s="4387"/>
      <c r="Q138" s="4387"/>
      <c r="R138" s="4387"/>
      <c r="S138" s="4387"/>
      <c r="T138" s="4387"/>
      <c r="U138" s="4387"/>
      <c r="V138" s="4387"/>
      <c r="W138" s="4387"/>
      <c r="X138" s="4387"/>
      <c r="Y138" s="4387"/>
      <c r="Z138" s="4387"/>
      <c r="AA138" s="4387"/>
      <c r="AB138" s="4387"/>
      <c r="AC138" s="4387"/>
      <c r="AD138" s="4387"/>
      <c r="AE138" s="4387"/>
      <c r="AF138" s="4387"/>
      <c r="AG138" s="4442"/>
      <c r="AH138" s="2369"/>
      <c r="AI138" s="4511"/>
      <c r="AJ138" s="2920" t="s">
        <v>9528</v>
      </c>
      <c r="AK138" s="2920"/>
      <c r="AL138" s="2920"/>
      <c r="AM138" s="292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20"/>
      <c r="AO138" s="2920"/>
      <c r="AP138" s="2920"/>
      <c r="AQ138" s="2921"/>
      <c r="AR138" s="2920"/>
      <c r="AS138" s="2920"/>
      <c r="AT138" s="2920"/>
      <c r="AU138" s="2922"/>
      <c r="AV138" s="2922"/>
      <c r="AW138" s="2922"/>
      <c r="AX138" s="2922"/>
      <c r="AY138" s="2920"/>
    </row>
    <row r="139" spans="1:51" ht="12.2" customHeight="1" x14ac:dyDescent="0.2">
      <c r="A139" s="2360"/>
      <c r="B139" s="2252">
        <f t="shared" si="26"/>
        <v>4</v>
      </c>
      <c r="C139" s="4508"/>
      <c r="D139" s="4443"/>
      <c r="E139" s="4461"/>
      <c r="F139" s="4461"/>
      <c r="G139" s="4461"/>
      <c r="H139" s="4461"/>
      <c r="I139" s="4461"/>
      <c r="J139" s="4461"/>
      <c r="K139" s="4461"/>
      <c r="L139" s="4461"/>
      <c r="M139" s="4461"/>
      <c r="N139" s="4461"/>
      <c r="O139" s="4461"/>
      <c r="P139" s="4461"/>
      <c r="Q139" s="4461"/>
      <c r="R139" s="4461"/>
      <c r="S139" s="4461"/>
      <c r="T139" s="4461"/>
      <c r="U139" s="4461"/>
      <c r="V139" s="4461"/>
      <c r="W139" s="4461"/>
      <c r="X139" s="4461"/>
      <c r="Y139" s="4461"/>
      <c r="Z139" s="4461"/>
      <c r="AA139" s="4461"/>
      <c r="AB139" s="4461"/>
      <c r="AC139" s="4461"/>
      <c r="AD139" s="4461"/>
      <c r="AE139" s="4461"/>
      <c r="AF139" s="4461"/>
      <c r="AG139" s="4445"/>
      <c r="AH139" s="2369"/>
      <c r="AI139" s="4511"/>
      <c r="AJ139" s="2920" t="s">
        <v>9536</v>
      </c>
      <c r="AK139" s="2920"/>
      <c r="AL139" s="2920"/>
      <c r="AM139" s="292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20"/>
      <c r="AO139" s="2920"/>
      <c r="AP139" s="2920"/>
      <c r="AQ139" s="2921"/>
      <c r="AR139" s="2920"/>
      <c r="AS139" s="2920"/>
      <c r="AT139" s="2920"/>
      <c r="AU139" s="2922"/>
      <c r="AV139" s="2922"/>
      <c r="AW139" s="2922"/>
      <c r="AX139" s="2922"/>
      <c r="AY139" s="2920"/>
    </row>
    <row r="140" spans="1:51" ht="12.2" customHeight="1" x14ac:dyDescent="0.2">
      <c r="A140" s="2360"/>
      <c r="B140" s="2252">
        <f t="shared" si="26"/>
        <v>4</v>
      </c>
      <c r="C140" s="4508"/>
      <c r="D140" s="4443"/>
      <c r="E140" s="4461"/>
      <c r="F140" s="4461"/>
      <c r="G140" s="4461"/>
      <c r="H140" s="4461"/>
      <c r="I140" s="4461"/>
      <c r="J140" s="4461"/>
      <c r="K140" s="4461"/>
      <c r="L140" s="4461"/>
      <c r="M140" s="4461"/>
      <c r="N140" s="4461"/>
      <c r="O140" s="4461"/>
      <c r="P140" s="4461"/>
      <c r="Q140" s="4461"/>
      <c r="R140" s="4461"/>
      <c r="S140" s="4461"/>
      <c r="T140" s="4461"/>
      <c r="U140" s="4461"/>
      <c r="V140" s="4461"/>
      <c r="W140" s="4461"/>
      <c r="X140" s="4461"/>
      <c r="Y140" s="4461"/>
      <c r="Z140" s="4461"/>
      <c r="AA140" s="4461"/>
      <c r="AB140" s="4461"/>
      <c r="AC140" s="4461"/>
      <c r="AD140" s="4461"/>
      <c r="AE140" s="4461"/>
      <c r="AF140" s="4461"/>
      <c r="AG140" s="4445"/>
      <c r="AH140" s="2369"/>
      <c r="AI140" s="4511"/>
      <c r="AJ140" s="2920" t="s">
        <v>9515</v>
      </c>
      <c r="AK140" s="2920"/>
      <c r="AL140" s="2920"/>
      <c r="AM140" s="2920" t="b">
        <f>AND((IF(SUM(V118:V122)&gt;0,1,0)+IF(SUM(X118:X122)&gt;0,1,0)+IF(SUM(Z118:Z122)&gt;0,1,0)+IF(SUM(AB118:AB122)&gt;0,1,0)+IF(SUM(AD118:AD122,)&gt;0,1,0)+IF(SUM(AF118:AF122)&gt;0,1,0))&lt;3,OR(V125&lt;0,X125&lt;0,Z125&lt;0,AB125&lt;0,AD125&lt;0,AF125&lt;0,Y123&lt;0))</f>
        <v>0</v>
      </c>
      <c r="AN140" s="2920"/>
      <c r="AO140" s="2920"/>
      <c r="AP140" s="2920"/>
      <c r="AQ140" s="2921"/>
      <c r="AR140" s="2920"/>
      <c r="AS140" s="2920"/>
      <c r="AT140" s="2920"/>
      <c r="AU140" s="2922"/>
      <c r="AV140" s="2922"/>
      <c r="AW140" s="2922"/>
      <c r="AX140" s="2922"/>
      <c r="AY140" s="2920"/>
    </row>
    <row r="141" spans="1:51" ht="12.2" customHeight="1" x14ac:dyDescent="0.2">
      <c r="A141" s="2360"/>
      <c r="B141" s="2252">
        <f t="shared" si="26"/>
        <v>4</v>
      </c>
      <c r="C141" s="4508"/>
      <c r="D141" s="4443"/>
      <c r="E141" s="4461"/>
      <c r="F141" s="4461"/>
      <c r="G141" s="4461"/>
      <c r="H141" s="4461"/>
      <c r="I141" s="4461"/>
      <c r="J141" s="4461"/>
      <c r="K141" s="4461"/>
      <c r="L141" s="4461"/>
      <c r="M141" s="4461"/>
      <c r="N141" s="4461"/>
      <c r="O141" s="4461"/>
      <c r="P141" s="4461"/>
      <c r="Q141" s="4461"/>
      <c r="R141" s="4461"/>
      <c r="S141" s="4461"/>
      <c r="T141" s="4461"/>
      <c r="U141" s="4461"/>
      <c r="V141" s="4461"/>
      <c r="W141" s="4461"/>
      <c r="X141" s="4461"/>
      <c r="Y141" s="4461"/>
      <c r="Z141" s="4461"/>
      <c r="AA141" s="4461"/>
      <c r="AB141" s="4461"/>
      <c r="AC141" s="4461"/>
      <c r="AD141" s="4461"/>
      <c r="AE141" s="4461"/>
      <c r="AF141" s="4461"/>
      <c r="AG141" s="4445"/>
      <c r="AH141" s="2369"/>
      <c r="AI141" s="4511"/>
      <c r="AJ141" s="2920" t="s">
        <v>9530</v>
      </c>
      <c r="AK141" s="2920"/>
      <c r="AL141" s="2920"/>
      <c r="AM141" s="2920" t="b">
        <f>OR(-V125&gt;TRUNC(SUM(V118:V122)/2),-X125&gt;TRUNC(SUM(X118:X122)/2),-Z125&gt;TRUNC(SUM(Z118:Z122)/2),-AB125&gt;TRUNC(SUM(AB118:AB122)/2),-AD125&gt;TRUNC(SUM(AD118:AD122)/2),-AF125&gt;TRUNC(SUM(AF118:AF122)/2))</f>
        <v>0</v>
      </c>
      <c r="AN141" s="2920"/>
      <c r="AO141" s="2920"/>
      <c r="AP141" s="2920"/>
      <c r="AQ141" s="2921"/>
      <c r="AR141" s="2920"/>
      <c r="AS141" s="2920"/>
      <c r="AT141" s="2920"/>
      <c r="AU141" s="2922"/>
      <c r="AV141" s="2922"/>
      <c r="AW141" s="2922"/>
      <c r="AX141" s="2922"/>
      <c r="AY141" s="2920"/>
    </row>
    <row r="142" spans="1:51" ht="12.2" customHeight="1" x14ac:dyDescent="0.2">
      <c r="A142" s="2360"/>
      <c r="B142" s="2252">
        <f t="shared" si="26"/>
        <v>4</v>
      </c>
      <c r="C142" s="4508"/>
      <c r="D142" s="4443"/>
      <c r="E142" s="4461"/>
      <c r="F142" s="4461"/>
      <c r="G142" s="4461"/>
      <c r="H142" s="4461"/>
      <c r="I142" s="4461"/>
      <c r="J142" s="4461"/>
      <c r="K142" s="4461"/>
      <c r="L142" s="4461"/>
      <c r="M142" s="4461"/>
      <c r="N142" s="4461"/>
      <c r="O142" s="4461"/>
      <c r="P142" s="4461"/>
      <c r="Q142" s="4461"/>
      <c r="R142" s="4461"/>
      <c r="S142" s="4461"/>
      <c r="T142" s="4461"/>
      <c r="U142" s="4461"/>
      <c r="V142" s="4461"/>
      <c r="W142" s="4461"/>
      <c r="X142" s="4461"/>
      <c r="Y142" s="4461"/>
      <c r="Z142" s="4461"/>
      <c r="AA142" s="4461"/>
      <c r="AB142" s="4461"/>
      <c r="AC142" s="4461"/>
      <c r="AD142" s="4461"/>
      <c r="AE142" s="4461"/>
      <c r="AF142" s="4461"/>
      <c r="AG142" s="4445"/>
      <c r="AH142" s="2369"/>
      <c r="AI142" s="4511"/>
      <c r="AJ142" s="2920" t="s">
        <v>9531</v>
      </c>
      <c r="AK142" s="2920"/>
      <c r="AL142" s="2920"/>
      <c r="AM142" s="2920" t="b">
        <f>COUNTIF(D118:E122,"Primario")&gt;1</f>
        <v>0</v>
      </c>
      <c r="AN142" s="2920"/>
      <c r="AO142" s="2920"/>
      <c r="AP142" s="2920"/>
      <c r="AQ142" s="2921"/>
      <c r="AR142" s="2921"/>
      <c r="AS142" s="2921"/>
      <c r="AT142" s="2921"/>
      <c r="AU142" s="2922"/>
      <c r="AV142" s="2922"/>
      <c r="AW142" s="2922"/>
      <c r="AX142" s="2920"/>
      <c r="AY142" s="2920"/>
    </row>
    <row r="143" spans="1:51" ht="12.2" customHeight="1" x14ac:dyDescent="0.2">
      <c r="A143" s="2360"/>
      <c r="B143" s="2252">
        <f t="shared" si="26"/>
        <v>4</v>
      </c>
      <c r="C143" s="4508"/>
      <c r="D143" s="4443"/>
      <c r="E143" s="4461"/>
      <c r="F143" s="4461"/>
      <c r="G143" s="4461"/>
      <c r="H143" s="4461"/>
      <c r="I143" s="4461"/>
      <c r="J143" s="4461"/>
      <c r="K143" s="4461"/>
      <c r="L143" s="4461"/>
      <c r="M143" s="4461"/>
      <c r="N143" s="4461"/>
      <c r="O143" s="4461"/>
      <c r="P143" s="4461"/>
      <c r="Q143" s="4461"/>
      <c r="R143" s="4461"/>
      <c r="S143" s="4461"/>
      <c r="T143" s="4461"/>
      <c r="U143" s="4461"/>
      <c r="V143" s="4461"/>
      <c r="W143" s="4461"/>
      <c r="X143" s="4461"/>
      <c r="Y143" s="4461"/>
      <c r="Z143" s="4461"/>
      <c r="AA143" s="4461"/>
      <c r="AB143" s="4461"/>
      <c r="AC143" s="4461"/>
      <c r="AD143" s="4461"/>
      <c r="AE143" s="4461"/>
      <c r="AF143" s="4461"/>
      <c r="AG143" s="4445"/>
      <c r="AH143" s="2369"/>
      <c r="AI143" s="4511"/>
      <c r="AJ143" s="2920" t="s">
        <v>9514</v>
      </c>
      <c r="AK143" s="2920"/>
      <c r="AL143" s="2920"/>
      <c r="AM143" s="2920" t="b">
        <f>SUM(V125:AG125)&lt;&gt;Y123+ABS(AC123)*2/5+IF(S114="Si",3*P114,0)</f>
        <v>0</v>
      </c>
      <c r="AN143" s="2920"/>
      <c r="AO143" s="2920"/>
      <c r="AP143" s="2920"/>
      <c r="AQ143" s="2921"/>
      <c r="AR143" s="2921"/>
      <c r="AS143" s="2921"/>
      <c r="AT143" s="2921"/>
      <c r="AU143" s="2922"/>
      <c r="AV143" s="2922"/>
      <c r="AW143" s="2922"/>
      <c r="AX143" s="2920"/>
      <c r="AY143" s="2920"/>
    </row>
    <row r="144" spans="1:51" ht="12.2" customHeight="1" x14ac:dyDescent="0.2">
      <c r="A144" s="2360"/>
      <c r="B144" s="2252">
        <f t="shared" si="26"/>
        <v>4</v>
      </c>
      <c r="C144" s="4508"/>
      <c r="D144" s="4443"/>
      <c r="E144" s="4461"/>
      <c r="F144" s="4461"/>
      <c r="G144" s="4461"/>
      <c r="H144" s="4461"/>
      <c r="I144" s="4461"/>
      <c r="J144" s="4461"/>
      <c r="K144" s="4461"/>
      <c r="L144" s="4461"/>
      <c r="M144" s="4461"/>
      <c r="N144" s="4461"/>
      <c r="O144" s="4461"/>
      <c r="P144" s="4461"/>
      <c r="Q144" s="4461"/>
      <c r="R144" s="4461"/>
      <c r="S144" s="4461"/>
      <c r="T144" s="4461"/>
      <c r="U144" s="4461"/>
      <c r="V144" s="4461"/>
      <c r="W144" s="4461"/>
      <c r="X144" s="4461"/>
      <c r="Y144" s="4461"/>
      <c r="Z144" s="4461"/>
      <c r="AA144" s="4461"/>
      <c r="AB144" s="4461"/>
      <c r="AC144" s="4461"/>
      <c r="AD144" s="4461"/>
      <c r="AE144" s="4461"/>
      <c r="AF144" s="4461"/>
      <c r="AG144" s="4445"/>
      <c r="AH144" s="2369"/>
      <c r="AI144" s="4511"/>
      <c r="AJ144" s="2920" t="s">
        <v>9513</v>
      </c>
      <c r="AK144" s="2920"/>
      <c r="AL144" s="2920"/>
      <c r="AM144" s="2920" t="b">
        <f>AL131-AL132+AM131-AM132&lt;&gt;0</f>
        <v>0</v>
      </c>
      <c r="AN144" s="2922"/>
      <c r="AO144" s="2922"/>
      <c r="AP144" s="2922"/>
      <c r="AQ144" s="2922"/>
      <c r="AR144" s="2921"/>
      <c r="AS144" s="2921"/>
      <c r="AT144" s="2921"/>
      <c r="AU144" s="2922"/>
      <c r="AV144" s="2922"/>
      <c r="AW144" s="2922"/>
      <c r="AX144" s="2920"/>
      <c r="AY144" s="2920"/>
    </row>
    <row r="145" spans="1:51" ht="12.2" customHeight="1" thickBot="1" x14ac:dyDescent="0.25">
      <c r="A145" s="2360"/>
      <c r="B145" s="2252"/>
      <c r="C145" s="4509"/>
      <c r="D145" s="451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13"/>
      <c r="F145" s="4513"/>
      <c r="G145" s="4513"/>
      <c r="H145" s="4513"/>
      <c r="I145" s="4513"/>
      <c r="J145" s="4513"/>
      <c r="K145" s="4513"/>
      <c r="L145" s="4513"/>
      <c r="M145" s="4513"/>
      <c r="N145" s="4513"/>
      <c r="O145" s="4513"/>
      <c r="P145" s="4513"/>
      <c r="Q145" s="4513"/>
      <c r="R145" s="4513"/>
      <c r="S145" s="4513"/>
      <c r="T145" s="4513"/>
      <c r="U145" s="4513"/>
      <c r="V145" s="4513"/>
      <c r="W145" s="4513"/>
      <c r="X145" s="4513"/>
      <c r="Y145" s="4513"/>
      <c r="Z145" s="4513"/>
      <c r="AA145" s="4513"/>
      <c r="AB145" s="4513"/>
      <c r="AC145" s="4513"/>
      <c r="AD145" s="4513"/>
      <c r="AE145" s="4513"/>
      <c r="AF145" s="4513"/>
      <c r="AG145" s="4514"/>
      <c r="AH145" s="2369"/>
      <c r="AI145" s="4511"/>
      <c r="AJ145" s="2920" t="s">
        <v>9550</v>
      </c>
      <c r="AK145" s="2922"/>
      <c r="AL145" s="2922"/>
      <c r="AM145" s="2922" t="b">
        <f>ABS(SUM(N123:N125))&gt;(SUM(N118:N122)-10*Y123+AC123+IF(S114="Si",10*P114,0)+IF(COUNTIF(K118:M122,"Mantenido")&gt;0,P114*10)+MAX(IF(COUNTIF(K118:M122,"Sostenimiento Menor")&gt;0,P114*20)+IF(COUNTIF(K118:M122,"Sostenimiento Mayor")&gt;0,P114*30)))/2</f>
        <v>0</v>
      </c>
      <c r="AN145" s="2920"/>
      <c r="AO145" s="2920"/>
      <c r="AP145" s="2920"/>
      <c r="AQ145" s="2920"/>
      <c r="AR145" s="2921"/>
      <c r="AS145" s="2921"/>
      <c r="AT145" s="2921"/>
      <c r="AU145" s="2922"/>
      <c r="AV145" s="2922"/>
      <c r="AW145" s="2922"/>
      <c r="AX145" s="2920"/>
      <c r="AY145" s="2920"/>
    </row>
    <row r="146" spans="1:51" ht="12.2" customHeight="1" x14ac:dyDescent="0.2">
      <c r="A146" s="2360"/>
      <c r="B146" s="2252"/>
      <c r="C146" s="4463"/>
      <c r="D146" s="4463" t="str">
        <f>IFERROR(VLOOKUP(D127,'Tablas Técnicas'!$O$9:$T$88,2,FALSE),"")</f>
        <v/>
      </c>
      <c r="E146" s="4463"/>
      <c r="F146" s="4463"/>
      <c r="G146" s="4463"/>
      <c r="H146" s="4463"/>
      <c r="I146" s="4463"/>
      <c r="J146" s="4463" t="str">
        <f>IFERROR(VLOOKUP(J127,'Tablas Técnicas'!$O$9:$T$88,2,FALSE),"")</f>
        <v/>
      </c>
      <c r="K146" s="4463"/>
      <c r="L146" s="4463"/>
      <c r="M146" s="4463"/>
      <c r="N146" s="4463"/>
      <c r="O146" s="4463"/>
      <c r="P146" s="4463" t="str">
        <f>IFERROR(VLOOKUP(P127,'Tablas Técnicas'!$O$9:$T$88,2,FALSE),"")</f>
        <v/>
      </c>
      <c r="Q146" s="4463"/>
      <c r="R146" s="4463"/>
      <c r="S146" s="4463"/>
      <c r="T146" s="4463"/>
      <c r="U146" s="4463"/>
      <c r="V146" s="4463" t="str">
        <f>IFERROR(VLOOKUP(V127,'Tablas Técnicas'!$O$9:$T$88,2,FALSE),"")</f>
        <v/>
      </c>
      <c r="W146" s="4463"/>
      <c r="X146" s="4463"/>
      <c r="Y146" s="4463"/>
      <c r="Z146" s="4463"/>
      <c r="AA146" s="4463"/>
      <c r="AB146" s="4463" t="str">
        <f>IFERROR(VLOOKUP(AB127,'Tablas Técnicas'!$O$9:$T$88,2,FALSE),"")</f>
        <v/>
      </c>
      <c r="AC146" s="4463"/>
      <c r="AD146" s="4463"/>
      <c r="AE146" s="4463"/>
      <c r="AF146" s="4463"/>
      <c r="AG146" s="4463"/>
      <c r="AH146" s="2369"/>
      <c r="AI146" s="2073"/>
      <c r="AJ146" s="2920"/>
      <c r="AK146" s="2920"/>
      <c r="AL146" s="2920"/>
      <c r="AM146" s="2920"/>
      <c r="AN146" s="2920"/>
      <c r="AO146" s="2920"/>
      <c r="AP146" s="2920"/>
      <c r="AQ146" s="2920"/>
      <c r="AR146" s="2921"/>
      <c r="AS146" s="2921"/>
      <c r="AT146" s="2921"/>
      <c r="AU146" s="2922"/>
      <c r="AV146" s="2922"/>
      <c r="AW146" s="2922"/>
      <c r="AX146" s="2922"/>
      <c r="AY146" s="2920"/>
    </row>
    <row r="147" spans="1:51" ht="12.2" customHeight="1" thickBot="1" x14ac:dyDescent="0.25">
      <c r="A147" s="2360"/>
      <c r="B147" s="2252"/>
      <c r="C147" s="4463"/>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28"/>
      <c r="AK147" s="2928"/>
      <c r="AL147" s="2928"/>
      <c r="AM147" s="2928"/>
      <c r="AN147" s="2928"/>
      <c r="AO147" s="2928"/>
      <c r="AP147" s="2920"/>
      <c r="AQ147" s="2921"/>
      <c r="AR147" s="2922"/>
      <c r="AS147" s="2922"/>
      <c r="AT147" s="2922"/>
      <c r="AU147" s="2922"/>
      <c r="AV147" s="2922"/>
      <c r="AW147" s="2922"/>
      <c r="AX147" s="2922"/>
      <c r="AY147" s="2929"/>
    </row>
    <row r="148" spans="1:51" ht="12.2" customHeight="1" x14ac:dyDescent="0.2">
      <c r="A148" s="2360"/>
      <c r="B148" s="2252">
        <f t="shared" ref="B148:B178" si="35">1+B114</f>
        <v>5</v>
      </c>
      <c r="C148" s="4507" t="str">
        <f>"Técnica "&amp;B148</f>
        <v>Técnica 5</v>
      </c>
      <c r="D148" s="4497" t="s">
        <v>8918</v>
      </c>
      <c r="E148" s="4498"/>
      <c r="F148" s="4498"/>
      <c r="G148" s="4498"/>
      <c r="H148" s="4498"/>
      <c r="I148" s="4498"/>
      <c r="J148" s="4498"/>
      <c r="K148" s="4498"/>
      <c r="L148" s="4498"/>
      <c r="M148" s="4498"/>
      <c r="N148" s="4499"/>
      <c r="O148" s="4458" t="s">
        <v>1328</v>
      </c>
      <c r="P148" s="4460">
        <v>1</v>
      </c>
      <c r="Q148" s="4377" t="s">
        <v>9002</v>
      </c>
      <c r="R148" s="4453"/>
      <c r="S148" s="4455" t="s">
        <v>1384</v>
      </c>
      <c r="T148" s="4378" t="s">
        <v>1509</v>
      </c>
      <c r="U148" s="4440">
        <f>MAX(IF(P148=3,60,IF(P148=2,40,20)),MIN(SUM(N152:N159)-10*Y157+AC157+IF(S148="Si",10*P148,0)+IF(COUNTIF(K152:M156,"Mantenido")&gt;0,P148*10)+MAX(IF(COUNTIF(K152:M156,"Sostenimiento Menor")&gt;0,P148*20)+IF(COUNTIF(K152:M156,"Sostenimiento Mayor")&gt;0,P148*30))))</f>
        <v>20</v>
      </c>
      <c r="V148" s="4377" t="s">
        <v>9003</v>
      </c>
      <c r="W148" s="4378"/>
      <c r="X148" s="4381" t="str">
        <f>IFERROR(LEFT(AK164&amp;AL164&amp;AM164&amp;AN164&amp;AO164&amp;AP164,LEN(AK164&amp;AL164&amp;AM164&amp;AN164&amp;AO164&amp;AP164)-2),"")</f>
        <v/>
      </c>
      <c r="Y148" s="4381"/>
      <c r="Z148" s="4381"/>
      <c r="AA148" s="4381"/>
      <c r="AB148" s="4381"/>
      <c r="AC148" s="4381"/>
      <c r="AD148" s="4381"/>
      <c r="AE148" s="4381"/>
      <c r="AF148" s="4381"/>
      <c r="AG148" s="4382"/>
      <c r="AH148" s="2369"/>
      <c r="AI148" s="4511"/>
      <c r="AJ148" s="2925" t="s">
        <v>9547</v>
      </c>
      <c r="AK148" s="2925"/>
      <c r="AL148" s="2925"/>
      <c r="AM148" s="2925"/>
      <c r="AN148" s="2925"/>
      <c r="AO148" s="2925"/>
      <c r="AP148" s="2925"/>
      <c r="AQ148" s="2925"/>
      <c r="AR148" s="2925"/>
      <c r="AS148" s="2920"/>
      <c r="AT148" s="2920"/>
      <c r="AU148" s="2920"/>
      <c r="AV148" s="2920"/>
      <c r="AW148" s="2922"/>
      <c r="AX148" s="2922"/>
      <c r="AY148" s="2920"/>
    </row>
    <row r="149" spans="1:51" ht="12.2" customHeight="1" x14ac:dyDescent="0.2">
      <c r="A149" s="2360"/>
      <c r="B149" s="2252">
        <f t="shared" si="35"/>
        <v>5</v>
      </c>
      <c r="C149" s="4508"/>
      <c r="D149" s="4500"/>
      <c r="E149" s="4501"/>
      <c r="F149" s="4501"/>
      <c r="G149" s="4501"/>
      <c r="H149" s="4501"/>
      <c r="I149" s="4501"/>
      <c r="J149" s="4501"/>
      <c r="K149" s="4501"/>
      <c r="L149" s="4501"/>
      <c r="M149" s="4501"/>
      <c r="N149" s="4502"/>
      <c r="O149" s="4459"/>
      <c r="P149" s="4456"/>
      <c r="Q149" s="4379"/>
      <c r="R149" s="4454"/>
      <c r="S149" s="4456"/>
      <c r="T149" s="4380"/>
      <c r="U149" s="4503"/>
      <c r="V149" s="4379"/>
      <c r="W149" s="4380"/>
      <c r="X149" s="4383"/>
      <c r="Y149" s="4383"/>
      <c r="Z149" s="4383"/>
      <c r="AA149" s="4383"/>
      <c r="AB149" s="4383"/>
      <c r="AC149" s="4383"/>
      <c r="AD149" s="4383"/>
      <c r="AE149" s="4383"/>
      <c r="AF149" s="4383"/>
      <c r="AG149" s="4384"/>
      <c r="AH149" s="2369"/>
      <c r="AI149" s="4511"/>
      <c r="AJ149" s="2925"/>
      <c r="AK149" s="2925" t="s">
        <v>9548</v>
      </c>
      <c r="AL149" s="2925" t="s">
        <v>10268</v>
      </c>
      <c r="AM149" s="2926"/>
      <c r="AN149" s="2926"/>
      <c r="AO149" s="2926"/>
      <c r="AP149" s="2926"/>
      <c r="AQ149" s="2926"/>
      <c r="AR149" s="2925"/>
      <c r="AS149" s="2920"/>
      <c r="AT149" s="2920"/>
      <c r="AU149" s="2920"/>
      <c r="AV149" s="2920"/>
      <c r="AW149" s="2922"/>
      <c r="AX149" s="4510" t="s">
        <v>9517</v>
      </c>
      <c r="AY149" s="4510"/>
    </row>
    <row r="150" spans="1:51" ht="12.2" customHeight="1" x14ac:dyDescent="0.2">
      <c r="A150" s="2360"/>
      <c r="B150" s="2252">
        <f t="shared" si="35"/>
        <v>5</v>
      </c>
      <c r="C150" s="4508"/>
      <c r="D150" s="4386" t="s">
        <v>2858</v>
      </c>
      <c r="E150" s="4387"/>
      <c r="F150" s="4387"/>
      <c r="G150" s="4387"/>
      <c r="H150" s="4387"/>
      <c r="I150" s="4387"/>
      <c r="J150" s="4387"/>
      <c r="K150" s="4467" t="s">
        <v>9847</v>
      </c>
      <c r="L150" s="4467"/>
      <c r="M150" s="4467"/>
      <c r="N150" s="4387" t="s">
        <v>1503</v>
      </c>
      <c r="O150" s="4467" t="s">
        <v>2856</v>
      </c>
      <c r="P150" s="4467" t="s">
        <v>9004</v>
      </c>
      <c r="Q150" s="4387" t="s">
        <v>1367</v>
      </c>
      <c r="R150" s="4387"/>
      <c r="S150" s="4387"/>
      <c r="T150" s="4387"/>
      <c r="U150" s="4387"/>
      <c r="V150" s="4376" t="s">
        <v>1376</v>
      </c>
      <c r="W150" s="4354"/>
      <c r="X150" s="4376" t="s">
        <v>1501</v>
      </c>
      <c r="Y150" s="4464"/>
      <c r="Z150" s="4354" t="s">
        <v>1381</v>
      </c>
      <c r="AA150" s="4354"/>
      <c r="AB150" s="4376" t="s">
        <v>1386</v>
      </c>
      <c r="AC150" s="4464"/>
      <c r="AD150" s="4354" t="s">
        <v>1394</v>
      </c>
      <c r="AE150" s="4354"/>
      <c r="AF150" s="4376" t="s">
        <v>1395</v>
      </c>
      <c r="AG150" s="4355"/>
      <c r="AH150" s="2369"/>
      <c r="AI150" s="4511"/>
      <c r="AJ150" s="2920"/>
      <c r="AK150" s="2920"/>
      <c r="AL150" s="2920" t="s">
        <v>9825</v>
      </c>
      <c r="AM150" s="2920"/>
      <c r="AN150" s="2920"/>
      <c r="AO150" s="2920"/>
      <c r="AP150" s="2920"/>
      <c r="AQ150" s="2920"/>
      <c r="AR150" s="2922"/>
      <c r="AS150" s="2922" t="s">
        <v>9537</v>
      </c>
      <c r="AT150" s="2922" t="s">
        <v>9538</v>
      </c>
      <c r="AU150" s="2920" t="s">
        <v>9526</v>
      </c>
      <c r="AV150" s="2920" t="s">
        <v>9527</v>
      </c>
      <c r="AW150" s="2922" t="s">
        <v>1503</v>
      </c>
      <c r="AX150" s="2922" t="s">
        <v>9006</v>
      </c>
      <c r="AY150" s="2920" t="s">
        <v>9007</v>
      </c>
    </row>
    <row r="151" spans="1:51" ht="12.2" customHeight="1" x14ac:dyDescent="0.2">
      <c r="A151" s="2360"/>
      <c r="B151" s="2252">
        <f t="shared" si="35"/>
        <v>5</v>
      </c>
      <c r="C151" s="4508"/>
      <c r="D151" s="4465"/>
      <c r="E151" s="4466"/>
      <c r="F151" s="4466"/>
      <c r="G151" s="4466"/>
      <c r="H151" s="4466"/>
      <c r="I151" s="4466"/>
      <c r="J151" s="4466"/>
      <c r="K151" s="4468"/>
      <c r="L151" s="4468"/>
      <c r="M151" s="4468"/>
      <c r="N151" s="4388"/>
      <c r="O151" s="4468"/>
      <c r="P151" s="4469"/>
      <c r="Q151" s="4388"/>
      <c r="R151" s="4388"/>
      <c r="S151" s="4388"/>
      <c r="T151" s="4388"/>
      <c r="U151" s="4388"/>
      <c r="V151" s="2795" t="s">
        <v>9516</v>
      </c>
      <c r="W151" s="2796" t="s">
        <v>2862</v>
      </c>
      <c r="X151" s="2795" t="s">
        <v>9516</v>
      </c>
      <c r="Y151" s="2796" t="s">
        <v>2862</v>
      </c>
      <c r="Z151" s="2795" t="s">
        <v>9516</v>
      </c>
      <c r="AA151" s="2796" t="s">
        <v>2862</v>
      </c>
      <c r="AB151" s="2795" t="s">
        <v>9516</v>
      </c>
      <c r="AC151" s="2796" t="s">
        <v>2862</v>
      </c>
      <c r="AD151" s="2795" t="s">
        <v>9516</v>
      </c>
      <c r="AE151" s="2796" t="s">
        <v>2862</v>
      </c>
      <c r="AF151" s="2795" t="s">
        <v>9516</v>
      </c>
      <c r="AG151" s="2797" t="s">
        <v>2862</v>
      </c>
      <c r="AH151" s="2369"/>
      <c r="AI151" s="4511"/>
      <c r="AJ151" s="2920"/>
      <c r="AK151" s="2920" t="s">
        <v>9518</v>
      </c>
      <c r="AL151" s="2920">
        <v>1</v>
      </c>
      <c r="AM151" s="2920">
        <v>2</v>
      </c>
      <c r="AN151" s="2920">
        <v>3</v>
      </c>
      <c r="AO151" s="2920">
        <v>4</v>
      </c>
      <c r="AP151" s="2920">
        <v>5</v>
      </c>
      <c r="AQ151" s="2920">
        <v>6</v>
      </c>
      <c r="AR151" s="2920">
        <v>7</v>
      </c>
      <c r="AS151" s="2922"/>
      <c r="AT151" s="2920" t="s">
        <v>9549</v>
      </c>
      <c r="AU151" s="2922"/>
      <c r="AV151" s="2922"/>
      <c r="AW151" s="2922" t="s">
        <v>9549</v>
      </c>
      <c r="AX151" s="2922"/>
      <c r="AY151" s="2920"/>
    </row>
    <row r="152" spans="1:51" ht="12.2" customHeight="1" x14ac:dyDescent="0.2">
      <c r="A152" s="2360"/>
      <c r="B152" s="2252">
        <f t="shared" si="35"/>
        <v>5</v>
      </c>
      <c r="C152" s="4508"/>
      <c r="D152" s="4486" t="s">
        <v>9008</v>
      </c>
      <c r="E152" s="4487"/>
      <c r="F152" s="4488"/>
      <c r="G152" s="4489"/>
      <c r="H152" s="4489"/>
      <c r="I152" s="4489"/>
      <c r="J152" s="4411"/>
      <c r="K152" s="4490" t="s">
        <v>1459</v>
      </c>
      <c r="L152" s="4491"/>
      <c r="M152" s="4492"/>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93" t="str">
        <f>IFERROR(VLOOKUP(F152,'Tablas Técnicas'!$O$9:$T$88,5,FALSE),"")</f>
        <v/>
      </c>
      <c r="R152" s="4493"/>
      <c r="S152" s="4493"/>
      <c r="T152" s="4493"/>
      <c r="U152" s="4493"/>
      <c r="V152" s="2208"/>
      <c r="W152" s="2209"/>
      <c r="X152" s="2208"/>
      <c r="Y152" s="2210"/>
      <c r="Z152" s="2211"/>
      <c r="AA152" s="2209"/>
      <c r="AB152" s="2208"/>
      <c r="AC152" s="2210"/>
      <c r="AD152" s="2211"/>
      <c r="AE152" s="2209"/>
      <c r="AF152" s="2208"/>
      <c r="AG152" s="2212"/>
      <c r="AH152" s="2369"/>
      <c r="AI152" s="4511"/>
      <c r="AJ152" s="2920">
        <v>1</v>
      </c>
      <c r="AK152" s="2920">
        <f>P148</f>
        <v>1</v>
      </c>
      <c r="AL152" s="2920" t="str">
        <f>IF(AND(ISNUMBER(MATCH($F152,'Tablas Técnicas'!$L$10:$L$643,0)),INDEX($D165:$D171,Tablas!A$1)="",COUNTIF(AM152:$AS152,$F152)=0),$F152,IF(INDEX($D165:$D171,Tablas!A$1)="","",$F152&amp;INDEX($D165:$D171,Tablas!A$1)))</f>
        <v/>
      </c>
      <c r="AM152" s="2920" t="str">
        <f>IF(AND(ISNUMBER(MATCH($F152,'Tablas Técnicas'!$L$10:$L$643,0)),INDEX($D165:$D171,Tablas!B$1)="",COUNTIF(AN152:$AS152,$F152)=0),$F152,IF(INDEX($D165:$D171,Tablas!B$1)="","",$F152&amp;INDEX($D165:$D171,Tablas!B$1)))</f>
        <v/>
      </c>
      <c r="AN152" s="2920" t="str">
        <f>IF(AND(ISNUMBER(MATCH($F152,'Tablas Técnicas'!$L$10:$L$643,0)),INDEX($D165:$D171,Tablas!C$1)="",COUNTIF(AO152:$AS152,$F152)=0),$F152,IF(INDEX($D165:$D171,Tablas!C$1)="","",$F152&amp;INDEX($D165:$D171,Tablas!C$1)))</f>
        <v/>
      </c>
      <c r="AO152" s="2920" t="str">
        <f>IF(AND(ISNUMBER(MATCH($F152,'Tablas Técnicas'!$L$10:$L$643,0)),INDEX($D165:$D171,Tablas!D$1)="",COUNTIF(AP152:$AS152,$F152)=0),$F152,IF(INDEX($D165:$D171,Tablas!D$1)="","",$F152&amp;INDEX($D165:$D171,Tablas!D$1)))</f>
        <v/>
      </c>
      <c r="AP152" s="2920" t="str">
        <f>IF(AND(ISNUMBER(MATCH($F152,'Tablas Técnicas'!$L$10:$L$643,0)),INDEX($D165:$D171,Tablas!E$1)="",COUNTIF(AQ152:$AS152,$F152)=0),$F152,IF(INDEX($D165:$D171,Tablas!E$1)="","",$F152&amp;INDEX($D165:$D171,Tablas!E$1)))</f>
        <v/>
      </c>
      <c r="AQ152" s="2920" t="str">
        <f>IF(AND(ISNUMBER(MATCH($F152,'Tablas Técnicas'!$L$10:$L$643,0)),INDEX($D165:$D171,Tablas!F$1)="",COUNTIF(AR152:$AS152,$F152)=0),$F152,IF(INDEX($D165:$D171,Tablas!F$1)="","",$F152&amp;INDEX($D165:$D171,Tablas!F$1)))</f>
        <v/>
      </c>
      <c r="AR152" s="2920" t="str">
        <f>IF(AND(ISNUMBER(MATCH($F152,'Tablas Técnicas'!$L$10:$L$643,0)),INDEX($D165:$D171,Tablas!G$1)="",COUNTIF(AS152:$AS152,$F152)=0),$F152,IF(INDEX($D165:$D171,Tablas!G$1)="","",$F152&amp;INDEX($D165:$D171,Tablas!G$1)))</f>
        <v/>
      </c>
      <c r="AS152" s="2922">
        <f>V152+X152+Z152+AB152+AD152+AF152</f>
        <v>0</v>
      </c>
      <c r="AT152" s="2922">
        <f t="array" ref="AT152">SUM(IF($AL152:$AR152='Tablas Técnicas'!$L$10:$L$643,IF(D152="Primario",'Tablas Técnicas'!$E$10:$E$643,'Tablas Técnicas'!$F$10:$F$643)+IF(K152="Sostenimiento menor",'Tablas Técnicas'!$I$10:$I$643,IF(K152="sostenimiento mayor",'Tablas Técnicas'!$J$10:$J$643,0)),0),0)+VALUE(RIGHT(P152,2))+AU152+AV152</f>
        <v>0</v>
      </c>
      <c r="AU152" s="292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22">
        <f>(COUNTIF(AL152:AR152,"*Estado añadido:*")-1)*COUNTIF(AL152:AR152,"*Estado añadido:*")</f>
        <v>0</v>
      </c>
      <c r="AW152" s="2922">
        <f t="array" ref="AW152">SUM(IF($AL152:$AR152='Tablas Técnicas'!$L$10:$L$643,'Tablas Técnicas'!$G$10:$G$643,0))</f>
        <v>0</v>
      </c>
      <c r="AX152" s="292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20" t="str">
        <f t="shared" ref="AY152:AY154" si="36">IFERROR(LEFT(AX152,LEN(AX152)-2)&amp;"), ","")</f>
        <v/>
      </c>
    </row>
    <row r="153" spans="1:51" ht="12.2" customHeight="1" x14ac:dyDescent="0.2">
      <c r="A153" s="2360"/>
      <c r="B153" s="2252">
        <f t="shared" si="35"/>
        <v>5</v>
      </c>
      <c r="C153" s="4508"/>
      <c r="D153" s="4392" t="s">
        <v>526</v>
      </c>
      <c r="E153" s="4393"/>
      <c r="F153" s="4473"/>
      <c r="G153" s="4474"/>
      <c r="H153" s="4474"/>
      <c r="I153" s="4474"/>
      <c r="J153" s="4420"/>
      <c r="K153" s="4475" t="s">
        <v>1459</v>
      </c>
      <c r="L153" s="4476"/>
      <c r="M153" s="4477"/>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394" t="str">
        <f>IFERROR(VLOOKUP(F153,'Tablas Técnicas'!$O$9:$T$88,5,FALSE),"")</f>
        <v/>
      </c>
      <c r="R153" s="4394"/>
      <c r="S153" s="4394"/>
      <c r="T153" s="4394"/>
      <c r="U153" s="4394"/>
      <c r="V153" s="2213"/>
      <c r="W153" s="2214"/>
      <c r="X153" s="2213"/>
      <c r="Y153" s="2215"/>
      <c r="Z153" s="2216"/>
      <c r="AA153" s="2214"/>
      <c r="AB153" s="2213"/>
      <c r="AC153" s="2215"/>
      <c r="AD153" s="2216"/>
      <c r="AE153" s="2214"/>
      <c r="AF153" s="2213"/>
      <c r="AG153" s="2217"/>
      <c r="AH153" s="2369"/>
      <c r="AI153" s="4511"/>
      <c r="AJ153" s="2920">
        <v>2</v>
      </c>
      <c r="AK153" s="2920">
        <f>P148</f>
        <v>1</v>
      </c>
      <c r="AL153" s="2920" t="str">
        <f>IF(AND(ISNUMBER(MATCH($F153,'Tablas Técnicas'!$L$10:$L$643,0)),INDEX($J165:$J171,Tablas!A$1)="",COUNTIF(AM153:$AS153,$F153)=0),$F153,IF(INDEX($J165:$J171,Tablas!A$1)="","",$F153&amp;INDEX($J165:$J171,Tablas!A$1)))</f>
        <v/>
      </c>
      <c r="AM153" s="2920" t="str">
        <f>IF(AND(ISNUMBER(MATCH($F153,'Tablas Técnicas'!$L$10:$L$643,0)),INDEX($J165:$J171,Tablas!B$1)="",COUNTIF(AN153:$AS153,$F153)=0),$F153,IF(INDEX($J165:$J171,Tablas!B$1)="","",$F153&amp;INDEX($J165:$J171,Tablas!B$1)))</f>
        <v/>
      </c>
      <c r="AN153" s="2920" t="str">
        <f>IF(AND(ISNUMBER(MATCH($F153,'Tablas Técnicas'!$L$10:$L$643,0)),INDEX($J165:$J171,Tablas!C$1)="",COUNTIF(AO153:$AS153,$F153)=0),$F153,IF(INDEX($J165:$J171,Tablas!C$1)="","",$F153&amp;INDEX($J165:$J171,Tablas!C$1)))</f>
        <v/>
      </c>
      <c r="AO153" s="2920" t="str">
        <f>IF(AND(ISNUMBER(MATCH($F153,'Tablas Técnicas'!$L$10:$L$643,0)),INDEX($J165:$J171,Tablas!D$1)="",COUNTIF(AP153:$AS153,$F153)=0),$F153,IF(INDEX($J165:$J171,Tablas!D$1)="","",$F153&amp;INDEX($J165:$J171,Tablas!D$1)))</f>
        <v/>
      </c>
      <c r="AP153" s="2920" t="str">
        <f>IF(AND(ISNUMBER(MATCH($F153,'Tablas Técnicas'!$L$10:$L$643,0)),INDEX($J165:$J171,Tablas!E$1)="",COUNTIF(AQ153:$AS153,$F153)=0),$F153,IF(INDEX($J165:$J171,Tablas!E$1)="","",$F153&amp;INDEX($J165:$J171,Tablas!E$1)))</f>
        <v/>
      </c>
      <c r="AQ153" s="2920" t="str">
        <f>IF(AND(ISNUMBER(MATCH($F153,'Tablas Técnicas'!$L$10:$L$643,0)),INDEX($J165:$J171,Tablas!F$1)="",COUNTIF(AR153:$AS153,$F153)=0),$F153,IF(INDEX($J165:$J171,Tablas!F$1)="","",$F153&amp;INDEX($J165:$J171,Tablas!F$1)))</f>
        <v/>
      </c>
      <c r="AR153" s="2920" t="str">
        <f>IF(AND(ISNUMBER(MATCH($F153,'Tablas Técnicas'!$L$10:$L$643,0)),INDEX($J165:$J171,Tablas!G$1)="",COUNTIF(AS153:$AS153,$F153)=0),$F153,IF(INDEX($J165:$J171,Tablas!G$1)="","",$F153&amp;INDEX($J165:$J171,Tablas!G$1)))</f>
        <v/>
      </c>
      <c r="AS153" s="2922">
        <f>V153+X153+Z153+AB153+AD153+AF153</f>
        <v>0</v>
      </c>
      <c r="AT153" s="2922">
        <f t="array" ref="AT153">SUM(IF($AL153:$AR153='Tablas Técnicas'!$L$10:$L$643,IF(D153="Primario",'Tablas Técnicas'!$E$10:$E$643,'Tablas Técnicas'!$F$10:$F$643)+IF(K153="Sostenimiento menor",'Tablas Técnicas'!$I$10:$I$643,IF(K153="sostenimiento mayor",'Tablas Técnicas'!$J$10:$J$643,0)),0),0)+VALUE(RIGHT(P153,2))+AU153+AV153</f>
        <v>0</v>
      </c>
      <c r="AU153" s="292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22">
        <f>(COUNTIF(AL153:AR153,"*Estado añadido:*")-1)*COUNTIF(AL153:AR153,"*Estado añadido:*")</f>
        <v>0</v>
      </c>
      <c r="AW153" s="2922">
        <f t="array" ref="AW153">SUM(IF($AL153:$AR153='Tablas Técnicas'!$L$10:$L$643,'Tablas Técnicas'!$G$10:$G$643,0))</f>
        <v>0</v>
      </c>
      <c r="AX153" s="2920"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20" t="str">
        <f t="shared" si="36"/>
        <v/>
      </c>
    </row>
    <row r="154" spans="1:51" ht="12.2" customHeight="1" x14ac:dyDescent="0.2">
      <c r="A154" s="2360"/>
      <c r="B154" s="2252">
        <f t="shared" si="35"/>
        <v>5</v>
      </c>
      <c r="C154" s="4508"/>
      <c r="D154" s="4481" t="s">
        <v>526</v>
      </c>
      <c r="E154" s="4482"/>
      <c r="F154" s="4398"/>
      <c r="G154" s="4399"/>
      <c r="H154" s="4399"/>
      <c r="I154" s="4399"/>
      <c r="J154" s="4400"/>
      <c r="K154" s="4478" t="s">
        <v>1459</v>
      </c>
      <c r="L154" s="4479"/>
      <c r="M154" s="4480"/>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483" t="str">
        <f>IFERROR(VLOOKUP(F154,'Tablas Técnicas'!$O$9:$T$88,5,FALSE),"")</f>
        <v/>
      </c>
      <c r="R154" s="4483"/>
      <c r="S154" s="4483"/>
      <c r="T154" s="4483"/>
      <c r="U154" s="4483"/>
      <c r="V154" s="2218"/>
      <c r="W154" s="2219"/>
      <c r="X154" s="2218"/>
      <c r="Y154" s="2220"/>
      <c r="Z154" s="2221"/>
      <c r="AA154" s="2219"/>
      <c r="AB154" s="2218"/>
      <c r="AC154" s="2220"/>
      <c r="AD154" s="2221"/>
      <c r="AE154" s="2219"/>
      <c r="AF154" s="2218"/>
      <c r="AG154" s="2222"/>
      <c r="AH154" s="2369"/>
      <c r="AI154" s="4511"/>
      <c r="AJ154" s="2920">
        <v>3</v>
      </c>
      <c r="AK154" s="2920">
        <f>P148</f>
        <v>1</v>
      </c>
      <c r="AL154" s="2920" t="str">
        <f>IF(AND(ISNUMBER(MATCH($F154,'Tablas Técnicas'!$L$10:$L$643,0)),INDEX($P165:$P171,Tablas!A$1)="",COUNTIF(AM154:$AS154,$F154)=0),$F154,IF(INDEX($P165:$P171,Tablas!A$1)="","",$F154&amp;INDEX($P165:$P171,Tablas!A$1)))</f>
        <v/>
      </c>
      <c r="AM154" s="2920" t="str">
        <f>IF(AND(ISNUMBER(MATCH($F154,'Tablas Técnicas'!$L$10:$L$643,0)),INDEX($P165:$P171,Tablas!B$1)="",COUNTIF(AN154:$AS154,$F154)=0),$F154,IF(INDEX($P165:$P171,Tablas!B$1)="","",$F154&amp;INDEX($P165:$P171,Tablas!B$1)))</f>
        <v/>
      </c>
      <c r="AN154" s="2920" t="str">
        <f>IF(AND(ISNUMBER(MATCH($F154,'Tablas Técnicas'!$L$10:$L$643,0)),INDEX($P165:$P171,Tablas!C$1)="",COUNTIF(AO154:$AS154,$F154)=0),$F154,IF(INDEX($P165:$P171,Tablas!C$1)="","",$F154&amp;INDEX($P165:$P171,Tablas!C$1)))</f>
        <v/>
      </c>
      <c r="AO154" s="2920" t="str">
        <f>IF(AND(ISNUMBER(MATCH($F154,'Tablas Técnicas'!$L$10:$L$643,0)),INDEX($P165:$P171,Tablas!D$1)="",COUNTIF(AP154:$AS154,$F154)=0),$F154,IF(INDEX($P165:$P171,Tablas!D$1)="","",$F154&amp;INDEX($P165:$P171,Tablas!D$1)))</f>
        <v/>
      </c>
      <c r="AP154" s="2920" t="str">
        <f>IF(AND(ISNUMBER(MATCH($F154,'Tablas Técnicas'!$L$10:$L$643,0)),INDEX($P165:$P171,Tablas!E$1)="",COUNTIF(AQ154:$AS154,$F154)=0),$F154,IF(INDEX($P165:$P171,Tablas!E$1)="","",$F154&amp;INDEX($P165:$P171,Tablas!E$1)))</f>
        <v/>
      </c>
      <c r="AQ154" s="2920" t="str">
        <f>IF(AND(ISNUMBER(MATCH($F154,'Tablas Técnicas'!$L$10:$L$643,0)),INDEX($P165:$P171,Tablas!F$1)="",COUNTIF(AR154:$AS154,$F154)=0),$F154,IF(INDEX($P165:$P171,Tablas!F$1)="","",$F154&amp;INDEX($P165:$P171,Tablas!F$1)))</f>
        <v/>
      </c>
      <c r="AR154" s="2920" t="str">
        <f>IF(AND(ISNUMBER(MATCH($F154,'Tablas Técnicas'!$L$10:$L$643,0)),INDEX($P165:$P171,Tablas!G$1)="",COUNTIF(AS154:$AS154,$F154)=0),$F154,IF(INDEX($P165:$P171,Tablas!G$1)="","",$F154&amp;INDEX($P165:$P171,Tablas!G$1)))</f>
        <v/>
      </c>
      <c r="AS154" s="2922">
        <f>V154+X154+Z154+AB154+AD154+AF154</f>
        <v>0</v>
      </c>
      <c r="AT154" s="2922">
        <f t="array" ref="AT154">SUM(IF($AL154:$AR154='Tablas Técnicas'!$L$10:$L$643,IF(D154="Primario",'Tablas Técnicas'!$E$10:$E$643,'Tablas Técnicas'!$F$10:$F$643)+IF(K154="Sostenimiento menor",'Tablas Técnicas'!$I$10:$I$643,IF(K154="sostenimiento mayor",'Tablas Técnicas'!$J$10:$J$643,0)),0),0)+VALUE(RIGHT(P154,2))+AU154+AV154</f>
        <v>0</v>
      </c>
      <c r="AU154" s="292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22">
        <f>(COUNTIF(AL154:AR154,"*Estado añadido:*")-1)*COUNTIF(AL154:AR154,"*Estado añadido:*")</f>
        <v>0</v>
      </c>
      <c r="AW154" s="2922">
        <f t="array" ref="AW154">SUM(IF($AL154:$AR154='Tablas Técnicas'!$L$10:$L$643,'Tablas Técnicas'!$G$10:$G$643,0))</f>
        <v>0</v>
      </c>
      <c r="AX154" s="2920" t="str">
        <f t="shared" si="37"/>
        <v/>
      </c>
      <c r="AY154" s="2920" t="str">
        <f t="shared" si="36"/>
        <v/>
      </c>
    </row>
    <row r="155" spans="1:51" ht="12.2" customHeight="1" x14ac:dyDescent="0.2">
      <c r="A155" s="2360"/>
      <c r="B155" s="2252">
        <f t="shared" si="35"/>
        <v>5</v>
      </c>
      <c r="C155" s="4508"/>
      <c r="D155" s="4392" t="s">
        <v>526</v>
      </c>
      <c r="E155" s="4393"/>
      <c r="F155" s="4473"/>
      <c r="G155" s="4474"/>
      <c r="H155" s="4474"/>
      <c r="I155" s="4474"/>
      <c r="J155" s="4420"/>
      <c r="K155" s="4475" t="s">
        <v>1459</v>
      </c>
      <c r="L155" s="4476"/>
      <c r="M155" s="4477"/>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394" t="str">
        <f>IFERROR(VLOOKUP(F155,'Tablas Técnicas'!$O$9:$T$88,5,FALSE),"")</f>
        <v/>
      </c>
      <c r="R155" s="4394"/>
      <c r="S155" s="4394"/>
      <c r="T155" s="4394"/>
      <c r="U155" s="4394"/>
      <c r="V155" s="2213"/>
      <c r="W155" s="2214"/>
      <c r="X155" s="2213"/>
      <c r="Y155" s="2215"/>
      <c r="Z155" s="2216"/>
      <c r="AA155" s="2214"/>
      <c r="AB155" s="2213"/>
      <c r="AC155" s="2215"/>
      <c r="AD155" s="2216"/>
      <c r="AE155" s="2214"/>
      <c r="AF155" s="2213"/>
      <c r="AG155" s="2217"/>
      <c r="AH155" s="2369"/>
      <c r="AI155" s="4511"/>
      <c r="AJ155" s="2920">
        <v>4</v>
      </c>
      <c r="AK155" s="2920">
        <f>P148</f>
        <v>1</v>
      </c>
      <c r="AL155" s="2920" t="str">
        <f>IF(AND(ISNUMBER(MATCH($F155,'Tablas Técnicas'!$L$10:$L$643,0)),INDEX($V165:$V171,Tablas!A$1)="",COUNTIF(AM155:$AS155,$F155)=0),$F155,IF(INDEX($V165:$V171,Tablas!A$1)="","",$F155&amp;INDEX($V165:$V171,Tablas!A$1)))</f>
        <v/>
      </c>
      <c r="AM155" s="2920" t="str">
        <f>IF(AND(ISNUMBER(MATCH($F155,'Tablas Técnicas'!$L$10:$L$643,0)),INDEX($V165:$V171,Tablas!B$1)="",COUNTIF(AN155:$AS155,$F155)=0),$F155,IF(INDEX($V165:$V171,Tablas!B$1)="","",$F155&amp;INDEX($V165:$V171,Tablas!B$1)))</f>
        <v/>
      </c>
      <c r="AN155" s="2920" t="str">
        <f>IF(AND(ISNUMBER(MATCH($F155,'Tablas Técnicas'!$L$10:$L$643,0)),INDEX($V165:$V171,Tablas!C$1)="",COUNTIF(AO155:$AS155,$F155)=0),$F155,IF(INDEX($V165:$V171,Tablas!C$1)="","",$F155&amp;INDEX($V165:$V171,Tablas!C$1)))</f>
        <v/>
      </c>
      <c r="AO155" s="2920" t="str">
        <f>IF(AND(ISNUMBER(MATCH($F155,'Tablas Técnicas'!$L$10:$L$643,0)),INDEX($V165:$V171,Tablas!D$1)="",COUNTIF(AP155:$AS155,$F155)=0),$F155,IF(INDEX($V165:$V171,Tablas!D$1)="","",$F155&amp;INDEX($V165:$V171,Tablas!D$1)))</f>
        <v/>
      </c>
      <c r="AP155" s="2920" t="str">
        <f>IF(AND(ISNUMBER(MATCH($F155,'Tablas Técnicas'!$L$10:$L$643,0)),INDEX($V165:$V171,Tablas!E$1)="",COUNTIF(AQ155:$AS155,$F155)=0),$F155,IF(INDEX($V165:$V171,Tablas!E$1)="","",$F155&amp;INDEX($V165:$V171,Tablas!E$1)))</f>
        <v/>
      </c>
      <c r="AQ155" s="2920" t="str">
        <f>IF(AND(ISNUMBER(MATCH($F155,'Tablas Técnicas'!$L$10:$L$643,0)),INDEX($V165:$V171,Tablas!F$1)="",COUNTIF(AR155:$AS155,$F155)=0),$F155,IF(INDEX($V165:$V171,Tablas!F$1)="","",$F155&amp;INDEX($V165:$V171,Tablas!F$1)))</f>
        <v/>
      </c>
      <c r="AR155" s="2920" t="str">
        <f>IF(AND(ISNUMBER(MATCH($F155,'Tablas Técnicas'!$L$10:$L$643,0)),INDEX($V165:$V171,Tablas!G$1)="",COUNTIF(AS155:$AS155,$F155)=0),$F155,IF(INDEX($V165:$V171,Tablas!G$1)="","",$F155&amp;INDEX($V165:$V171,Tablas!G$1)))</f>
        <v/>
      </c>
      <c r="AS155" s="2922">
        <f>V155+X155+Z155+AB155+AD155+AF155</f>
        <v>0</v>
      </c>
      <c r="AT155" s="2922">
        <f t="array" ref="AT155">SUM(IF($AL155:$AR155='Tablas Técnicas'!$L$10:$L$643,IF(D155="Primario",'Tablas Técnicas'!$E$10:$E$643,'Tablas Técnicas'!$F$10:$F$643)+IF(K155="Sostenimiento menor",'Tablas Técnicas'!$I$10:$I$643,IF(K155="sostenimiento mayor",'Tablas Técnicas'!$J$10:$J$643,0)),0),0)+VALUE(RIGHT(P155,2))+AU155+AV155</f>
        <v>0</v>
      </c>
      <c r="AU155" s="292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22">
        <f>(COUNTIF(AL155:AR155,"*Estado añadido:*")-1)*COUNTIF(AL155:AR155,"*Estado añadido:*")</f>
        <v>0</v>
      </c>
      <c r="AW155" s="2922">
        <f t="array" ref="AW155">SUM(IF($AL155:$AR155='Tablas Técnicas'!$L$10:$L$643,'Tablas Técnicas'!$G$10:$G$643,0))</f>
        <v>0</v>
      </c>
      <c r="AX155" s="2920" t="str">
        <f t="shared" si="37"/>
        <v/>
      </c>
      <c r="AY155" s="2920" t="str">
        <f>IFERROR(LEFT(AX155,LEN(AX155)-2)&amp;"), ","")</f>
        <v/>
      </c>
    </row>
    <row r="156" spans="1:51" ht="12.2" customHeight="1" thickBot="1" x14ac:dyDescent="0.25">
      <c r="A156" s="2360"/>
      <c r="B156" s="2252">
        <f t="shared" si="35"/>
        <v>5</v>
      </c>
      <c r="C156" s="4508"/>
      <c r="D156" s="4395" t="s">
        <v>526</v>
      </c>
      <c r="E156" s="4396"/>
      <c r="F156" s="4494"/>
      <c r="G156" s="4495"/>
      <c r="H156" s="4495"/>
      <c r="I156" s="4495"/>
      <c r="J156" s="4496"/>
      <c r="K156" s="4470" t="s">
        <v>1459</v>
      </c>
      <c r="L156" s="4471"/>
      <c r="M156" s="4472"/>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397" t="str">
        <f>IFERROR(VLOOKUP(F156,'Tablas Técnicas'!$O$9:$T$88,5,FALSE),"")</f>
        <v/>
      </c>
      <c r="R156" s="4397"/>
      <c r="S156" s="4397"/>
      <c r="T156" s="4397"/>
      <c r="U156" s="4397"/>
      <c r="V156" s="2223"/>
      <c r="W156" s="2224"/>
      <c r="X156" s="2223"/>
      <c r="Y156" s="2225"/>
      <c r="Z156" s="2226"/>
      <c r="AA156" s="2224"/>
      <c r="AB156" s="2223"/>
      <c r="AC156" s="2225"/>
      <c r="AD156" s="2226"/>
      <c r="AE156" s="2224"/>
      <c r="AF156" s="2223"/>
      <c r="AG156" s="2227"/>
      <c r="AH156" s="2369"/>
      <c r="AI156" s="4511"/>
      <c r="AJ156" s="2920">
        <v>5</v>
      </c>
      <c r="AK156" s="2920">
        <f>P148</f>
        <v>1</v>
      </c>
      <c r="AL156" s="2920" t="str">
        <f>IF(AND(ISNUMBER(MATCH($F156,'Tablas Técnicas'!$L$10:$L$643,0)),INDEX($AB165:$AB171,Tablas!A$1)="",COUNTIF(AM156:$AS156,$F156)=0),$F156,IF(INDEX($AB165:$AB171,Tablas!A$1)="","",$F156&amp;INDEX($AB165:$AB171,Tablas!A$1)))</f>
        <v/>
      </c>
      <c r="AM156" s="2920" t="str">
        <f>IF(AND(ISNUMBER(MATCH($F156,'Tablas Técnicas'!$L$10:$L$643,0)),INDEX($AB165:$AB171,Tablas!B$1)="",COUNTIF(AN156:$AS156,$F156)=0),$F156,IF(INDEX($AB165:$AB171,Tablas!B$1)="","",$F156&amp;INDEX($AB165:$AB171,Tablas!B$1)))</f>
        <v/>
      </c>
      <c r="AN156" s="2920" t="str">
        <f>IF(AND(ISNUMBER(MATCH($F156,'Tablas Técnicas'!$L$10:$L$643,0)),INDEX($AB165:$AB171,Tablas!C$1)="",COUNTIF(AO156:$AS156,$F156)=0),$F156,IF(INDEX($AB165:$AB171,Tablas!C$1)="","",$F156&amp;INDEX($AB165:$AB171,Tablas!C$1)))</f>
        <v/>
      </c>
      <c r="AO156" s="2920" t="str">
        <f>IF(AND(ISNUMBER(MATCH($F156,'Tablas Técnicas'!$L$10:$L$643,0)),INDEX($AB165:$AB171,Tablas!D$1)="",COUNTIF(AP156:$AS156,$F156)=0),$F156,IF(INDEX($AB165:$AB171,Tablas!D$1)="","",$F156&amp;INDEX($AB165:$AB171,Tablas!D$1)))</f>
        <v/>
      </c>
      <c r="AP156" s="2920" t="str">
        <f>IF(AND(ISNUMBER(MATCH($F156,'Tablas Técnicas'!$L$10:$L$643,0)),INDEX($AB165:$AB171,Tablas!E$1)="",COUNTIF(AQ156:$AS156,$F156)=0),$F156,IF(INDEX($AB165:$AB171,Tablas!E$1)="","",$F156&amp;INDEX($AB165:$AB171,Tablas!E$1)))</f>
        <v/>
      </c>
      <c r="AQ156" s="2920" t="str">
        <f>IF(AND(ISNUMBER(MATCH($F156,'Tablas Técnicas'!$L$10:$L$643,0)),INDEX($AB165:$AB171,Tablas!F$1)="",COUNTIF(AR156:$AS156,$F156)=0),$F156,IF(INDEX($AB165:$AB171,Tablas!F$1)="","",$F156&amp;INDEX($AB165:$AB171,Tablas!F$1)))</f>
        <v/>
      </c>
      <c r="AR156" s="2920" t="str">
        <f>IF(AND(ISNUMBER(MATCH($F156,'Tablas Técnicas'!$L$10:$L$643,0)),INDEX($AB165:$AB171,Tablas!G$1)="",COUNTIF(AS156:$AS156,$F156)=0),$F156,IF(INDEX($AB165:$AB171,Tablas!G$1)="","",$F156&amp;INDEX($AB165:$AB171,Tablas!G$1)))</f>
        <v/>
      </c>
      <c r="AS156" s="2922">
        <f>V156+X156+Z156+AB156+AD156+AF156</f>
        <v>0</v>
      </c>
      <c r="AT156" s="2922">
        <f t="array" ref="AT156">SUM(IF($AL156:$AR156='Tablas Técnicas'!$L$10:$L$643,IF(D156="Primario",'Tablas Técnicas'!$E$10:$E$643,'Tablas Técnicas'!$F$10:$F$643)+IF(K156="Sostenimiento menor",'Tablas Técnicas'!$I$10:$I$643,IF(K156="sostenimiento mayor",'Tablas Técnicas'!$J$10:$J$643,0)),0),0)+VALUE(RIGHT(P156,2))+AU156+AV156</f>
        <v>0</v>
      </c>
      <c r="AU156" s="292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22">
        <f>(COUNTIF(AL156:AR156,"*Estado añadido:*")-1)*COUNTIF(AL156:AR156,"*Estado añadido:*")</f>
        <v>0</v>
      </c>
      <c r="AW156" s="2922">
        <f t="array" ref="AW156">SUM(IF($AL156:$AR156='Tablas Técnicas'!$L$10:$L$643,'Tablas Técnicas'!$G$10:$G$643,0))</f>
        <v>0</v>
      </c>
      <c r="AX156" s="2920" t="str">
        <f t="shared" si="37"/>
        <v/>
      </c>
      <c r="AY156" s="2920" t="str">
        <f t="shared" ref="AY156" si="38">IFERROR(LEFT(AX156,LEN(AX156)-2)&amp;"), ","")</f>
        <v/>
      </c>
    </row>
    <row r="157" spans="1:51" ht="12.2" customHeight="1" x14ac:dyDescent="0.2">
      <c r="A157" s="2360"/>
      <c r="B157" s="2252">
        <f t="shared" si="35"/>
        <v>5</v>
      </c>
      <c r="C157" s="4508"/>
      <c r="D157" s="4447" t="s">
        <v>2853</v>
      </c>
      <c r="E157" s="4448"/>
      <c r="F157" s="4435"/>
      <c r="G157" s="4436"/>
      <c r="H157" s="4436"/>
      <c r="I157" s="4436"/>
      <c r="J157" s="4437"/>
      <c r="K157" s="4411"/>
      <c r="L157" s="4412"/>
      <c r="M157" s="4413"/>
      <c r="N157" s="2081" t="str">
        <f>IFERROR(INDEX('Tablas Técnicas'!$Q$200:$Q$299,MATCH(F157&amp;K157,'Tablas Técnicas'!$S$200:$S$299,0)),"")</f>
        <v/>
      </c>
      <c r="O157" s="4414"/>
      <c r="P157" s="4415"/>
      <c r="Q157" s="4416"/>
      <c r="R157" s="4415"/>
      <c r="S157" s="2789" t="str">
        <f>IFERROR("Nivel: "&amp;MAX(1,INDEX('Tablas Técnicas'!$R$200:$R$299,MATCH(F157&amp;K157,'Tablas Técnicas'!$S$200:$S$299,0))),"")</f>
        <v/>
      </c>
      <c r="T157" s="2082"/>
      <c r="U157" s="2083" t="str">
        <f>IFERROR("("&amp;VLOOKUP(F157,'Tablas Técnicas'!$V$199:$X$225,3,FALSE)&amp;")","")</f>
        <v/>
      </c>
      <c r="V157" s="4356" t="s">
        <v>9836</v>
      </c>
      <c r="W157" s="4357"/>
      <c r="X157" s="4358"/>
      <c r="Y157" s="2800">
        <v>0</v>
      </c>
      <c r="Z157" s="4372" t="s">
        <v>9013</v>
      </c>
      <c r="AA157" s="4360"/>
      <c r="AB157" s="4361"/>
      <c r="AC157" s="2800">
        <v>0</v>
      </c>
      <c r="AD157" s="4373" t="str">
        <f>"Ki sin repartir: "&amp;AL165-AL166&amp;IF(AM165=0,""," ("&amp;AM165-AM166&amp;")")</f>
        <v>Ki sin repartir: 0</v>
      </c>
      <c r="AE157" s="4363"/>
      <c r="AF157" s="4363"/>
      <c r="AG157" s="4364"/>
      <c r="AH157" s="2369"/>
      <c r="AI157" s="4511"/>
      <c r="AJ157" s="2920">
        <v>1</v>
      </c>
      <c r="AK157" s="2920">
        <f>P148</f>
        <v>1</v>
      </c>
      <c r="AL157" s="2920" t="e">
        <f>VLOOKUP(F157,'Tablas Técnicas'!$V$199:$X$221,2,FALSE)</f>
        <v>#N/A</v>
      </c>
      <c r="AM157" s="2920"/>
      <c r="AN157" s="2921"/>
      <c r="AO157" s="2920"/>
      <c r="AP157" s="2920"/>
      <c r="AQ157" s="2921"/>
      <c r="AR157" s="2920"/>
      <c r="AS157" s="2920"/>
      <c r="AT157" s="2920"/>
      <c r="AU157" s="2920"/>
      <c r="AV157" s="2920"/>
      <c r="AW157" s="2922"/>
      <c r="AX157" s="2922"/>
      <c r="AY157" s="2920" t="str">
        <f>IF(F157="","",F157&amp;IF(K157="",""," ("&amp;IF(F157="Atadura Elemental",O157&amp;IF(Q157="","",", "&amp;Q157),K157)&amp;")")&amp;", ")</f>
        <v/>
      </c>
    </row>
    <row r="158" spans="1:51" ht="12.2" customHeight="1" x14ac:dyDescent="0.2">
      <c r="A158" s="2360"/>
      <c r="B158" s="2252">
        <f t="shared" si="35"/>
        <v>5</v>
      </c>
      <c r="C158" s="4508"/>
      <c r="D158" s="4449"/>
      <c r="E158" s="4450"/>
      <c r="F158" s="4417"/>
      <c r="G158" s="4418"/>
      <c r="H158" s="4418"/>
      <c r="I158" s="4418"/>
      <c r="J158" s="4419"/>
      <c r="K158" s="4420"/>
      <c r="L158" s="4421"/>
      <c r="M158" s="4422"/>
      <c r="N158" s="2084" t="str">
        <f>IFERROR(INDEX('Tablas Técnicas'!$Q$200:$Q$299,MATCH(F158&amp;K158,'Tablas Técnicas'!$S$200:$S$299,0)),"")</f>
        <v/>
      </c>
      <c r="O158" s="4423"/>
      <c r="P158" s="4424"/>
      <c r="Q158" s="4504"/>
      <c r="R158" s="4424"/>
      <c r="S158" s="2798" t="str">
        <f>IFERROR("Nivel: "&amp;MAX(1,INDEX('Tablas Técnicas'!$R$200:$R$299,MATCH(F158&amp;K158,'Tablas Técnicas'!$S$200:$S$299,0))),"")</f>
        <v/>
      </c>
      <c r="T158" s="2801"/>
      <c r="U158" s="2802" t="str">
        <f>IFERROR("("&amp;VLOOKUP(F158,'Tablas Técnicas'!$V$199:$X$225,3,FALSE)&amp;")","")</f>
        <v/>
      </c>
      <c r="V158" s="4353" t="str">
        <f>"Mod. "&amp;V150</f>
        <v>Mod. AGI</v>
      </c>
      <c r="W158" s="4354"/>
      <c r="X158" s="4353" t="str">
        <f t="shared" ref="X158" si="39">"Mod. "&amp;X150</f>
        <v>Mod. CON</v>
      </c>
      <c r="Y158" s="4354"/>
      <c r="Z158" s="4353" t="str">
        <f t="shared" ref="Z158" si="40">"Mod. "&amp;Z150</f>
        <v>Mod. DES</v>
      </c>
      <c r="AA158" s="4354"/>
      <c r="AB158" s="4353" t="str">
        <f t="shared" ref="AB158" si="41">"Mod. "&amp;AB150</f>
        <v>Mod. FUE</v>
      </c>
      <c r="AC158" s="4354"/>
      <c r="AD158" s="4353" t="str">
        <f t="shared" ref="AD158" si="42">"Mod. "&amp;AD150</f>
        <v>Mod. POD</v>
      </c>
      <c r="AE158" s="4354"/>
      <c r="AF158" s="4353" t="str">
        <f t="shared" ref="AF158" si="43">"Mod. "&amp;AF150</f>
        <v>Mod. VOL</v>
      </c>
      <c r="AG158" s="4355"/>
      <c r="AH158" s="2369"/>
      <c r="AI158" s="4511"/>
      <c r="AJ158" s="2920">
        <v>2</v>
      </c>
      <c r="AK158" s="2920">
        <f>P148</f>
        <v>1</v>
      </c>
      <c r="AL158" s="2920" t="e">
        <f>VLOOKUP(F158,'Tablas Técnicas'!$V$199:$X$221,2,FALSE)</f>
        <v>#N/A</v>
      </c>
      <c r="AM158" s="2920"/>
      <c r="AN158" s="2921"/>
      <c r="AO158" s="2920"/>
      <c r="AP158" s="2920"/>
      <c r="AQ158" s="2921"/>
      <c r="AR158" s="2920"/>
      <c r="AS158" s="2920"/>
      <c r="AT158" s="2920"/>
      <c r="AU158" s="2920"/>
      <c r="AV158" s="2920"/>
      <c r="AW158" s="2922"/>
      <c r="AX158" s="2922"/>
      <c r="AY158" s="2920" t="str">
        <f>IF(F158="","",F158&amp;IF(K158="",""," ("&amp;IF(F158="Atadura Elemental",O158&amp;IF(Q158="","",", "&amp;Q158),K158)&amp;")")&amp;", ")</f>
        <v/>
      </c>
    </row>
    <row r="159" spans="1:51" ht="12.2" customHeight="1" thickBot="1" x14ac:dyDescent="0.25">
      <c r="A159" s="2360"/>
      <c r="B159" s="2252">
        <f t="shared" si="35"/>
        <v>5</v>
      </c>
      <c r="C159" s="4508"/>
      <c r="D159" s="4484"/>
      <c r="E159" s="4485"/>
      <c r="F159" s="4426"/>
      <c r="G159" s="4427"/>
      <c r="H159" s="4427"/>
      <c r="I159" s="4427"/>
      <c r="J159" s="4428"/>
      <c r="K159" s="4429"/>
      <c r="L159" s="4430"/>
      <c r="M159" s="4431"/>
      <c r="N159" s="2085" t="str">
        <f>IFERROR(INDEX('Tablas Técnicas'!$Q$200:$Q$299,MATCH(F159&amp;K159,'Tablas Técnicas'!$S$200:$S$299,0)),"")</f>
        <v/>
      </c>
      <c r="O159" s="4432"/>
      <c r="P159" s="4433"/>
      <c r="Q159" s="4462"/>
      <c r="R159" s="4433"/>
      <c r="S159" s="2799" t="str">
        <f>IFERROR("Nivel: "&amp;MAX(1,INDEX('Tablas Técnicas'!$R$200:$R$299,MATCH(F159&amp;K159,'Tablas Técnicas'!$S$200:$S$299,0))),"")</f>
        <v/>
      </c>
      <c r="T159" s="2803"/>
      <c r="U159" s="2804" t="str">
        <f>IFERROR("("&amp;VLOOKUP(F159,'Tablas Técnicas'!$V$199:$X$225,3,FALSE)&amp;")","")</f>
        <v/>
      </c>
      <c r="V159" s="4368"/>
      <c r="W159" s="4367"/>
      <c r="X159" s="4367"/>
      <c r="Y159" s="4367"/>
      <c r="Z159" s="4367"/>
      <c r="AA159" s="4367"/>
      <c r="AB159" s="4367"/>
      <c r="AC159" s="4367"/>
      <c r="AD159" s="4367"/>
      <c r="AE159" s="4367"/>
      <c r="AF159" s="4367"/>
      <c r="AG159" s="4438"/>
      <c r="AH159" s="2369"/>
      <c r="AI159" s="4511"/>
      <c r="AJ159" s="2920">
        <v>3</v>
      </c>
      <c r="AK159" s="2920">
        <f>P148</f>
        <v>1</v>
      </c>
      <c r="AL159" s="2920" t="e">
        <f>VLOOKUP(F159,'Tablas Técnicas'!$V$199:$X$221,2,FALSE)</f>
        <v>#N/A</v>
      </c>
      <c r="AM159" s="2920"/>
      <c r="AN159" s="2921"/>
      <c r="AO159" s="2920"/>
      <c r="AP159" s="2920"/>
      <c r="AQ159" s="2921"/>
      <c r="AR159" s="2922"/>
      <c r="AS159" s="2922"/>
      <c r="AT159" s="2922"/>
      <c r="AU159" s="2922"/>
      <c r="AV159" s="2922"/>
      <c r="AW159" s="2922"/>
      <c r="AX159" s="2922"/>
      <c r="AY159" s="2920" t="str">
        <f>IF(F159="","",F159&amp;IF(K159="",""," ("&amp;IF(F159="Atadura Elemental",O159&amp;IF(Q159="","",", "&amp;Q159),K159)&amp;")")&amp;", ")</f>
        <v/>
      </c>
    </row>
    <row r="160" spans="1:51" ht="12.2" customHeight="1" x14ac:dyDescent="0.2">
      <c r="A160" s="2360"/>
      <c r="B160" s="2252">
        <f t="shared" si="35"/>
        <v>5</v>
      </c>
      <c r="C160" s="4508"/>
      <c r="D160" s="4386" t="s">
        <v>9511</v>
      </c>
      <c r="E160" s="4387"/>
      <c r="F160" s="4387"/>
      <c r="G160" s="4387"/>
      <c r="H160" s="4387"/>
      <c r="I160" s="4387"/>
      <c r="J160" s="4387"/>
      <c r="K160" s="4387"/>
      <c r="L160" s="4387"/>
      <c r="M160" s="4387"/>
      <c r="N160" s="4387"/>
      <c r="O160" s="4387"/>
      <c r="P160" s="4387"/>
      <c r="Q160" s="4387"/>
      <c r="R160" s="4387"/>
      <c r="S160" s="4387"/>
      <c r="T160" s="4387"/>
      <c r="U160" s="4387"/>
      <c r="V160" s="4388"/>
      <c r="W160" s="4388"/>
      <c r="X160" s="4388"/>
      <c r="Y160" s="4388"/>
      <c r="Z160" s="4388"/>
      <c r="AA160" s="4388"/>
      <c r="AB160" s="4388"/>
      <c r="AC160" s="4388"/>
      <c r="AD160" s="4388"/>
      <c r="AE160" s="4388"/>
      <c r="AF160" s="4388"/>
      <c r="AG160" s="4389"/>
      <c r="AH160" s="2369"/>
      <c r="AI160" s="4511"/>
      <c r="AJ160" s="2920"/>
      <c r="AK160" s="2920"/>
      <c r="AL160" s="2920"/>
      <c r="AM160" s="2920"/>
      <c r="AN160" s="2921" t="s">
        <v>9014</v>
      </c>
      <c r="AO160" s="2920" t="e">
        <f>LEFT(AY152&amp;AY153&amp;AY154&amp;AY155&amp;AY156,LEN(AY152&amp;AY153&amp;AY154&amp;AY155&amp;AY156)-2)</f>
        <v>#VALUE!</v>
      </c>
      <c r="AP160" s="2920"/>
      <c r="AQ160" s="2921"/>
      <c r="AR160" s="2922"/>
      <c r="AS160" s="2922"/>
      <c r="AT160" s="2922"/>
      <c r="AU160" s="2921"/>
      <c r="AV160" s="2921"/>
      <c r="AW160" s="2922"/>
      <c r="AX160" s="2922"/>
      <c r="AY160" s="2920"/>
    </row>
    <row r="161" spans="1:51" ht="12.2" customHeight="1" x14ac:dyDescent="0.2">
      <c r="A161" s="2360"/>
      <c r="B161" s="2252">
        <f t="shared" si="35"/>
        <v>5</v>
      </c>
      <c r="C161" s="4508"/>
      <c r="D161" s="4369" t="str">
        <f>IF(F152="","",F152)</f>
        <v/>
      </c>
      <c r="E161" s="4370"/>
      <c r="F161" s="4370"/>
      <c r="G161" s="4370"/>
      <c r="H161" s="4370"/>
      <c r="I161" s="4371"/>
      <c r="J161" s="4369" t="str">
        <f>IF(F153="","",F153)</f>
        <v/>
      </c>
      <c r="K161" s="4370"/>
      <c r="L161" s="4370"/>
      <c r="M161" s="4370"/>
      <c r="N161" s="4370"/>
      <c r="O161" s="4371"/>
      <c r="P161" s="4370" t="str">
        <f>IF(F154="","",F154)</f>
        <v/>
      </c>
      <c r="Q161" s="4370"/>
      <c r="R161" s="4370"/>
      <c r="S161" s="4370"/>
      <c r="T161" s="4370"/>
      <c r="U161" s="4371"/>
      <c r="V161" s="4369" t="str">
        <f>IF(F155="","",F155)</f>
        <v/>
      </c>
      <c r="W161" s="4370"/>
      <c r="X161" s="4370"/>
      <c r="Y161" s="4370"/>
      <c r="Z161" s="4370"/>
      <c r="AA161" s="4371"/>
      <c r="AB161" s="4370" t="str">
        <f>IF(F156="","",F156)</f>
        <v/>
      </c>
      <c r="AC161" s="4370"/>
      <c r="AD161" s="4370"/>
      <c r="AE161" s="4370"/>
      <c r="AF161" s="4370"/>
      <c r="AG161" s="4385"/>
      <c r="AH161" s="2369"/>
      <c r="AI161" s="4511"/>
      <c r="AJ161" s="2920"/>
      <c r="AK161" s="2920"/>
      <c r="AL161" s="2920"/>
      <c r="AM161" s="2920"/>
      <c r="AN161" s="2921" t="s">
        <v>9015</v>
      </c>
      <c r="AO161" s="2920" t="e">
        <f>LEFT(AY157&amp;AY158&amp;AY159,LEN(AY157&amp;AY158&amp;AY159)-2)</f>
        <v>#VALUE!</v>
      </c>
      <c r="AP161" s="2920"/>
      <c r="AQ161" s="2921"/>
      <c r="AR161" s="2922"/>
      <c r="AS161" s="2922"/>
      <c r="AT161" s="2922"/>
      <c r="AU161" s="2921"/>
      <c r="AV161" s="2921"/>
      <c r="AW161" s="2922"/>
      <c r="AX161" s="2922"/>
      <c r="AY161" s="2920"/>
    </row>
    <row r="162" spans="1:51" ht="12.2" customHeight="1" x14ac:dyDescent="0.2">
      <c r="A162" s="2360"/>
      <c r="B162" s="2252">
        <f t="shared" si="35"/>
        <v>5</v>
      </c>
      <c r="C162" s="4508"/>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511"/>
      <c r="AJ162" s="2920"/>
      <c r="AK162" s="2920"/>
      <c r="AL162" s="2920"/>
      <c r="AM162" s="2920"/>
      <c r="AN162" s="2921"/>
      <c r="AO162" s="2920"/>
      <c r="AP162" s="2920"/>
      <c r="AQ162" s="2921"/>
      <c r="AR162" s="2922"/>
      <c r="AS162" s="2922"/>
      <c r="AT162" s="2922"/>
      <c r="AU162" s="2922"/>
      <c r="AV162" s="2922"/>
      <c r="AW162" s="2922"/>
      <c r="AX162" s="2922"/>
      <c r="AY162" s="2920"/>
    </row>
    <row r="163" spans="1:51" ht="12.2" customHeight="1" x14ac:dyDescent="0.2">
      <c r="A163" s="2360"/>
      <c r="B163" s="2252">
        <f t="shared" si="35"/>
        <v>5</v>
      </c>
      <c r="C163" s="4508"/>
      <c r="D163" s="2198" t="s">
        <v>9016</v>
      </c>
      <c r="E163" s="2806"/>
      <c r="F163" s="2805"/>
      <c r="G163" s="2807"/>
      <c r="H163" s="2807"/>
      <c r="I163" s="2804" t="str">
        <f>IFERROR(IF(D161="Ataque Elemental",IF(NOT(ISNA(VLOOKUP(D165,'Tablas Técnicas'!$Z$25:$Z$30,1,0))),D165,"Variable"),VLOOKUP(D161,'Tablas Técnicas'!$O$9:$W$88,9,FALSE)),"")</f>
        <v/>
      </c>
      <c r="J163" s="2808" t="s">
        <v>9016</v>
      </c>
      <c r="K163" s="2809"/>
      <c r="L163" s="2810"/>
      <c r="M163" s="2811"/>
      <c r="N163" s="2811"/>
      <c r="O163" s="2812" t="str">
        <f>IFERROR(IF(J161="Ataque Elemental",IF(NOT(ISNA(VLOOKUP(J165,'Tablas Técnicas'!$Z$25:$Z$30,1,0))),J165,"Variable"),VLOOKUP(J161,'Tablas Técnicas'!$O$9:$W$88,9,FALSE)),"")</f>
        <v/>
      </c>
      <c r="P163" s="2813" t="s">
        <v>9016</v>
      </c>
      <c r="Q163" s="2809"/>
      <c r="R163" s="2810"/>
      <c r="S163" s="2811"/>
      <c r="T163" s="2811"/>
      <c r="U163" s="2804" t="str">
        <f>IFERROR(IF(P161="Ataque Elemental",IF(NOT(ISNA(VLOOKUP(P165,'Tablas Técnicas'!$Z$25:$Z$30,1,0))),P165,"Variable"),VLOOKUP(P161,'Tablas Técnicas'!$O$9:$W$88,9,FALSE)),"")</f>
        <v/>
      </c>
      <c r="V163" s="2808" t="s">
        <v>9016</v>
      </c>
      <c r="W163" s="2809"/>
      <c r="X163" s="2810"/>
      <c r="Y163" s="2811"/>
      <c r="Z163" s="2811"/>
      <c r="AA163" s="2812" t="str">
        <f>IFERROR(IF(V161="Ataque Elemental",IF(NOT(ISNA(VLOOKUP(V165,'Tablas Técnicas'!$Z$25:$Z$30,1,0))),V165,"Variable"),VLOOKUP(V161,'Tablas Técnicas'!$O$9:$W$88,9,FALSE)),"")</f>
        <v/>
      </c>
      <c r="AB163" s="2813" t="s">
        <v>9016</v>
      </c>
      <c r="AC163" s="2809"/>
      <c r="AD163" s="2810"/>
      <c r="AE163" s="2811"/>
      <c r="AF163" s="2811"/>
      <c r="AG163" s="2203" t="str">
        <f>IFERROR(IF(AB161="Ataque Elemental",IF(NOT(ISNA(VLOOKUP(AB165,'Tablas Técnicas'!$Z$25:$Z$30,1,0))),AB165,"Variable"),VLOOKUP(AB161,'Tablas Técnicas'!$O$9:$W$88,9,FALSE)),"")</f>
        <v/>
      </c>
      <c r="AH163" s="2369"/>
      <c r="AI163" s="4511"/>
      <c r="AJ163" s="2920"/>
      <c r="AK163" s="2922" t="s">
        <v>1376</v>
      </c>
      <c r="AL163" s="2922" t="s">
        <v>1501</v>
      </c>
      <c r="AM163" s="2922" t="s">
        <v>1381</v>
      </c>
      <c r="AN163" s="2922" t="s">
        <v>1386</v>
      </c>
      <c r="AO163" s="2922" t="s">
        <v>1394</v>
      </c>
      <c r="AP163" s="2922" t="s">
        <v>1395</v>
      </c>
      <c r="AQ163" s="2921"/>
      <c r="AR163" s="2922"/>
      <c r="AS163" s="2922"/>
      <c r="AT163" s="2922"/>
      <c r="AU163" s="2922"/>
      <c r="AV163" s="2922"/>
      <c r="AW163" s="2922"/>
      <c r="AX163" s="2922"/>
      <c r="AY163" s="2920"/>
    </row>
    <row r="164" spans="1:51" ht="12.2" customHeight="1" x14ac:dyDescent="0.2">
      <c r="A164" s="2360"/>
      <c r="B164" s="2252">
        <f t="shared" si="35"/>
        <v>5</v>
      </c>
      <c r="C164" s="4508"/>
      <c r="D164" s="4369" t="s">
        <v>2861</v>
      </c>
      <c r="E164" s="4370"/>
      <c r="F164" s="4370"/>
      <c r="G164" s="4370"/>
      <c r="H164" s="4371"/>
      <c r="I164" s="2090" t="s">
        <v>1406</v>
      </c>
      <c r="J164" s="4369" t="s">
        <v>2861</v>
      </c>
      <c r="K164" s="4370"/>
      <c r="L164" s="4370"/>
      <c r="M164" s="4370"/>
      <c r="N164" s="4371"/>
      <c r="O164" s="2091" t="s">
        <v>1406</v>
      </c>
      <c r="P164" s="4369" t="s">
        <v>2861</v>
      </c>
      <c r="Q164" s="4370"/>
      <c r="R164" s="4370"/>
      <c r="S164" s="4370"/>
      <c r="T164" s="4371"/>
      <c r="U164" s="2091" t="s">
        <v>1406</v>
      </c>
      <c r="V164" s="4369"/>
      <c r="W164" s="4370"/>
      <c r="X164" s="4370"/>
      <c r="Y164" s="4370"/>
      <c r="Z164" s="4371"/>
      <c r="AA164" s="2091" t="s">
        <v>1406</v>
      </c>
      <c r="AB164" s="4369" t="s">
        <v>2861</v>
      </c>
      <c r="AC164" s="4370"/>
      <c r="AD164" s="4370"/>
      <c r="AE164" s="4370"/>
      <c r="AF164" s="4371"/>
      <c r="AG164" s="2092" t="s">
        <v>1406</v>
      </c>
      <c r="AH164" s="2369"/>
      <c r="AI164" s="4511"/>
      <c r="AJ164" s="2925" t="s">
        <v>9548</v>
      </c>
      <c r="AK164" s="2920" t="str">
        <f>IF(V150="","",IF(SUM(V152:V156)=0,"",V150&amp;" "&amp;SUM(V152:V156)+V159&amp;IF(SUM(W152:W156)=0,""," ("&amp;SUM(W152:W156)&amp;")")&amp;", "))</f>
        <v/>
      </c>
      <c r="AL164" s="2920" t="str">
        <f>IF(X150="","",IF(SUM(X152:X156)=0,"",X150&amp;" "&amp;SUM(X152:X156)+X159&amp;IF(SUM(Y152:Y156)=0,""," ("&amp;SUM(Y152:Y156)&amp;")")&amp;", "))</f>
        <v/>
      </c>
      <c r="AM164" s="2920" t="str">
        <f>IF(Z150="","",IF(SUM(Z152:Z156)=0,"",Z150&amp;" "&amp;SUM(Z152:Z156)+Z159&amp;IF(SUM(AA152:AA156)=0,""," ("&amp;SUM(AA152:AA156)&amp;")")&amp;", "))</f>
        <v/>
      </c>
      <c r="AN164" s="2920" t="str">
        <f>IF(AB150="","",IF(SUM(AB152:AB156)=0,"",AB150&amp;" "&amp;SUM(AB152:AB156)+AB159&amp;IF(SUM(AC152:AC156)=0,""," ("&amp;SUM(AC152:AC156)&amp;")")&amp;", "))</f>
        <v/>
      </c>
      <c r="AO164" s="2920" t="str">
        <f>IF(AD150="","",IF(SUM(AD152:AD156)=0,"",AD150&amp;" "&amp;SUM(AD152:AD156)+AD159&amp;IF(SUM(AE152:AE156)=0,""," ("&amp;SUM(AE152:AE156)&amp;")")&amp;", "))</f>
        <v/>
      </c>
      <c r="AP164" s="2920" t="str">
        <f>IF(AF150="","",IF(SUM(AF152:AF156)=0,"",AF150&amp;" "&amp;SUM(AF152:AF156)+AF159&amp;IF(SUM(AG152:AG156)=0,""," ("&amp;SUM(AG152:AG156)&amp;")")&amp;", "))</f>
        <v/>
      </c>
      <c r="AQ164" s="2920"/>
      <c r="AR164" s="2920"/>
      <c r="AS164" s="2920"/>
      <c r="AT164" s="2920"/>
      <c r="AU164" s="2920"/>
      <c r="AV164" s="2920"/>
      <c r="AW164" s="2920"/>
      <c r="AX164" s="2920"/>
      <c r="AY164" s="2920"/>
    </row>
    <row r="165" spans="1:51" ht="12.2" customHeight="1" x14ac:dyDescent="0.2">
      <c r="A165" s="2360"/>
      <c r="B165" s="2252">
        <f t="shared" si="35"/>
        <v>5</v>
      </c>
      <c r="C165" s="4508"/>
      <c r="D165" s="4390"/>
      <c r="E165" s="4366"/>
      <c r="F165" s="4366"/>
      <c r="G165" s="4366"/>
      <c r="H165" s="4366"/>
      <c r="I165" s="2093" t="str">
        <f>IF(OR(D161="",D165=""),"",MAX(1,SUMPRODUCT(--(INDEX('Tablas Técnicas'!$C$10:$L$643,,1)=D161),--(INDEX('Tablas Técnicas'!$C$10:$L$643,,2)=D165),INDEX('Tablas Técnicas'!$C$10:$L$643,,9))))</f>
        <v/>
      </c>
      <c r="J165" s="4365"/>
      <c r="K165" s="4366"/>
      <c r="L165" s="4366"/>
      <c r="M165" s="4366"/>
      <c r="N165" s="4366"/>
      <c r="O165" s="2093" t="str">
        <f>IF(OR(J161="",J165=""),"",MAX(1,SUMPRODUCT(--(INDEX('Tablas Técnicas'!$C$10:$L$643,,1)=J161),--(INDEX('Tablas Técnicas'!$C$10:$L$643,,2)=J165),INDEX('Tablas Técnicas'!$C$10:$L$643,,9))))</f>
        <v/>
      </c>
      <c r="P165" s="4365"/>
      <c r="Q165" s="4366"/>
      <c r="R165" s="4366"/>
      <c r="S165" s="4366"/>
      <c r="T165" s="4366"/>
      <c r="U165" s="2093" t="str">
        <f>IF(OR(P161="",P165=""),"",MAX(1,SUMPRODUCT(--(INDEX('Tablas Técnicas'!$C$10:$L$643,,1)=P161),--(INDEX('Tablas Técnicas'!$C$10:$L$643,,2)=P165),INDEX('Tablas Técnicas'!$C$10:$L$643,,9))))</f>
        <v/>
      </c>
      <c r="V165" s="4365"/>
      <c r="W165" s="4366"/>
      <c r="X165" s="4366"/>
      <c r="Y165" s="4366"/>
      <c r="Z165" s="4366"/>
      <c r="AA165" s="2093" t="str">
        <f>IF(OR(V161="",V165=""),"",MAX(1,SUMPRODUCT(--(INDEX('Tablas Técnicas'!$C$10:$L$643,,1)=V161),--(INDEX('Tablas Técnicas'!$C$10:$L$643,,2)=V165),INDEX('Tablas Técnicas'!$C$10:$L$643,,9))))</f>
        <v/>
      </c>
      <c r="AB165" s="4365"/>
      <c r="AC165" s="4366"/>
      <c r="AD165" s="4366"/>
      <c r="AE165" s="4366"/>
      <c r="AF165" s="4366"/>
      <c r="AG165" s="2094" t="str">
        <f>IF(OR(AB161="",AB165=""),"",MAX(1,SUMPRODUCT(--(INDEX('Tablas Técnicas'!$C$10:$L$643,,1)=AB161),--(INDEX('Tablas Técnicas'!$C$10:$L$643,,2)=AB165),INDEX('Tablas Técnicas'!$C$10:$L$643,,9))))</f>
        <v/>
      </c>
      <c r="AH165" s="2369">
        <f>P148</f>
        <v>1</v>
      </c>
      <c r="AI165" s="4511"/>
      <c r="AJ165" s="2920" t="s">
        <v>9512</v>
      </c>
      <c r="AK165" s="2920"/>
      <c r="AL165" s="2920">
        <f>MAX(0,SUM(AT152:AT156)+ABS($AC157*2/5))+IF(AM174,0,Y157)+IF(S148="Si",3*P148,0)</f>
        <v>0</v>
      </c>
      <c r="AM165" s="2920">
        <f t="array" ref="AM165">IF(ISNUMBER(SEARCH("Mantenido",K152&amp;K153&amp;K154&amp;K155&amp;K156)),MAX(0,SUM(VALUE(RIGHT($P152:$P156,2)))),0)</f>
        <v>0</v>
      </c>
      <c r="AN165" s="2922"/>
      <c r="AO165" s="2922"/>
      <c r="AP165" s="2927"/>
      <c r="AQ165" s="2927"/>
      <c r="AR165" s="2927"/>
      <c r="AS165" s="2927"/>
      <c r="AT165" s="2927"/>
      <c r="AU165" s="2927"/>
      <c r="AV165" s="2927"/>
      <c r="AW165" s="2927"/>
      <c r="AX165" s="2927"/>
      <c r="AY165" s="2920"/>
    </row>
    <row r="166" spans="1:51" ht="12.2" customHeight="1" x14ac:dyDescent="0.2">
      <c r="A166" s="2360"/>
      <c r="B166" s="2252">
        <f t="shared" si="35"/>
        <v>5</v>
      </c>
      <c r="C166" s="4508"/>
      <c r="D166" s="4374"/>
      <c r="E166" s="4375"/>
      <c r="F166" s="4375"/>
      <c r="G166" s="4375"/>
      <c r="H166" s="4375"/>
      <c r="I166" s="2095" t="str">
        <f>IF(OR(D161="",D166=""),"",MAX(1,SUMPRODUCT(--(INDEX('Tablas Técnicas'!$C$10:$L$643,,1)=D161),--(INDEX('Tablas Técnicas'!$C$10:$L$643,,2)=D166),INDEX('Tablas Técnicas'!$C$10:$L$643,,9))))</f>
        <v/>
      </c>
      <c r="J166" s="4374"/>
      <c r="K166" s="4375"/>
      <c r="L166" s="4375"/>
      <c r="M166" s="4375"/>
      <c r="N166" s="4375"/>
      <c r="O166" s="2095" t="str">
        <f>IF(OR(J161="",J166=""),"",MAX(1,SUMPRODUCT(--(INDEX('Tablas Técnicas'!$C$10:$L$643,,1)=J161),--(INDEX('Tablas Técnicas'!$C$10:$L$643,,2)=J166),INDEX('Tablas Técnicas'!$C$10:$L$643,,9))))</f>
        <v/>
      </c>
      <c r="P166" s="4374"/>
      <c r="Q166" s="4375"/>
      <c r="R166" s="4375"/>
      <c r="S166" s="4375"/>
      <c r="T166" s="4375"/>
      <c r="U166" s="2095" t="str">
        <f>IF(OR(P161="",P166=""),"",MAX(1,SUMPRODUCT(--(INDEX('Tablas Técnicas'!$C$10:$L$643,,1)=P161),--(INDEX('Tablas Técnicas'!$C$10:$L$643,,2)=P166),INDEX('Tablas Técnicas'!$C$10:$L$643,,9))))</f>
        <v/>
      </c>
      <c r="V166" s="4374"/>
      <c r="W166" s="4375"/>
      <c r="X166" s="4375"/>
      <c r="Y166" s="4375"/>
      <c r="Z166" s="4375"/>
      <c r="AA166" s="2095" t="str">
        <f>IF(OR(V161="",V166=""),"",MAX(1,SUMPRODUCT(--(INDEX('Tablas Técnicas'!$C$10:$L$643,,1)=V161),--(INDEX('Tablas Técnicas'!$C$10:$L$643,,2)=V166),INDEX('Tablas Técnicas'!$C$10:$L$643,,9))))</f>
        <v/>
      </c>
      <c r="AB166" s="4374"/>
      <c r="AC166" s="4375"/>
      <c r="AD166" s="4375"/>
      <c r="AE166" s="4375"/>
      <c r="AF166" s="4375"/>
      <c r="AG166" s="2096" t="str">
        <f>IF(OR(AB161="",AB166=""),"",MAX(1,SUMPRODUCT(--(INDEX('Tablas Técnicas'!$C$10:$L$643,,1)=AB161),--(INDEX('Tablas Técnicas'!$C$10:$L$643,,2)=AB166),INDEX('Tablas Técnicas'!$C$10:$L$643,,9))))</f>
        <v/>
      </c>
      <c r="AH166" s="2369">
        <f>P148</f>
        <v>1</v>
      </c>
      <c r="AI166" s="4511"/>
      <c r="AJ166" s="2920" t="s">
        <v>9018</v>
      </c>
      <c r="AK166" s="2920"/>
      <c r="AL166" s="2920">
        <f>SUM(V152:V156,X152:X156,Z152:Z156,AB152:AB156,AD152:AD156,AF152:AF156)+SUM(V159:AG159)</f>
        <v>0</v>
      </c>
      <c r="AM166" s="2920">
        <f>SUM(W152:W156,Y152:Y156,AA152:AA156,AC152:AC156,AE152:AE156,AG152:AG156)</f>
        <v>0</v>
      </c>
      <c r="AN166" s="2920"/>
      <c r="AO166" s="2920"/>
      <c r="AP166" s="2920"/>
      <c r="AQ166" s="2920"/>
      <c r="AR166" s="2920"/>
      <c r="AS166" s="2920"/>
      <c r="AT166" s="2920"/>
      <c r="AU166" s="2920"/>
      <c r="AV166" s="2920"/>
      <c r="AW166" s="2922"/>
      <c r="AX166" s="2920"/>
      <c r="AY166" s="2920"/>
    </row>
    <row r="167" spans="1:51" ht="12.2" customHeight="1" x14ac:dyDescent="0.2">
      <c r="A167" s="2360"/>
      <c r="B167" s="2252">
        <f t="shared" si="35"/>
        <v>5</v>
      </c>
      <c r="C167" s="4508"/>
      <c r="D167" s="4374"/>
      <c r="E167" s="4375"/>
      <c r="F167" s="4375"/>
      <c r="G167" s="4375"/>
      <c r="H167" s="4375"/>
      <c r="I167" s="2095" t="str">
        <f>IF(OR(D161="",D167=""),"",MAX(1,SUMPRODUCT(--(INDEX('Tablas Técnicas'!$C$10:$L$643,,1)=D161),--(INDEX('Tablas Técnicas'!$C$10:$L$643,,2)=D167),INDEX('Tablas Técnicas'!$C$10:$L$643,,9))))</f>
        <v/>
      </c>
      <c r="J167" s="4374"/>
      <c r="K167" s="4375"/>
      <c r="L167" s="4375"/>
      <c r="M167" s="4375"/>
      <c r="N167" s="4375"/>
      <c r="O167" s="2095" t="str">
        <f>IF(OR(J161="",J167=""),"",MAX(1,SUMPRODUCT(--(INDEX('Tablas Técnicas'!$C$10:$L$643,,1)=J161),--(INDEX('Tablas Técnicas'!$C$10:$L$643,,2)=J167),INDEX('Tablas Técnicas'!$C$10:$L$643,,9))))</f>
        <v/>
      </c>
      <c r="P167" s="4374"/>
      <c r="Q167" s="4375"/>
      <c r="R167" s="4375"/>
      <c r="S167" s="4375"/>
      <c r="T167" s="4375"/>
      <c r="U167" s="2095" t="str">
        <f>IF(OR(P161="",P167=""),"",MAX(1,SUMPRODUCT(--(INDEX('Tablas Técnicas'!$C$10:$L$643,,1)=P161),--(INDEX('Tablas Técnicas'!$C$10:$L$643,,2)=P167),INDEX('Tablas Técnicas'!$C$10:$L$643,,9))))</f>
        <v/>
      </c>
      <c r="V167" s="4374"/>
      <c r="W167" s="4375"/>
      <c r="X167" s="4375"/>
      <c r="Y167" s="4375"/>
      <c r="Z167" s="4375"/>
      <c r="AA167" s="2095" t="str">
        <f>IF(OR(V161="",V167=""),"",MAX(1,SUMPRODUCT(--(INDEX('Tablas Técnicas'!$C$10:$L$643,,1)=V161),--(INDEX('Tablas Técnicas'!$C$10:$L$643,,2)=V167),INDEX('Tablas Técnicas'!$C$10:$L$643,,9))))</f>
        <v/>
      </c>
      <c r="AB167" s="4374"/>
      <c r="AC167" s="4375"/>
      <c r="AD167" s="4375"/>
      <c r="AE167" s="4375"/>
      <c r="AF167" s="4375"/>
      <c r="AG167" s="2096" t="str">
        <f>IF(OR(AB161="",AB167=""),"",MAX(1,SUMPRODUCT(--(INDEX('Tablas Técnicas'!$C$10:$L$643,,1)=AB161),--(INDEX('Tablas Técnicas'!$C$10:$L$643,,2)=AB167),INDEX('Tablas Técnicas'!$C$10:$L$643,,9))))</f>
        <v/>
      </c>
      <c r="AH167" s="2369">
        <f>P148</f>
        <v>1</v>
      </c>
      <c r="AI167" s="4511"/>
      <c r="AJ167" s="2920"/>
      <c r="AK167" s="2920"/>
      <c r="AL167" s="2920"/>
      <c r="AM167" s="2920"/>
      <c r="AN167" s="2920"/>
      <c r="AO167" s="2920"/>
      <c r="AP167" s="2920"/>
      <c r="AQ167" s="2920"/>
      <c r="AR167" s="2920"/>
      <c r="AS167" s="2920"/>
      <c r="AT167" s="2920"/>
      <c r="AU167" s="2920"/>
      <c r="AV167" s="2920"/>
      <c r="AW167" s="2922"/>
      <c r="AX167" s="2922"/>
      <c r="AY167" s="2920"/>
    </row>
    <row r="168" spans="1:51" ht="12.2" customHeight="1" x14ac:dyDescent="0.2">
      <c r="A168" s="2360"/>
      <c r="B168" s="2252">
        <f t="shared" si="35"/>
        <v>5</v>
      </c>
      <c r="C168" s="4508"/>
      <c r="D168" s="4374"/>
      <c r="E168" s="4375"/>
      <c r="F168" s="4375"/>
      <c r="G168" s="4375"/>
      <c r="H168" s="4375"/>
      <c r="I168" s="2095" t="str">
        <f>IF(OR(D161="",D168=""),"",MAX(1,SUMPRODUCT(--(INDEX('Tablas Técnicas'!$C$10:$L$643,,1)=D161),--(INDEX('Tablas Técnicas'!$C$10:$L$643,,2)=D168),INDEX('Tablas Técnicas'!$C$10:$L$643,,9))))</f>
        <v/>
      </c>
      <c r="J168" s="4374"/>
      <c r="K168" s="4375"/>
      <c r="L168" s="4375"/>
      <c r="M168" s="4375"/>
      <c r="N168" s="4375"/>
      <c r="O168" s="2095" t="str">
        <f>IF(OR(J161="",J168=""),"",MAX(1,SUMPRODUCT(--(INDEX('Tablas Técnicas'!$C$10:$L$643,,1)=J161),--(INDEX('Tablas Técnicas'!$C$10:$L$643,,2)=J168),INDEX('Tablas Técnicas'!$C$10:$L$643,,9))))</f>
        <v/>
      </c>
      <c r="P168" s="4374"/>
      <c r="Q168" s="4375"/>
      <c r="R168" s="4375"/>
      <c r="S168" s="4375"/>
      <c r="T168" s="4375"/>
      <c r="U168" s="2095" t="str">
        <f>IF(OR(P161="",P168=""),"",MAX(1,SUMPRODUCT(--(INDEX('Tablas Técnicas'!$C$10:$L$643,,1)=P161),--(INDEX('Tablas Técnicas'!$C$10:$L$643,,2)=P168),INDEX('Tablas Técnicas'!$C$10:$L$643,,9))))</f>
        <v/>
      </c>
      <c r="V168" s="4374"/>
      <c r="W168" s="4375"/>
      <c r="X168" s="4375"/>
      <c r="Y168" s="4375"/>
      <c r="Z168" s="4375"/>
      <c r="AA168" s="2095" t="str">
        <f>IF(OR(V161="",V168=""),"",MAX(1,SUMPRODUCT(--(INDEX('Tablas Técnicas'!$C$10:$L$643,,1)=V161),--(INDEX('Tablas Técnicas'!$C$10:$L$643,,2)=V168),INDEX('Tablas Técnicas'!$C$10:$L$643,,9))))</f>
        <v/>
      </c>
      <c r="AB168" s="4374"/>
      <c r="AC168" s="4375"/>
      <c r="AD168" s="4375"/>
      <c r="AE168" s="4375"/>
      <c r="AF168" s="4375"/>
      <c r="AG168" s="2096" t="str">
        <f>IF(OR(AB161="",AB168=""),"",MAX(1,SUMPRODUCT(--(INDEX('Tablas Técnicas'!$C$10:$L$643,,1)=AB161),--(INDEX('Tablas Técnicas'!$C$10:$L$643,,2)=AB168),INDEX('Tablas Técnicas'!$C$10:$L$643,,9))))</f>
        <v/>
      </c>
      <c r="AH168" s="2369">
        <f>P148</f>
        <v>1</v>
      </c>
      <c r="AI168" s="4511"/>
      <c r="AJ168" s="2920" t="s">
        <v>9019</v>
      </c>
      <c r="AK168" s="2920"/>
      <c r="AL168" s="2920"/>
      <c r="AM168" s="2920"/>
      <c r="AN168" s="2920"/>
      <c r="AO168" s="2920"/>
      <c r="AP168" s="2920"/>
      <c r="AQ168" s="2921"/>
      <c r="AR168" s="2922"/>
      <c r="AS168" s="2922"/>
      <c r="AT168" s="2922"/>
      <c r="AU168" s="2922"/>
      <c r="AV168" s="2922"/>
      <c r="AW168" s="2922"/>
      <c r="AX168" s="2922"/>
      <c r="AY168" s="2920"/>
    </row>
    <row r="169" spans="1:51" ht="12.2" customHeight="1" x14ac:dyDescent="0.2">
      <c r="A169" s="2360"/>
      <c r="B169" s="2252">
        <f t="shared" si="35"/>
        <v>5</v>
      </c>
      <c r="C169" s="4508"/>
      <c r="D169" s="4374"/>
      <c r="E169" s="4375"/>
      <c r="F169" s="4375"/>
      <c r="G169" s="4375"/>
      <c r="H169" s="4375"/>
      <c r="I169" s="2095" t="str">
        <f>IF(OR(D161="",D169=""),"",MAX(1,SUMPRODUCT(--(INDEX('Tablas Técnicas'!$C$10:$L$643,,1)=D161),--(INDEX('Tablas Técnicas'!$C$10:$L$643,,2)=D169),INDEX('Tablas Técnicas'!$C$10:$L$643,,9))))</f>
        <v/>
      </c>
      <c r="J169" s="4374"/>
      <c r="K169" s="4375"/>
      <c r="L169" s="4375"/>
      <c r="M169" s="4375"/>
      <c r="N169" s="4375"/>
      <c r="O169" s="2095" t="str">
        <f>IF(OR(J161="",J169=""),"",MAX(1,SUMPRODUCT(--(INDEX('Tablas Técnicas'!$C$10:$L$643,,1)=J161),--(INDEX('Tablas Técnicas'!$C$10:$L$643,,2)=J169),INDEX('Tablas Técnicas'!$C$10:$L$643,,9))))</f>
        <v/>
      </c>
      <c r="P169" s="4374"/>
      <c r="Q169" s="4375"/>
      <c r="R169" s="4375"/>
      <c r="S169" s="4375"/>
      <c r="T169" s="4375"/>
      <c r="U169" s="2095" t="str">
        <f>IF(OR(P161="",P169=""),"",MAX(1,SUMPRODUCT(--(INDEX('Tablas Técnicas'!$C$10:$L$643,,1)=P161),--(INDEX('Tablas Técnicas'!$C$10:$L$643,,2)=P169),INDEX('Tablas Técnicas'!$C$10:$L$643,,9))))</f>
        <v/>
      </c>
      <c r="V169" s="4374"/>
      <c r="W169" s="4375"/>
      <c r="X169" s="4375"/>
      <c r="Y169" s="4375"/>
      <c r="Z169" s="4375"/>
      <c r="AA169" s="2095" t="str">
        <f>IF(OR(V161="",V169=""),"",MAX(1,SUMPRODUCT(--(INDEX('Tablas Técnicas'!$C$10:$L$643,,1)=V161),--(INDEX('Tablas Técnicas'!$C$10:$L$643,,2)=V169),INDEX('Tablas Técnicas'!$C$10:$L$643,,9))))</f>
        <v/>
      </c>
      <c r="AB169" s="4374"/>
      <c r="AC169" s="4375"/>
      <c r="AD169" s="4375"/>
      <c r="AE169" s="4375"/>
      <c r="AF169" s="4375"/>
      <c r="AG169" s="2096" t="str">
        <f>IF(OR(AB161="",AB169=""),"",MAX(1,SUMPRODUCT(--(INDEX('Tablas Técnicas'!$C$10:$L$643,,1)=AB161),--(INDEX('Tablas Técnicas'!$C$10:$L$643,,2)=AB169),INDEX('Tablas Técnicas'!$C$10:$L$643,,9))))</f>
        <v/>
      </c>
      <c r="AH169" s="2369">
        <f>P148</f>
        <v>1</v>
      </c>
      <c r="AI169" s="4511"/>
      <c r="AJ169" s="2920" t="s">
        <v>10184</v>
      </c>
      <c r="AK169" s="2920"/>
      <c r="AL169" s="2920"/>
      <c r="AM169" s="2920" t="b">
        <f>U148&gt;IF(P148=3,200,IF(P148=2,100,50))</f>
        <v>0</v>
      </c>
      <c r="AN169" s="2920"/>
      <c r="AO169" s="2920"/>
      <c r="AP169" s="2920"/>
      <c r="AQ169" s="2920"/>
      <c r="AR169" s="2922"/>
      <c r="AS169" s="2922"/>
      <c r="AT169" s="2922"/>
      <c r="AU169" s="2922"/>
      <c r="AV169" s="2922"/>
      <c r="AW169" s="2922"/>
      <c r="AX169" s="2922"/>
      <c r="AY169" s="2920"/>
    </row>
    <row r="170" spans="1:51" ht="12.2" customHeight="1" x14ac:dyDescent="0.2">
      <c r="A170" s="2360"/>
      <c r="B170" s="2252">
        <f t="shared" si="35"/>
        <v>5</v>
      </c>
      <c r="C170" s="4508"/>
      <c r="D170" s="4374"/>
      <c r="E170" s="4375"/>
      <c r="F170" s="4375"/>
      <c r="G170" s="4375"/>
      <c r="H170" s="4375"/>
      <c r="I170" s="2095" t="str">
        <f>IF(OR(D161="",D170=""),"",MAX(1,SUMPRODUCT(--(INDEX('Tablas Técnicas'!$C$10:$L$643,,1)=D161),--(INDEX('Tablas Técnicas'!$C$10:$L$643,,2)=D170),INDEX('Tablas Técnicas'!$C$10:$L$643,,9))))</f>
        <v/>
      </c>
      <c r="J170" s="4374"/>
      <c r="K170" s="4375"/>
      <c r="L170" s="4375"/>
      <c r="M170" s="4375"/>
      <c r="N170" s="4375"/>
      <c r="O170" s="2095" t="str">
        <f>IF(OR(J161="",J170=""),"",MAX(1,SUMPRODUCT(--(INDEX('Tablas Técnicas'!$C$10:$L$643,,1)=J161),--(INDEX('Tablas Técnicas'!$C$10:$L$643,,2)=J170),INDEX('Tablas Técnicas'!$C$10:$L$643,,9))))</f>
        <v/>
      </c>
      <c r="P170" s="4374"/>
      <c r="Q170" s="4375"/>
      <c r="R170" s="4375"/>
      <c r="S170" s="4375"/>
      <c r="T170" s="4375"/>
      <c r="U170" s="2095" t="str">
        <f>IF(OR(P161="",P170=""),"",MAX(1,SUMPRODUCT(--(INDEX('Tablas Técnicas'!$C$10:$L$643,,1)=P161),--(INDEX('Tablas Técnicas'!$C$10:$L$643,,2)=P170),INDEX('Tablas Técnicas'!$C$10:$L$643,,9))))</f>
        <v/>
      </c>
      <c r="V170" s="4374"/>
      <c r="W170" s="4375"/>
      <c r="X170" s="4375"/>
      <c r="Y170" s="4375"/>
      <c r="Z170" s="4375"/>
      <c r="AA170" s="2095" t="str">
        <f>IF(OR(V161="",V170=""),"",MAX(1,SUMPRODUCT(--(INDEX('Tablas Técnicas'!$C$10:$L$643,,1)=V161),--(INDEX('Tablas Técnicas'!$C$10:$L$643,,2)=V170),INDEX('Tablas Técnicas'!$C$10:$L$643,,9))))</f>
        <v/>
      </c>
      <c r="AB170" s="4374"/>
      <c r="AC170" s="4375"/>
      <c r="AD170" s="4375"/>
      <c r="AE170" s="4375"/>
      <c r="AF170" s="4375"/>
      <c r="AG170" s="2096" t="str">
        <f>IF(OR(AB161="",AB170=""),"",MAX(1,SUMPRODUCT(--(INDEX('Tablas Técnicas'!$C$10:$L$643,,1)=AB161),--(INDEX('Tablas Técnicas'!$C$10:$L$643,,2)=AB170),INDEX('Tablas Técnicas'!$C$10:$L$643,,9))))</f>
        <v/>
      </c>
      <c r="AH170" s="2369">
        <f>P148</f>
        <v>1</v>
      </c>
      <c r="AI170" s="4511"/>
      <c r="AJ170" s="2920" t="s">
        <v>9020</v>
      </c>
      <c r="AK170" s="2920"/>
      <c r="AL170" s="2920"/>
      <c r="AM170" s="2920" t="b">
        <f t="array" ref="AM170">MAX(I165:I171,O165:O171,U165:U171,AA165:AA171,AG165:AG171,RIGHT(S157:S159,1))&gt;P148</f>
        <v>0</v>
      </c>
      <c r="AN170" s="2920"/>
      <c r="AO170" s="2920"/>
      <c r="AP170" s="2920"/>
      <c r="AQ170" s="2921"/>
      <c r="AR170" s="2922"/>
      <c r="AS170" s="2922"/>
      <c r="AT170" s="2922"/>
      <c r="AU170" s="2922"/>
      <c r="AV170" s="2922"/>
      <c r="AW170" s="2922"/>
      <c r="AX170" s="2922"/>
      <c r="AY170" s="2920"/>
    </row>
    <row r="171" spans="1:51" ht="12.2" customHeight="1" x14ac:dyDescent="0.2">
      <c r="A171" s="2360"/>
      <c r="B171" s="2252">
        <f t="shared" si="35"/>
        <v>5</v>
      </c>
      <c r="C171" s="4508"/>
      <c r="D171" s="4401"/>
      <c r="E171" s="4402"/>
      <c r="F171" s="4402"/>
      <c r="G171" s="4402"/>
      <c r="H171" s="4402"/>
      <c r="I171" s="2097" t="str">
        <f>IF(OR(D161="",D171=""),"",MAX(1,SUMPRODUCT(--(INDEX('Tablas Técnicas'!$C$10:$L$643,,1)=D161),--(INDEX('Tablas Técnicas'!$C$10:$L$643,,2)=D171),INDEX('Tablas Técnicas'!$C$10:$L$643,,9))))</f>
        <v/>
      </c>
      <c r="J171" s="4401"/>
      <c r="K171" s="4402"/>
      <c r="L171" s="4402"/>
      <c r="M171" s="4402"/>
      <c r="N171" s="4402"/>
      <c r="O171" s="2097" t="str">
        <f>IF(OR(J161="",J171=""),"",MAX(1,SUMPRODUCT(--(INDEX('Tablas Técnicas'!$C$10:$L$643,,1)=J161),--(INDEX('Tablas Técnicas'!$C$10:$L$643,,2)=J171),INDEX('Tablas Técnicas'!$C$10:$L$643,,9))))</f>
        <v/>
      </c>
      <c r="P171" s="4401"/>
      <c r="Q171" s="4402"/>
      <c r="R171" s="4402"/>
      <c r="S171" s="4402"/>
      <c r="T171" s="4402"/>
      <c r="U171" s="2097" t="str">
        <f>IF(OR(P161="",P171=""),"",MAX(1,SUMPRODUCT(--(INDEX('Tablas Técnicas'!$C$10:$L$643,,1)=P161),--(INDEX('Tablas Técnicas'!$C$10:$L$643,,2)=P171),INDEX('Tablas Técnicas'!$C$10:$L$643,,9))))</f>
        <v/>
      </c>
      <c r="V171" s="4401"/>
      <c r="W171" s="4402"/>
      <c r="X171" s="4402"/>
      <c r="Y171" s="4402"/>
      <c r="Z171" s="4402"/>
      <c r="AA171" s="2097" t="str">
        <f>IF(OR(V161="",V171=""),"",MAX(1,SUMPRODUCT(--(INDEX('Tablas Técnicas'!$C$10:$L$643,,1)=V161),--(INDEX('Tablas Técnicas'!$C$10:$L$643,,2)=V171),INDEX('Tablas Técnicas'!$C$10:$L$643,,9))))</f>
        <v/>
      </c>
      <c r="AB171" s="4401"/>
      <c r="AC171" s="4402"/>
      <c r="AD171" s="4402"/>
      <c r="AE171" s="4402"/>
      <c r="AF171" s="4402"/>
      <c r="AG171" s="2098" t="str">
        <f>IF(OR(AB161="",AB171=""),"",MAX(1,SUMPRODUCT(--(INDEX('Tablas Técnicas'!$C$10:$L$643,,1)=AB161),--(INDEX('Tablas Técnicas'!$C$10:$L$643,,2)=AB171),INDEX('Tablas Técnicas'!$C$10:$L$643,,9))))</f>
        <v/>
      </c>
      <c r="AH171" s="2369">
        <f>P148</f>
        <v>1</v>
      </c>
      <c r="AI171" s="4511"/>
      <c r="AJ171" s="2920" t="s">
        <v>9529</v>
      </c>
      <c r="AK171" s="2920"/>
      <c r="AL171" s="2920"/>
      <c r="AM171" s="2920" t="b">
        <f>AND(COUNTIF(K152:M156,"Mantenido"),OR(COUNTIF(K152:M156,"Sostenimiento Menor"),COUNTIF(K152:M156,"Sostenimiento Mayor")))</f>
        <v>0</v>
      </c>
      <c r="AN171" s="2921"/>
      <c r="AO171" s="2920"/>
      <c r="AP171" s="2920"/>
      <c r="AQ171" s="2920"/>
      <c r="AR171" s="2920"/>
      <c r="AS171" s="2920"/>
      <c r="AT171" s="2920"/>
      <c r="AU171" s="2922"/>
      <c r="AV171" s="2922"/>
      <c r="AW171" s="2922"/>
      <c r="AX171" s="2922"/>
      <c r="AY171" s="2920"/>
    </row>
    <row r="172" spans="1:51" ht="12.2" customHeight="1" x14ac:dyDescent="0.2">
      <c r="A172" s="2360"/>
      <c r="B172" s="2252">
        <f t="shared" si="35"/>
        <v>5</v>
      </c>
      <c r="C172" s="4508"/>
      <c r="D172" s="4386" t="s">
        <v>1553</v>
      </c>
      <c r="E172" s="4387"/>
      <c r="F172" s="4387"/>
      <c r="G172" s="4387"/>
      <c r="H172" s="4387"/>
      <c r="I172" s="4387"/>
      <c r="J172" s="4387"/>
      <c r="K172" s="4387"/>
      <c r="L172" s="4387"/>
      <c r="M172" s="4387"/>
      <c r="N172" s="4387"/>
      <c r="O172" s="4387"/>
      <c r="P172" s="4387"/>
      <c r="Q172" s="4387"/>
      <c r="R172" s="4387"/>
      <c r="S172" s="4387"/>
      <c r="T172" s="4387"/>
      <c r="U172" s="4387"/>
      <c r="V172" s="4387"/>
      <c r="W172" s="4387"/>
      <c r="X172" s="4387"/>
      <c r="Y172" s="4387"/>
      <c r="Z172" s="4387"/>
      <c r="AA172" s="4387"/>
      <c r="AB172" s="4387"/>
      <c r="AC172" s="4387"/>
      <c r="AD172" s="4387"/>
      <c r="AE172" s="4387"/>
      <c r="AF172" s="4387"/>
      <c r="AG172" s="4442"/>
      <c r="AH172" s="2369"/>
      <c r="AI172" s="4511"/>
      <c r="AJ172" s="2920" t="s">
        <v>9528</v>
      </c>
      <c r="AK172" s="2920"/>
      <c r="AL172" s="2920"/>
      <c r="AM172" s="292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20"/>
      <c r="AO172" s="2920"/>
      <c r="AP172" s="2920"/>
      <c r="AQ172" s="2921"/>
      <c r="AR172" s="2920"/>
      <c r="AS172" s="2920"/>
      <c r="AT172" s="2920"/>
      <c r="AU172" s="2922"/>
      <c r="AV172" s="2922"/>
      <c r="AW172" s="2922"/>
      <c r="AX172" s="2922"/>
      <c r="AY172" s="2920"/>
    </row>
    <row r="173" spans="1:51" ht="12.2" customHeight="1" x14ac:dyDescent="0.2">
      <c r="A173" s="2360"/>
      <c r="B173" s="2252">
        <f t="shared" si="35"/>
        <v>5</v>
      </c>
      <c r="C173" s="4508"/>
      <c r="D173" s="4443"/>
      <c r="E173" s="4461"/>
      <c r="F173" s="4461"/>
      <c r="G173" s="4461"/>
      <c r="H173" s="4461"/>
      <c r="I173" s="4461"/>
      <c r="J173" s="4461"/>
      <c r="K173" s="4461"/>
      <c r="L173" s="4461"/>
      <c r="M173" s="4461"/>
      <c r="N173" s="4461"/>
      <c r="O173" s="4461"/>
      <c r="P173" s="4461"/>
      <c r="Q173" s="4461"/>
      <c r="R173" s="4461"/>
      <c r="S173" s="4461"/>
      <c r="T173" s="4461"/>
      <c r="U173" s="4461"/>
      <c r="V173" s="4461"/>
      <c r="W173" s="4461"/>
      <c r="X173" s="4461"/>
      <c r="Y173" s="4461"/>
      <c r="Z173" s="4461"/>
      <c r="AA173" s="4461"/>
      <c r="AB173" s="4461"/>
      <c r="AC173" s="4461"/>
      <c r="AD173" s="4461"/>
      <c r="AE173" s="4461"/>
      <c r="AF173" s="4461"/>
      <c r="AG173" s="4445"/>
      <c r="AH173" s="2369"/>
      <c r="AI173" s="4511"/>
      <c r="AJ173" s="2920" t="s">
        <v>9536</v>
      </c>
      <c r="AK173" s="2920"/>
      <c r="AL173" s="2920"/>
      <c r="AM173" s="292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20"/>
      <c r="AO173" s="2920"/>
      <c r="AP173" s="2920"/>
      <c r="AQ173" s="2921"/>
      <c r="AR173" s="2920"/>
      <c r="AS173" s="2920"/>
      <c r="AT173" s="2920"/>
      <c r="AU173" s="2922"/>
      <c r="AV173" s="2922"/>
      <c r="AW173" s="2922"/>
      <c r="AX173" s="2922"/>
      <c r="AY173" s="2920"/>
    </row>
    <row r="174" spans="1:51" ht="12.2" customHeight="1" x14ac:dyDescent="0.2">
      <c r="A174" s="2360"/>
      <c r="B174" s="2252">
        <f t="shared" si="35"/>
        <v>5</v>
      </c>
      <c r="C174" s="4508"/>
      <c r="D174" s="4443"/>
      <c r="E174" s="4461"/>
      <c r="F174" s="4461"/>
      <c r="G174" s="4461"/>
      <c r="H174" s="4461"/>
      <c r="I174" s="4461"/>
      <c r="J174" s="4461"/>
      <c r="K174" s="4461"/>
      <c r="L174" s="4461"/>
      <c r="M174" s="4461"/>
      <c r="N174" s="4461"/>
      <c r="O174" s="4461"/>
      <c r="P174" s="4461"/>
      <c r="Q174" s="4461"/>
      <c r="R174" s="4461"/>
      <c r="S174" s="4461"/>
      <c r="T174" s="4461"/>
      <c r="U174" s="4461"/>
      <c r="V174" s="4461"/>
      <c r="W174" s="4461"/>
      <c r="X174" s="4461"/>
      <c r="Y174" s="4461"/>
      <c r="Z174" s="4461"/>
      <c r="AA174" s="4461"/>
      <c r="AB174" s="4461"/>
      <c r="AC174" s="4461"/>
      <c r="AD174" s="4461"/>
      <c r="AE174" s="4461"/>
      <c r="AF174" s="4461"/>
      <c r="AG174" s="4445"/>
      <c r="AH174" s="2369"/>
      <c r="AI174" s="4511"/>
      <c r="AJ174" s="2920" t="s">
        <v>9515</v>
      </c>
      <c r="AK174" s="2920"/>
      <c r="AL174" s="2920"/>
      <c r="AM174" s="2920" t="b">
        <f>AND((IF(SUM(V152:V156)&gt;0,1,0)+IF(SUM(X152:X156)&gt;0,1,0)+IF(SUM(Z152:Z156)&gt;0,1,0)+IF(SUM(AB152:AB156)&gt;0,1,0)+IF(SUM(AD152:AD156,)&gt;0,1,0)+IF(SUM(AF152:AF156)&gt;0,1,0))&lt;3,OR(V159&lt;0,X159&lt;0,Z159&lt;0,AB159&lt;0,AD159&lt;0,AF159&lt;0,Y157&lt;0))</f>
        <v>0</v>
      </c>
      <c r="AN174" s="2920"/>
      <c r="AO174" s="2920"/>
      <c r="AP174" s="2920"/>
      <c r="AQ174" s="2921"/>
      <c r="AR174" s="2920"/>
      <c r="AS174" s="2920"/>
      <c r="AT174" s="2920"/>
      <c r="AU174" s="2922"/>
      <c r="AV174" s="2922"/>
      <c r="AW174" s="2922"/>
      <c r="AX174" s="2922"/>
      <c r="AY174" s="2920"/>
    </row>
    <row r="175" spans="1:51" ht="12.2" customHeight="1" x14ac:dyDescent="0.2">
      <c r="A175" s="2360"/>
      <c r="B175" s="2252">
        <f t="shared" si="35"/>
        <v>5</v>
      </c>
      <c r="C175" s="4508"/>
      <c r="D175" s="4443"/>
      <c r="E175" s="4461"/>
      <c r="F175" s="4461"/>
      <c r="G175" s="4461"/>
      <c r="H175" s="4461"/>
      <c r="I175" s="4461"/>
      <c r="J175" s="4461"/>
      <c r="K175" s="4461"/>
      <c r="L175" s="4461"/>
      <c r="M175" s="4461"/>
      <c r="N175" s="4461"/>
      <c r="O175" s="4461"/>
      <c r="P175" s="4461"/>
      <c r="Q175" s="4461"/>
      <c r="R175" s="4461"/>
      <c r="S175" s="4461"/>
      <c r="T175" s="4461"/>
      <c r="U175" s="4461"/>
      <c r="V175" s="4461"/>
      <c r="W175" s="4461"/>
      <c r="X175" s="4461"/>
      <c r="Y175" s="4461"/>
      <c r="Z175" s="4461"/>
      <c r="AA175" s="4461"/>
      <c r="AB175" s="4461"/>
      <c r="AC175" s="4461"/>
      <c r="AD175" s="4461"/>
      <c r="AE175" s="4461"/>
      <c r="AF175" s="4461"/>
      <c r="AG175" s="4445"/>
      <c r="AH175" s="2369"/>
      <c r="AI175" s="4511"/>
      <c r="AJ175" s="2920" t="s">
        <v>9530</v>
      </c>
      <c r="AK175" s="2920"/>
      <c r="AL175" s="2920"/>
      <c r="AM175" s="2920" t="b">
        <f>OR(-V159&gt;TRUNC(SUM(V152:V156)/2),-X159&gt;TRUNC(SUM(X152:X156)/2),-Z159&gt;TRUNC(SUM(Z152:Z156)/2),-AB159&gt;TRUNC(SUM(AB152:AB156)/2),-AD159&gt;TRUNC(SUM(AD152:AD156)/2),-AF159&gt;TRUNC(SUM(AF152:AF156)/2))</f>
        <v>0</v>
      </c>
      <c r="AN175" s="2920"/>
      <c r="AO175" s="2920"/>
      <c r="AP175" s="2920"/>
      <c r="AQ175" s="2921"/>
      <c r="AR175" s="2920"/>
      <c r="AS175" s="2920"/>
      <c r="AT175" s="2920"/>
      <c r="AU175" s="2922"/>
      <c r="AV175" s="2922"/>
      <c r="AW175" s="2922"/>
      <c r="AX175" s="2922"/>
      <c r="AY175" s="2920"/>
    </row>
    <row r="176" spans="1:51" ht="12.2" customHeight="1" x14ac:dyDescent="0.2">
      <c r="A176" s="2360"/>
      <c r="B176" s="2252">
        <f t="shared" si="35"/>
        <v>5</v>
      </c>
      <c r="C176" s="4508"/>
      <c r="D176" s="4443"/>
      <c r="E176" s="4461"/>
      <c r="F176" s="4461"/>
      <c r="G176" s="4461"/>
      <c r="H176" s="4461"/>
      <c r="I176" s="4461"/>
      <c r="J176" s="4461"/>
      <c r="K176" s="4461"/>
      <c r="L176" s="4461"/>
      <c r="M176" s="4461"/>
      <c r="N176" s="4461"/>
      <c r="O176" s="4461"/>
      <c r="P176" s="4461"/>
      <c r="Q176" s="4461"/>
      <c r="R176" s="4461"/>
      <c r="S176" s="4461"/>
      <c r="T176" s="4461"/>
      <c r="U176" s="4461"/>
      <c r="V176" s="4461"/>
      <c r="W176" s="4461"/>
      <c r="X176" s="4461"/>
      <c r="Y176" s="4461"/>
      <c r="Z176" s="4461"/>
      <c r="AA176" s="4461"/>
      <c r="AB176" s="4461"/>
      <c r="AC176" s="4461"/>
      <c r="AD176" s="4461"/>
      <c r="AE176" s="4461"/>
      <c r="AF176" s="4461"/>
      <c r="AG176" s="4445"/>
      <c r="AH176" s="2369"/>
      <c r="AI176" s="4511"/>
      <c r="AJ176" s="2920" t="s">
        <v>9531</v>
      </c>
      <c r="AK176" s="2920"/>
      <c r="AL176" s="2920"/>
      <c r="AM176" s="2920" t="b">
        <f>COUNTIF(D152:E156,"Primario")&gt;1</f>
        <v>0</v>
      </c>
      <c r="AN176" s="2920"/>
      <c r="AO176" s="2920"/>
      <c r="AP176" s="2920"/>
      <c r="AQ176" s="2921"/>
      <c r="AR176" s="2921"/>
      <c r="AS176" s="2921"/>
      <c r="AT176" s="2921"/>
      <c r="AU176" s="2922"/>
      <c r="AV176" s="2922"/>
      <c r="AW176" s="2922"/>
      <c r="AX176" s="2920"/>
      <c r="AY176" s="2920"/>
    </row>
    <row r="177" spans="1:51" ht="12.2" customHeight="1" x14ac:dyDescent="0.2">
      <c r="A177" s="2360"/>
      <c r="B177" s="2252">
        <f t="shared" si="35"/>
        <v>5</v>
      </c>
      <c r="C177" s="4508"/>
      <c r="D177" s="4443"/>
      <c r="E177" s="4461"/>
      <c r="F177" s="4461"/>
      <c r="G177" s="4461"/>
      <c r="H177" s="4461"/>
      <c r="I177" s="4461"/>
      <c r="J177" s="4461"/>
      <c r="K177" s="4461"/>
      <c r="L177" s="4461"/>
      <c r="M177" s="4461"/>
      <c r="N177" s="4461"/>
      <c r="O177" s="4461"/>
      <c r="P177" s="4461"/>
      <c r="Q177" s="4461"/>
      <c r="R177" s="4461"/>
      <c r="S177" s="4461"/>
      <c r="T177" s="4461"/>
      <c r="U177" s="4461"/>
      <c r="V177" s="4461"/>
      <c r="W177" s="4461"/>
      <c r="X177" s="4461"/>
      <c r="Y177" s="4461"/>
      <c r="Z177" s="4461"/>
      <c r="AA177" s="4461"/>
      <c r="AB177" s="4461"/>
      <c r="AC177" s="4461"/>
      <c r="AD177" s="4461"/>
      <c r="AE177" s="4461"/>
      <c r="AF177" s="4461"/>
      <c r="AG177" s="4445"/>
      <c r="AH177" s="2369"/>
      <c r="AI177" s="4511"/>
      <c r="AJ177" s="2920" t="s">
        <v>9514</v>
      </c>
      <c r="AK177" s="2920"/>
      <c r="AL177" s="2920"/>
      <c r="AM177" s="2920" t="b">
        <f>SUM(V159:AG159)&lt;&gt;Y157+ABS(AC157)*2/5+IF(S148="Si",3*P148,0)</f>
        <v>0</v>
      </c>
      <c r="AN177" s="2920"/>
      <c r="AO177" s="2920"/>
      <c r="AP177" s="2920"/>
      <c r="AQ177" s="2921"/>
      <c r="AR177" s="2921"/>
      <c r="AS177" s="2921"/>
      <c r="AT177" s="2921"/>
      <c r="AU177" s="2922"/>
      <c r="AV177" s="2922"/>
      <c r="AW177" s="2922"/>
      <c r="AX177" s="2920"/>
      <c r="AY177" s="2920"/>
    </row>
    <row r="178" spans="1:51" ht="12.2" customHeight="1" x14ac:dyDescent="0.2">
      <c r="A178" s="2360"/>
      <c r="B178" s="2252">
        <f t="shared" si="35"/>
        <v>5</v>
      </c>
      <c r="C178" s="4508"/>
      <c r="D178" s="4443"/>
      <c r="E178" s="4461"/>
      <c r="F178" s="4461"/>
      <c r="G178" s="4461"/>
      <c r="H178" s="4461"/>
      <c r="I178" s="4461"/>
      <c r="J178" s="4461"/>
      <c r="K178" s="4461"/>
      <c r="L178" s="4461"/>
      <c r="M178" s="4461"/>
      <c r="N178" s="4461"/>
      <c r="O178" s="4461"/>
      <c r="P178" s="4461"/>
      <c r="Q178" s="4461"/>
      <c r="R178" s="4461"/>
      <c r="S178" s="4461"/>
      <c r="T178" s="4461"/>
      <c r="U178" s="4461"/>
      <c r="V178" s="4461"/>
      <c r="W178" s="4461"/>
      <c r="X178" s="4461"/>
      <c r="Y178" s="4461"/>
      <c r="Z178" s="4461"/>
      <c r="AA178" s="4461"/>
      <c r="AB178" s="4461"/>
      <c r="AC178" s="4461"/>
      <c r="AD178" s="4461"/>
      <c r="AE178" s="4461"/>
      <c r="AF178" s="4461"/>
      <c r="AG178" s="4445"/>
      <c r="AH178" s="2369"/>
      <c r="AI178" s="4511"/>
      <c r="AJ178" s="2920" t="s">
        <v>9513</v>
      </c>
      <c r="AK178" s="2920"/>
      <c r="AL178" s="2920"/>
      <c r="AM178" s="2920" t="b">
        <f>AL165-AL166+AM165-AM166&lt;&gt;0</f>
        <v>0</v>
      </c>
      <c r="AN178" s="2922"/>
      <c r="AO178" s="2922"/>
      <c r="AP178" s="2922"/>
      <c r="AQ178" s="2922"/>
      <c r="AR178" s="2921"/>
      <c r="AS178" s="2921"/>
      <c r="AT178" s="2921"/>
      <c r="AU178" s="2922"/>
      <c r="AV178" s="2922"/>
      <c r="AW178" s="2922"/>
      <c r="AX178" s="2920"/>
      <c r="AY178" s="2920"/>
    </row>
    <row r="179" spans="1:51" ht="12.2" customHeight="1" thickBot="1" x14ac:dyDescent="0.25">
      <c r="A179" s="2360"/>
      <c r="B179" s="2252"/>
      <c r="C179" s="4509"/>
      <c r="D179" s="451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13"/>
      <c r="F179" s="4513"/>
      <c r="G179" s="4513"/>
      <c r="H179" s="4513"/>
      <c r="I179" s="4513"/>
      <c r="J179" s="4513"/>
      <c r="K179" s="4513"/>
      <c r="L179" s="4513"/>
      <c r="M179" s="4513"/>
      <c r="N179" s="4513"/>
      <c r="O179" s="4513"/>
      <c r="P179" s="4513"/>
      <c r="Q179" s="4513"/>
      <c r="R179" s="4513"/>
      <c r="S179" s="4513"/>
      <c r="T179" s="4513"/>
      <c r="U179" s="4513"/>
      <c r="V179" s="4513"/>
      <c r="W179" s="4513"/>
      <c r="X179" s="4513"/>
      <c r="Y179" s="4513"/>
      <c r="Z179" s="4513"/>
      <c r="AA179" s="4513"/>
      <c r="AB179" s="4513"/>
      <c r="AC179" s="4513"/>
      <c r="AD179" s="4513"/>
      <c r="AE179" s="4513"/>
      <c r="AF179" s="4513"/>
      <c r="AG179" s="4514"/>
      <c r="AH179" s="2369"/>
      <c r="AI179" s="4511"/>
      <c r="AJ179" s="2920" t="s">
        <v>9550</v>
      </c>
      <c r="AK179" s="2922"/>
      <c r="AL179" s="2922"/>
      <c r="AM179" s="2922" t="b">
        <f>ABS(SUM(N157:N159))&gt;(SUM(N152:N156)-10*Y157+AC157+IF(S148="Si",10*P148,0)+IF(COUNTIF(K152:M156,"Mantenido")&gt;0,P148*10)+MAX(IF(COUNTIF(K152:M156,"Sostenimiento Menor")&gt;0,P148*20)+IF(COUNTIF(K152:M156,"Sostenimiento Mayor")&gt;0,P148*30)))/2</f>
        <v>0</v>
      </c>
      <c r="AN179" s="2920"/>
      <c r="AO179" s="2920"/>
      <c r="AP179" s="2920"/>
      <c r="AQ179" s="2920"/>
      <c r="AR179" s="2921"/>
      <c r="AS179" s="2921"/>
      <c r="AT179" s="2921"/>
      <c r="AU179" s="2922"/>
      <c r="AV179" s="2922"/>
      <c r="AW179" s="2922"/>
      <c r="AX179" s="2920"/>
      <c r="AY179" s="2920"/>
    </row>
    <row r="180" spans="1:51" ht="12.2" customHeight="1" x14ac:dyDescent="0.2">
      <c r="A180" s="2360"/>
      <c r="B180" s="2252"/>
      <c r="C180" s="4391"/>
      <c r="D180" s="4463" t="str">
        <f>IFERROR(VLOOKUP(D161,'Tablas Técnicas'!$O$9:$T$88,2,FALSE),"")</f>
        <v/>
      </c>
      <c r="E180" s="4463"/>
      <c r="F180" s="4463"/>
      <c r="G180" s="4463"/>
      <c r="H180" s="4463"/>
      <c r="I180" s="4463"/>
      <c r="J180" s="4463" t="str">
        <f>IFERROR(VLOOKUP(J161,'Tablas Técnicas'!$O$9:$T$88,2,FALSE),"")</f>
        <v/>
      </c>
      <c r="K180" s="4463"/>
      <c r="L180" s="4463"/>
      <c r="M180" s="4463"/>
      <c r="N180" s="4463"/>
      <c r="O180" s="4463"/>
      <c r="P180" s="4463" t="str">
        <f>IFERROR(VLOOKUP(P161,'Tablas Técnicas'!$O$9:$T$88,2,FALSE),"")</f>
        <v/>
      </c>
      <c r="Q180" s="4463"/>
      <c r="R180" s="4463"/>
      <c r="S180" s="4463"/>
      <c r="T180" s="4463"/>
      <c r="U180" s="4463"/>
      <c r="V180" s="4463" t="str">
        <f>IFERROR(VLOOKUP(V161,'Tablas Técnicas'!$O$9:$T$88,2,FALSE),"")</f>
        <v/>
      </c>
      <c r="W180" s="4463"/>
      <c r="X180" s="4463"/>
      <c r="Y180" s="4463"/>
      <c r="Z180" s="4463"/>
      <c r="AA180" s="4463"/>
      <c r="AB180" s="4463" t="str">
        <f>IFERROR(VLOOKUP(AB161,'Tablas Técnicas'!$O$9:$T$88,2,FALSE),"")</f>
        <v/>
      </c>
      <c r="AC180" s="4463"/>
      <c r="AD180" s="4463"/>
      <c r="AE180" s="4463"/>
      <c r="AF180" s="4463"/>
      <c r="AG180" s="4463"/>
      <c r="AH180" s="2369"/>
      <c r="AI180" s="2073"/>
      <c r="AJ180" s="2920"/>
      <c r="AK180" s="2920"/>
      <c r="AL180" s="2920"/>
      <c r="AM180" s="2920"/>
      <c r="AN180" s="2920"/>
      <c r="AO180" s="2920"/>
      <c r="AP180" s="2920"/>
      <c r="AQ180" s="2920"/>
      <c r="AR180" s="2921"/>
      <c r="AS180" s="2921"/>
      <c r="AT180" s="2921"/>
      <c r="AU180" s="2922"/>
      <c r="AV180" s="2922"/>
      <c r="AW180" s="2922"/>
      <c r="AX180" s="2922"/>
      <c r="AY180" s="2920"/>
    </row>
    <row r="181" spans="1:51" s="2787" customFormat="1" ht="12.2" customHeight="1" thickBot="1" x14ac:dyDescent="0.25">
      <c r="A181" s="2360"/>
      <c r="B181" s="2253"/>
      <c r="C181" s="4404"/>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20"/>
      <c r="AK181" s="2920"/>
      <c r="AL181" s="2920"/>
      <c r="AM181" s="2920"/>
      <c r="AN181" s="2920"/>
      <c r="AO181" s="2920"/>
      <c r="AP181" s="2920"/>
      <c r="AQ181" s="2920"/>
      <c r="AR181" s="2921"/>
      <c r="AS181" s="2921"/>
      <c r="AT181" s="2921"/>
      <c r="AU181" s="2922"/>
      <c r="AV181" s="2922"/>
      <c r="AW181" s="2922"/>
      <c r="AX181" s="2922"/>
      <c r="AY181" s="2920"/>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28"/>
      <c r="AK182" s="2928"/>
      <c r="AL182" s="2928"/>
      <c r="AM182" s="2928"/>
      <c r="AN182" s="2928"/>
      <c r="AO182" s="2928"/>
      <c r="AP182" s="2920"/>
      <c r="AQ182" s="2921"/>
      <c r="AR182" s="2922"/>
      <c r="AS182" s="2922"/>
      <c r="AT182" s="2922"/>
      <c r="AU182" s="2922"/>
      <c r="AV182" s="2922"/>
      <c r="AW182" s="2922"/>
      <c r="AX182" s="2922"/>
      <c r="AY182" s="2929"/>
    </row>
    <row r="183" spans="1:51" ht="12.2" customHeight="1" x14ac:dyDescent="0.2">
      <c r="A183" s="2360"/>
      <c r="B183" s="2252">
        <f t="shared" ref="B183:B213" si="44">1+B148</f>
        <v>6</v>
      </c>
      <c r="C183" s="4507" t="str">
        <f>"Técnica "&amp;B183</f>
        <v>Técnica 6</v>
      </c>
      <c r="D183" s="4497" t="s">
        <v>8918</v>
      </c>
      <c r="E183" s="4498"/>
      <c r="F183" s="4498"/>
      <c r="G183" s="4498"/>
      <c r="H183" s="4498"/>
      <c r="I183" s="4498"/>
      <c r="J183" s="4498"/>
      <c r="K183" s="4498"/>
      <c r="L183" s="4498"/>
      <c r="M183" s="4498"/>
      <c r="N183" s="4499"/>
      <c r="O183" s="4458" t="s">
        <v>1328</v>
      </c>
      <c r="P183" s="4460">
        <v>1</v>
      </c>
      <c r="Q183" s="4377" t="s">
        <v>9002</v>
      </c>
      <c r="R183" s="4453"/>
      <c r="S183" s="4455" t="s">
        <v>1384</v>
      </c>
      <c r="T183" s="4378" t="s">
        <v>1509</v>
      </c>
      <c r="U183" s="4440">
        <f>MAX(IF(P183=3,60,IF(P183=2,40,20)),MIN(SUM(N187:N194)-10*Y192+AC192+IF(S183="Si",10*P183,0)+IF(COUNTIF(K187:M191,"Mantenido")&gt;0,P183*10)+MAX(IF(COUNTIF(K187:M191,"Sostenimiento Menor")&gt;0,P183*20)+IF(COUNTIF(K187:M191,"Sostenimiento Mayor")&gt;0,P183*30))))</f>
        <v>20</v>
      </c>
      <c r="V183" s="4377" t="s">
        <v>9003</v>
      </c>
      <c r="W183" s="4378"/>
      <c r="X183" s="4381" t="str">
        <f>IFERROR(LEFT(AK199&amp;AL199&amp;AM199&amp;AN199&amp;AO199&amp;AP199,LEN(AK199&amp;AL199&amp;AM199&amp;AN199&amp;AO199&amp;AP199)-2),"")</f>
        <v/>
      </c>
      <c r="Y183" s="4381"/>
      <c r="Z183" s="4381"/>
      <c r="AA183" s="4381"/>
      <c r="AB183" s="4381"/>
      <c r="AC183" s="4381"/>
      <c r="AD183" s="4381"/>
      <c r="AE183" s="4381"/>
      <c r="AF183" s="4381"/>
      <c r="AG183" s="4382"/>
      <c r="AH183" s="2369"/>
      <c r="AI183" s="4511"/>
      <c r="AJ183" s="2925" t="s">
        <v>9547</v>
      </c>
      <c r="AK183" s="2925"/>
      <c r="AL183" s="2925"/>
      <c r="AM183" s="2925"/>
      <c r="AN183" s="2925"/>
      <c r="AO183" s="2925"/>
      <c r="AP183" s="2925"/>
      <c r="AQ183" s="2925"/>
      <c r="AR183" s="2925"/>
      <c r="AS183" s="2920"/>
      <c r="AT183" s="2920"/>
      <c r="AU183" s="2920"/>
      <c r="AV183" s="2920"/>
      <c r="AW183" s="2922"/>
      <c r="AX183" s="2922"/>
      <c r="AY183" s="2920"/>
    </row>
    <row r="184" spans="1:51" ht="12.2" customHeight="1" x14ac:dyDescent="0.2">
      <c r="A184" s="2360"/>
      <c r="B184" s="2252">
        <f t="shared" si="44"/>
        <v>6</v>
      </c>
      <c r="C184" s="4508"/>
      <c r="D184" s="4500"/>
      <c r="E184" s="4520"/>
      <c r="F184" s="4520"/>
      <c r="G184" s="4520"/>
      <c r="H184" s="4520"/>
      <c r="I184" s="4520"/>
      <c r="J184" s="4520"/>
      <c r="K184" s="4520"/>
      <c r="L184" s="4520"/>
      <c r="M184" s="4520"/>
      <c r="N184" s="4521"/>
      <c r="O184" s="4459"/>
      <c r="P184" s="4456"/>
      <c r="Q184" s="4379"/>
      <c r="R184" s="4454"/>
      <c r="S184" s="4456"/>
      <c r="T184" s="4457"/>
      <c r="U184" s="4441"/>
      <c r="V184" s="4379"/>
      <c r="W184" s="4457"/>
      <c r="X184" s="4522"/>
      <c r="Y184" s="4522"/>
      <c r="Z184" s="4522"/>
      <c r="AA184" s="4522"/>
      <c r="AB184" s="4522"/>
      <c r="AC184" s="4522"/>
      <c r="AD184" s="4522"/>
      <c r="AE184" s="4522"/>
      <c r="AF184" s="4522"/>
      <c r="AG184" s="4384"/>
      <c r="AH184" s="2369"/>
      <c r="AI184" s="4511"/>
      <c r="AJ184" s="2925"/>
      <c r="AK184" s="2925" t="s">
        <v>9548</v>
      </c>
      <c r="AL184" s="2925" t="s">
        <v>10268</v>
      </c>
      <c r="AM184" s="2926"/>
      <c r="AN184" s="2926"/>
      <c r="AO184" s="2926"/>
      <c r="AP184" s="2926"/>
      <c r="AQ184" s="2926"/>
      <c r="AR184" s="2925"/>
      <c r="AS184" s="2920"/>
      <c r="AT184" s="2920"/>
      <c r="AU184" s="2920"/>
      <c r="AV184" s="2920"/>
      <c r="AW184" s="2922"/>
      <c r="AX184" s="4510" t="s">
        <v>9517</v>
      </c>
      <c r="AY184" s="4510"/>
    </row>
    <row r="185" spans="1:51" ht="12.2" customHeight="1" x14ac:dyDescent="0.2">
      <c r="A185" s="2360"/>
      <c r="B185" s="2252">
        <f t="shared" si="44"/>
        <v>6</v>
      </c>
      <c r="C185" s="4508"/>
      <c r="D185" s="4386" t="s">
        <v>2858</v>
      </c>
      <c r="E185" s="4387"/>
      <c r="F185" s="4387"/>
      <c r="G185" s="4387"/>
      <c r="H185" s="4387"/>
      <c r="I185" s="4387"/>
      <c r="J185" s="4387"/>
      <c r="K185" s="4467" t="s">
        <v>9847</v>
      </c>
      <c r="L185" s="4467"/>
      <c r="M185" s="4467"/>
      <c r="N185" s="4387" t="s">
        <v>1503</v>
      </c>
      <c r="O185" s="4467" t="s">
        <v>2856</v>
      </c>
      <c r="P185" s="4467" t="s">
        <v>9004</v>
      </c>
      <c r="Q185" s="4387" t="s">
        <v>1367</v>
      </c>
      <c r="R185" s="4387"/>
      <c r="S185" s="4387"/>
      <c r="T185" s="4387"/>
      <c r="U185" s="4387"/>
      <c r="V185" s="4376" t="s">
        <v>1376</v>
      </c>
      <c r="W185" s="4354"/>
      <c r="X185" s="4376" t="s">
        <v>1501</v>
      </c>
      <c r="Y185" s="4464"/>
      <c r="Z185" s="4354" t="s">
        <v>1381</v>
      </c>
      <c r="AA185" s="4354"/>
      <c r="AB185" s="4376" t="s">
        <v>1386</v>
      </c>
      <c r="AC185" s="4464"/>
      <c r="AD185" s="4354" t="s">
        <v>1394</v>
      </c>
      <c r="AE185" s="4354"/>
      <c r="AF185" s="4376" t="s">
        <v>1395</v>
      </c>
      <c r="AG185" s="4355"/>
      <c r="AH185" s="2369"/>
      <c r="AI185" s="4511"/>
      <c r="AJ185" s="2920"/>
      <c r="AK185" s="2920"/>
      <c r="AL185" s="2920" t="s">
        <v>9825</v>
      </c>
      <c r="AM185" s="2920"/>
      <c r="AN185" s="2920"/>
      <c r="AO185" s="2920"/>
      <c r="AP185" s="2920"/>
      <c r="AQ185" s="2920"/>
      <c r="AR185" s="2922"/>
      <c r="AS185" s="2922" t="s">
        <v>9537</v>
      </c>
      <c r="AT185" s="2922" t="s">
        <v>9538</v>
      </c>
      <c r="AU185" s="2920" t="s">
        <v>9526</v>
      </c>
      <c r="AV185" s="2920" t="s">
        <v>9527</v>
      </c>
      <c r="AW185" s="2922" t="s">
        <v>1503</v>
      </c>
      <c r="AX185" s="2922" t="s">
        <v>9006</v>
      </c>
      <c r="AY185" s="2920" t="s">
        <v>9007</v>
      </c>
    </row>
    <row r="186" spans="1:51" ht="12.2" customHeight="1" x14ac:dyDescent="0.2">
      <c r="A186" s="2360"/>
      <c r="B186" s="2252">
        <f t="shared" si="44"/>
        <v>6</v>
      </c>
      <c r="C186" s="4508"/>
      <c r="D186" s="4515"/>
      <c r="E186" s="4516"/>
      <c r="F186" s="4516"/>
      <c r="G186" s="4516"/>
      <c r="H186" s="4516"/>
      <c r="I186" s="4516"/>
      <c r="J186" s="4516"/>
      <c r="K186" s="4517"/>
      <c r="L186" s="4517"/>
      <c r="M186" s="4517"/>
      <c r="N186" s="4518"/>
      <c r="O186" s="4517"/>
      <c r="P186" s="4519"/>
      <c r="Q186" s="4518"/>
      <c r="R186" s="4518"/>
      <c r="S186" s="4518"/>
      <c r="T186" s="4518"/>
      <c r="U186" s="4518"/>
      <c r="V186" s="2257" t="s">
        <v>9516</v>
      </c>
      <c r="W186" s="2361" t="s">
        <v>2862</v>
      </c>
      <c r="X186" s="2257" t="s">
        <v>9516</v>
      </c>
      <c r="Y186" s="2361" t="s">
        <v>2862</v>
      </c>
      <c r="Z186" s="2257" t="s">
        <v>9516</v>
      </c>
      <c r="AA186" s="2361" t="s">
        <v>2862</v>
      </c>
      <c r="AB186" s="2257" t="s">
        <v>9516</v>
      </c>
      <c r="AC186" s="2361" t="s">
        <v>2862</v>
      </c>
      <c r="AD186" s="2257" t="s">
        <v>9516</v>
      </c>
      <c r="AE186" s="2361" t="s">
        <v>2862</v>
      </c>
      <c r="AF186" s="2257" t="s">
        <v>9516</v>
      </c>
      <c r="AG186" s="2080" t="s">
        <v>2862</v>
      </c>
      <c r="AH186" s="2369"/>
      <c r="AI186" s="4511"/>
      <c r="AJ186" s="2920"/>
      <c r="AK186" s="2920" t="s">
        <v>9518</v>
      </c>
      <c r="AL186" s="2920">
        <v>1</v>
      </c>
      <c r="AM186" s="2920">
        <v>2</v>
      </c>
      <c r="AN186" s="2920">
        <v>3</v>
      </c>
      <c r="AO186" s="2920">
        <v>4</v>
      </c>
      <c r="AP186" s="2920">
        <v>5</v>
      </c>
      <c r="AQ186" s="2920">
        <v>6</v>
      </c>
      <c r="AR186" s="2920">
        <v>7</v>
      </c>
      <c r="AS186" s="2922"/>
      <c r="AT186" s="2920" t="s">
        <v>9549</v>
      </c>
      <c r="AU186" s="2922"/>
      <c r="AV186" s="2922"/>
      <c r="AW186" s="2922" t="s">
        <v>9549</v>
      </c>
      <c r="AX186" s="2922"/>
      <c r="AY186" s="2920"/>
    </row>
    <row r="187" spans="1:51" ht="12.2" customHeight="1" x14ac:dyDescent="0.2">
      <c r="A187" s="2360"/>
      <c r="B187" s="2252">
        <f t="shared" si="44"/>
        <v>6</v>
      </c>
      <c r="C187" s="4508"/>
      <c r="D187" s="4486" t="s">
        <v>9008</v>
      </c>
      <c r="E187" s="4487"/>
      <c r="F187" s="4488"/>
      <c r="G187" s="4489"/>
      <c r="H187" s="4489"/>
      <c r="I187" s="4489"/>
      <c r="J187" s="4411"/>
      <c r="K187" s="4490" t="s">
        <v>1459</v>
      </c>
      <c r="L187" s="4491"/>
      <c r="M187" s="4492"/>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93" t="str">
        <f>IFERROR(VLOOKUP(F187,'Tablas Técnicas'!$O$9:$T$88,5,FALSE),"")</f>
        <v/>
      </c>
      <c r="R187" s="4493"/>
      <c r="S187" s="4493"/>
      <c r="T187" s="4493"/>
      <c r="U187" s="4493"/>
      <c r="V187" s="2208"/>
      <c r="W187" s="2209"/>
      <c r="X187" s="2208"/>
      <c r="Y187" s="2210"/>
      <c r="Z187" s="2211"/>
      <c r="AA187" s="2209"/>
      <c r="AB187" s="2208"/>
      <c r="AC187" s="2210"/>
      <c r="AD187" s="2211"/>
      <c r="AE187" s="2209"/>
      <c r="AF187" s="2208"/>
      <c r="AG187" s="2212"/>
      <c r="AH187" s="2369"/>
      <c r="AI187" s="4511"/>
      <c r="AJ187" s="2920">
        <v>1</v>
      </c>
      <c r="AK187" s="2920">
        <f>P183</f>
        <v>1</v>
      </c>
      <c r="AL187" s="2920" t="str">
        <f>IF(AND(ISNUMBER(MATCH($F187,'Tablas Técnicas'!$L$10:$L$643,0)),INDEX($D200:$D206,Tablas!A$1)="",COUNTIF(AM187:$AS187,$F187)=0),$F187,IF(INDEX($D200:$D206,Tablas!A$1)="","",$F187&amp;INDEX($D200:$D206,Tablas!A$1)))</f>
        <v/>
      </c>
      <c r="AM187" s="2920" t="str">
        <f>IF(AND(ISNUMBER(MATCH($F187,'Tablas Técnicas'!$L$10:$L$643,0)),INDEX($D200:$D206,Tablas!B$1)="",COUNTIF(AN187:$AS187,$F187)=0),$F187,IF(INDEX($D200:$D206,Tablas!B$1)="","",$F187&amp;INDEX($D200:$D206,Tablas!B$1)))</f>
        <v/>
      </c>
      <c r="AN187" s="2920" t="str">
        <f>IF(AND(ISNUMBER(MATCH($F187,'Tablas Técnicas'!$L$10:$L$643,0)),INDEX($D200:$D206,Tablas!C$1)="",COUNTIF(AO187:$AS187,$F187)=0),$F187,IF(INDEX($D200:$D206,Tablas!C$1)="","",$F187&amp;INDEX($D200:$D206,Tablas!C$1)))</f>
        <v/>
      </c>
      <c r="AO187" s="2920" t="str">
        <f>IF(AND(ISNUMBER(MATCH($F187,'Tablas Técnicas'!$L$10:$L$643,0)),INDEX($D200:$D206,Tablas!D$1)="",COUNTIF(AP187:$AS187,$F187)=0),$F187,IF(INDEX($D200:$D206,Tablas!D$1)="","",$F187&amp;INDEX($D200:$D206,Tablas!D$1)))</f>
        <v/>
      </c>
      <c r="AP187" s="2920" t="str">
        <f>IF(AND(ISNUMBER(MATCH($F187,'Tablas Técnicas'!$L$10:$L$643,0)),INDEX($D200:$D206,Tablas!E$1)="",COUNTIF(AQ187:$AS187,$F187)=0),$F187,IF(INDEX($D200:$D206,Tablas!E$1)="","",$F187&amp;INDEX($D200:$D206,Tablas!E$1)))</f>
        <v/>
      </c>
      <c r="AQ187" s="2920" t="str">
        <f>IF(AND(ISNUMBER(MATCH($F187,'Tablas Técnicas'!$L$10:$L$643,0)),INDEX($D200:$D206,Tablas!F$1)="",COUNTIF(AR187:$AS187,$F187)=0),$F187,IF(INDEX($D200:$D206,Tablas!F$1)="","",$F187&amp;INDEX($D200:$D206,Tablas!F$1)))</f>
        <v/>
      </c>
      <c r="AR187" s="2920" t="str">
        <f>IF(AND(ISNUMBER(MATCH($F187,'Tablas Técnicas'!$L$10:$L$643,0)),INDEX($D200:$D206,Tablas!G$1)="",COUNTIF(AS187:$AS187,$F187)=0),$F187,IF(INDEX($D200:$D206,Tablas!G$1)="","",$F187&amp;INDEX($D200:$D206,Tablas!G$1)))</f>
        <v/>
      </c>
      <c r="AS187" s="2922">
        <f>V187+X187+Z187+AB187+AD187+AF187</f>
        <v>0</v>
      </c>
      <c r="AT187" s="2922">
        <f t="array" ref="AT187">SUM(IF($AL187:$AR187='Tablas Técnicas'!$L$10:$L$643,IF(D187="Primario",'Tablas Técnicas'!$E$10:$E$643,'Tablas Técnicas'!$F$10:$F$643)+IF(K187="Sostenimiento menor",'Tablas Técnicas'!$I$10:$I$643,IF(K187="sostenimiento mayor",'Tablas Técnicas'!$J$10:$J$643,0)),0),0)+VALUE(RIGHT(P187,2))+AU187+AV187</f>
        <v>0</v>
      </c>
      <c r="AU187" s="292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22">
        <f>(COUNTIF(AL187:AR187,"*Estado añadido:*")-1)*COUNTIF(AL187:AR187,"*Estado añadido:*")</f>
        <v>0</v>
      </c>
      <c r="AW187" s="2922">
        <f t="array" ref="AW187">SUM(IF($AL187:$AR187='Tablas Técnicas'!$L$10:$L$643,'Tablas Técnicas'!$G$10:$G$643,0))</f>
        <v>0</v>
      </c>
      <c r="AX187" s="2920"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20" t="str">
        <f t="shared" ref="AY187:AY189" si="45">IFERROR(LEFT(AX187,LEN(AX187)-2)&amp;"), ","")</f>
        <v/>
      </c>
    </row>
    <row r="188" spans="1:51" ht="12.2" customHeight="1" x14ac:dyDescent="0.2">
      <c r="A188" s="2360"/>
      <c r="B188" s="2252">
        <f t="shared" si="44"/>
        <v>6</v>
      </c>
      <c r="C188" s="4508"/>
      <c r="D188" s="4392" t="s">
        <v>526</v>
      </c>
      <c r="E188" s="4393"/>
      <c r="F188" s="4473"/>
      <c r="G188" s="4474"/>
      <c r="H188" s="4474"/>
      <c r="I188" s="4474"/>
      <c r="J188" s="4420"/>
      <c r="K188" s="4475" t="s">
        <v>1459</v>
      </c>
      <c r="L188" s="4476"/>
      <c r="M188" s="4477"/>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39" t="str">
        <f>IFERROR(VLOOKUP(F188,'Tablas Técnicas'!$O$9:$T$88,5,FALSE),"")</f>
        <v/>
      </c>
      <c r="R188" s="4439"/>
      <c r="S188" s="4439"/>
      <c r="T188" s="4439"/>
      <c r="U188" s="4439"/>
      <c r="V188" s="2213"/>
      <c r="W188" s="2214"/>
      <c r="X188" s="2213"/>
      <c r="Y188" s="2215"/>
      <c r="Z188" s="2216"/>
      <c r="AA188" s="2214"/>
      <c r="AB188" s="2213"/>
      <c r="AC188" s="2215"/>
      <c r="AD188" s="2216"/>
      <c r="AE188" s="2214"/>
      <c r="AF188" s="2213"/>
      <c r="AG188" s="2217"/>
      <c r="AH188" s="2369"/>
      <c r="AI188" s="4511"/>
      <c r="AJ188" s="2920">
        <v>2</v>
      </c>
      <c r="AK188" s="2920">
        <f>P183</f>
        <v>1</v>
      </c>
      <c r="AL188" s="2920" t="str">
        <f>IF(AND(ISNUMBER(MATCH($F188,'Tablas Técnicas'!$L$10:$L$643,0)),INDEX($J200:$J206,Tablas!A$1)="",COUNTIF(AM188:$AS188,$F188)=0),$F188,IF(INDEX($J200:$J206,Tablas!A$1)="","",$F188&amp;INDEX($J200:$J206,Tablas!A$1)))</f>
        <v/>
      </c>
      <c r="AM188" s="2920" t="str">
        <f>IF(AND(ISNUMBER(MATCH($F188,'Tablas Técnicas'!$L$10:$L$643,0)),INDEX($J200:$J206,Tablas!B$1)="",COUNTIF(AN188:$AS188,$F188)=0),$F188,IF(INDEX($J200:$J206,Tablas!B$1)="","",$F188&amp;INDEX($J200:$J206,Tablas!B$1)))</f>
        <v/>
      </c>
      <c r="AN188" s="2920" t="str">
        <f>IF(AND(ISNUMBER(MATCH($F188,'Tablas Técnicas'!$L$10:$L$643,0)),INDEX($J200:$J206,Tablas!C$1)="",COUNTIF(AO188:$AS188,$F188)=0),$F188,IF(INDEX($J200:$J206,Tablas!C$1)="","",$F188&amp;INDEX($J200:$J206,Tablas!C$1)))</f>
        <v/>
      </c>
      <c r="AO188" s="2920" t="str">
        <f>IF(AND(ISNUMBER(MATCH($F188,'Tablas Técnicas'!$L$10:$L$643,0)),INDEX($J200:$J206,Tablas!D$1)="",COUNTIF(AP188:$AS188,$F188)=0),$F188,IF(INDEX($J200:$J206,Tablas!D$1)="","",$F188&amp;INDEX($J200:$J206,Tablas!D$1)))</f>
        <v/>
      </c>
      <c r="AP188" s="2920" t="str">
        <f>IF(AND(ISNUMBER(MATCH($F188,'Tablas Técnicas'!$L$10:$L$643,0)),INDEX($J200:$J206,Tablas!E$1)="",COUNTIF(AQ188:$AS188,$F188)=0),$F188,IF(INDEX($J200:$J206,Tablas!E$1)="","",$F188&amp;INDEX($J200:$J206,Tablas!E$1)))</f>
        <v/>
      </c>
      <c r="AQ188" s="2920" t="str">
        <f>IF(AND(ISNUMBER(MATCH($F188,'Tablas Técnicas'!$L$10:$L$643,0)),INDEX($J200:$J206,Tablas!F$1)="",COUNTIF(AR188:$AS188,$F188)=0),$F188,IF(INDEX($J200:$J206,Tablas!F$1)="","",$F188&amp;INDEX($J200:$J206,Tablas!F$1)))</f>
        <v/>
      </c>
      <c r="AR188" s="2920" t="str">
        <f>IF(AND(ISNUMBER(MATCH($F188,'Tablas Técnicas'!$L$10:$L$643,0)),INDEX($J200:$J206,Tablas!G$1)="",COUNTIF(AS188:$AS188,$F188)=0),$F188,IF(INDEX($J200:$J206,Tablas!G$1)="","",$F188&amp;INDEX($J200:$J206,Tablas!G$1)))</f>
        <v/>
      </c>
      <c r="AS188" s="2922">
        <f>V188+X188+Z188+AB188+AD188+AF188</f>
        <v>0</v>
      </c>
      <c r="AT188" s="2922">
        <f t="array" ref="AT188">SUM(IF($AL188:$AR188='Tablas Técnicas'!$L$10:$L$643,IF(D188="Primario",'Tablas Técnicas'!$E$10:$E$643,'Tablas Técnicas'!$F$10:$F$643)+IF(K188="Sostenimiento menor",'Tablas Técnicas'!$I$10:$I$643,IF(K188="sostenimiento mayor",'Tablas Técnicas'!$J$10:$J$643,0)),0),0)+VALUE(RIGHT(P188,2))+AU188+AV188</f>
        <v>0</v>
      </c>
      <c r="AU188" s="292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22">
        <f>(COUNTIF(AL188:AR188,"*Estado añadido:*")-1)*COUNTIF(AL188:AR188,"*Estado añadido:*")</f>
        <v>0</v>
      </c>
      <c r="AW188" s="2922">
        <f t="array" ref="AW188">SUM(IF($AL188:$AR188='Tablas Técnicas'!$L$10:$L$643,'Tablas Técnicas'!$G$10:$G$643,0))</f>
        <v>0</v>
      </c>
      <c r="AX188" s="2920"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20" t="str">
        <f t="shared" si="45"/>
        <v/>
      </c>
    </row>
    <row r="189" spans="1:51" ht="12.2" customHeight="1" x14ac:dyDescent="0.2">
      <c r="A189" s="2360"/>
      <c r="B189" s="2252">
        <f t="shared" si="44"/>
        <v>6</v>
      </c>
      <c r="C189" s="4508"/>
      <c r="D189" s="4481" t="s">
        <v>526</v>
      </c>
      <c r="E189" s="4482"/>
      <c r="F189" s="4398"/>
      <c r="G189" s="4399"/>
      <c r="H189" s="4399"/>
      <c r="I189" s="4399"/>
      <c r="J189" s="4400"/>
      <c r="K189" s="4478" t="s">
        <v>1459</v>
      </c>
      <c r="L189" s="4479"/>
      <c r="M189" s="4480"/>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523" t="str">
        <f>IFERROR(VLOOKUP(F189,'Tablas Técnicas'!$O$9:$T$88,5,FALSE),"")</f>
        <v/>
      </c>
      <c r="R189" s="4523"/>
      <c r="S189" s="4523"/>
      <c r="T189" s="4523"/>
      <c r="U189" s="4523"/>
      <c r="V189" s="2218"/>
      <c r="W189" s="2219"/>
      <c r="X189" s="2218"/>
      <c r="Y189" s="2220"/>
      <c r="Z189" s="2221"/>
      <c r="AA189" s="2219"/>
      <c r="AB189" s="2218"/>
      <c r="AC189" s="2220"/>
      <c r="AD189" s="2221"/>
      <c r="AE189" s="2219"/>
      <c r="AF189" s="2218"/>
      <c r="AG189" s="2222"/>
      <c r="AH189" s="2369"/>
      <c r="AI189" s="4511"/>
      <c r="AJ189" s="2920">
        <v>3</v>
      </c>
      <c r="AK189" s="2920">
        <f>P183</f>
        <v>1</v>
      </c>
      <c r="AL189" s="2920" t="str">
        <f>IF(AND(ISNUMBER(MATCH($F189,'Tablas Técnicas'!$L$10:$L$643,0)),INDEX($P200:$P206,Tablas!A$1)="",COUNTIF(AM189:$AS189,$F189)=0),$F189,IF(INDEX($P200:$P206,Tablas!A$1)="","",$F189&amp;INDEX($P200:$P206,Tablas!A$1)))</f>
        <v/>
      </c>
      <c r="AM189" s="2920" t="str">
        <f>IF(AND(ISNUMBER(MATCH($F189,'Tablas Técnicas'!$L$10:$L$643,0)),INDEX($P200:$P206,Tablas!B$1)="",COUNTIF(AN189:$AS189,$F189)=0),$F189,IF(INDEX($P200:$P206,Tablas!B$1)="","",$F189&amp;INDEX($P200:$P206,Tablas!B$1)))</f>
        <v/>
      </c>
      <c r="AN189" s="2920" t="str">
        <f>IF(AND(ISNUMBER(MATCH($F189,'Tablas Técnicas'!$L$10:$L$643,0)),INDEX($P200:$P206,Tablas!C$1)="",COUNTIF(AO189:$AS189,$F189)=0),$F189,IF(INDEX($P200:$P206,Tablas!C$1)="","",$F189&amp;INDEX($P200:$P206,Tablas!C$1)))</f>
        <v/>
      </c>
      <c r="AO189" s="2920" t="str">
        <f>IF(AND(ISNUMBER(MATCH($F189,'Tablas Técnicas'!$L$10:$L$643,0)),INDEX($P200:$P206,Tablas!D$1)="",COUNTIF(AP189:$AS189,$F189)=0),$F189,IF(INDEX($P200:$P206,Tablas!D$1)="","",$F189&amp;INDEX($P200:$P206,Tablas!D$1)))</f>
        <v/>
      </c>
      <c r="AP189" s="2920" t="str">
        <f>IF(AND(ISNUMBER(MATCH($F189,'Tablas Técnicas'!$L$10:$L$643,0)),INDEX($P200:$P206,Tablas!E$1)="",COUNTIF(AQ189:$AS189,$F189)=0),$F189,IF(INDEX($P200:$P206,Tablas!E$1)="","",$F189&amp;INDEX($P200:$P206,Tablas!E$1)))</f>
        <v/>
      </c>
      <c r="AQ189" s="2920" t="str">
        <f>IF(AND(ISNUMBER(MATCH($F189,'Tablas Técnicas'!$L$10:$L$643,0)),INDEX($P200:$P206,Tablas!F$1)="",COUNTIF(AR189:$AS189,$F189)=0),$F189,IF(INDEX($P200:$P206,Tablas!F$1)="","",$F189&amp;INDEX($P200:$P206,Tablas!F$1)))</f>
        <v/>
      </c>
      <c r="AR189" s="2920" t="str">
        <f>IF(AND(ISNUMBER(MATCH($F189,'Tablas Técnicas'!$L$10:$L$643,0)),INDEX($P200:$P206,Tablas!G$1)="",COUNTIF(AS189:$AS189,$F189)=0),$F189,IF(INDEX($P200:$P206,Tablas!G$1)="","",$F189&amp;INDEX($P200:$P206,Tablas!G$1)))</f>
        <v/>
      </c>
      <c r="AS189" s="2922">
        <f>V189+X189+Z189+AB189+AD189+AF189</f>
        <v>0</v>
      </c>
      <c r="AT189" s="2922">
        <f t="array" ref="AT189">SUM(IF($AL189:$AR189='Tablas Técnicas'!$L$10:$L$643,IF(D189="Primario",'Tablas Técnicas'!$E$10:$E$643,'Tablas Técnicas'!$F$10:$F$643)+IF(K189="Sostenimiento menor",'Tablas Técnicas'!$I$10:$I$643,IF(K189="sostenimiento mayor",'Tablas Técnicas'!$J$10:$J$643,0)),0),0)+VALUE(RIGHT(P189,2))+AU189+AV189</f>
        <v>0</v>
      </c>
      <c r="AU189" s="292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22">
        <f>(COUNTIF(AL189:AR189,"*Estado añadido:*")-1)*COUNTIF(AL189:AR189,"*Estado añadido:*")</f>
        <v>0</v>
      </c>
      <c r="AW189" s="2922">
        <f t="array" ref="AW189">SUM(IF($AL189:$AR189='Tablas Técnicas'!$L$10:$L$643,'Tablas Técnicas'!$G$10:$G$643,0))</f>
        <v>0</v>
      </c>
      <c r="AX189" s="2920" t="str">
        <f t="shared" si="46"/>
        <v/>
      </c>
      <c r="AY189" s="2920" t="str">
        <f t="shared" si="45"/>
        <v/>
      </c>
    </row>
    <row r="190" spans="1:51" ht="12.2" customHeight="1" x14ac:dyDescent="0.2">
      <c r="A190" s="2360"/>
      <c r="B190" s="2252">
        <f t="shared" si="44"/>
        <v>6</v>
      </c>
      <c r="C190" s="4508"/>
      <c r="D190" s="4392" t="s">
        <v>526</v>
      </c>
      <c r="E190" s="4393"/>
      <c r="F190" s="4473"/>
      <c r="G190" s="4474"/>
      <c r="H190" s="4474"/>
      <c r="I190" s="4474"/>
      <c r="J190" s="4420"/>
      <c r="K190" s="4475" t="s">
        <v>1459</v>
      </c>
      <c r="L190" s="4476"/>
      <c r="M190" s="4477"/>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39" t="str">
        <f>IFERROR(VLOOKUP(F190,'Tablas Técnicas'!$O$9:$T$88,5,FALSE),"")</f>
        <v/>
      </c>
      <c r="R190" s="4439"/>
      <c r="S190" s="4439"/>
      <c r="T190" s="4439"/>
      <c r="U190" s="4439"/>
      <c r="V190" s="2213"/>
      <c r="W190" s="2214"/>
      <c r="X190" s="2213"/>
      <c r="Y190" s="2215"/>
      <c r="Z190" s="2216"/>
      <c r="AA190" s="2214"/>
      <c r="AB190" s="2213"/>
      <c r="AC190" s="2215"/>
      <c r="AD190" s="2216"/>
      <c r="AE190" s="2214"/>
      <c r="AF190" s="2213"/>
      <c r="AG190" s="2217"/>
      <c r="AH190" s="2369"/>
      <c r="AI190" s="4511"/>
      <c r="AJ190" s="2920">
        <v>4</v>
      </c>
      <c r="AK190" s="2920">
        <f>P183</f>
        <v>1</v>
      </c>
      <c r="AL190" s="2920" t="str">
        <f>IF(AND(ISNUMBER(MATCH($F190,'Tablas Técnicas'!$L$10:$L$643,0)),INDEX($V200:$V206,Tablas!A$1)="",COUNTIF(AM190:$AS190,$F190)=0),$F190,IF(INDEX($V200:$V206,Tablas!A$1)="","",$F190&amp;INDEX($V200:$V206,Tablas!A$1)))</f>
        <v/>
      </c>
      <c r="AM190" s="2920" t="str">
        <f>IF(AND(ISNUMBER(MATCH($F190,'Tablas Técnicas'!$L$10:$L$643,0)),INDEX($V200:$V206,Tablas!B$1)="",COUNTIF(AN190:$AS190,$F190)=0),$F190,IF(INDEX($V200:$V206,Tablas!B$1)="","",$F190&amp;INDEX($V200:$V206,Tablas!B$1)))</f>
        <v/>
      </c>
      <c r="AN190" s="2920" t="str">
        <f>IF(AND(ISNUMBER(MATCH($F190,'Tablas Técnicas'!$L$10:$L$643,0)),INDEX($V200:$V206,Tablas!C$1)="",COUNTIF(AO190:$AS190,$F190)=0),$F190,IF(INDEX($V200:$V206,Tablas!C$1)="","",$F190&amp;INDEX($V200:$V206,Tablas!C$1)))</f>
        <v/>
      </c>
      <c r="AO190" s="2920" t="str">
        <f>IF(AND(ISNUMBER(MATCH($F190,'Tablas Técnicas'!$L$10:$L$643,0)),INDEX($V200:$V206,Tablas!D$1)="",COUNTIF(AP190:$AS190,$F190)=0),$F190,IF(INDEX($V200:$V206,Tablas!D$1)="","",$F190&amp;INDEX($V200:$V206,Tablas!D$1)))</f>
        <v/>
      </c>
      <c r="AP190" s="2920" t="str">
        <f>IF(AND(ISNUMBER(MATCH($F190,'Tablas Técnicas'!$L$10:$L$643,0)),INDEX($V200:$V206,Tablas!E$1)="",COUNTIF(AQ190:$AS190,$F190)=0),$F190,IF(INDEX($V200:$V206,Tablas!E$1)="","",$F190&amp;INDEX($V200:$V206,Tablas!E$1)))</f>
        <v/>
      </c>
      <c r="AQ190" s="2920" t="str">
        <f>IF(AND(ISNUMBER(MATCH($F190,'Tablas Técnicas'!$L$10:$L$643,0)),INDEX($V200:$V206,Tablas!F$1)="",COUNTIF(AR190:$AS190,$F190)=0),$F190,IF(INDEX($V200:$V206,Tablas!F$1)="","",$F190&amp;INDEX($V200:$V206,Tablas!F$1)))</f>
        <v/>
      </c>
      <c r="AR190" s="2920" t="str">
        <f>IF(AND(ISNUMBER(MATCH($F190,'Tablas Técnicas'!$L$10:$L$643,0)),INDEX($V200:$V206,Tablas!G$1)="",COUNTIF(AS190:$AS190,$F190)=0),$F190,IF(INDEX($V200:$V206,Tablas!G$1)="","",$F190&amp;INDEX($V200:$V206,Tablas!G$1)))</f>
        <v/>
      </c>
      <c r="AS190" s="2922">
        <f>V190+X190+Z190+AB190+AD190+AF190</f>
        <v>0</v>
      </c>
      <c r="AT190" s="2922">
        <f t="array" ref="AT190">SUM(IF($AL190:$AR190='Tablas Técnicas'!$L$10:$L$643,IF(D190="Primario",'Tablas Técnicas'!$E$10:$E$643,'Tablas Técnicas'!$F$10:$F$643)+IF(K190="Sostenimiento menor",'Tablas Técnicas'!$I$10:$I$643,IF(K190="sostenimiento mayor",'Tablas Técnicas'!$J$10:$J$643,0)),0),0)+VALUE(RIGHT(P190,2))+AU190+AV190</f>
        <v>0</v>
      </c>
      <c r="AU190" s="292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22">
        <f>(COUNTIF(AL190:AR190,"*Estado añadido:*")-1)*COUNTIF(AL190:AR190,"*Estado añadido:*")</f>
        <v>0</v>
      </c>
      <c r="AW190" s="2922">
        <f t="array" ref="AW190">SUM(IF($AL190:$AR190='Tablas Técnicas'!$L$10:$L$643,'Tablas Técnicas'!$G$10:$G$643,0))</f>
        <v>0</v>
      </c>
      <c r="AX190" s="2920" t="str">
        <f t="shared" si="46"/>
        <v/>
      </c>
      <c r="AY190" s="2920" t="str">
        <f>IFERROR(LEFT(AX190,LEN(AX190)-2)&amp;"), ","")</f>
        <v/>
      </c>
    </row>
    <row r="191" spans="1:51" ht="12.2" customHeight="1" thickBot="1" x14ac:dyDescent="0.25">
      <c r="A191" s="2360"/>
      <c r="B191" s="2252">
        <f t="shared" si="44"/>
        <v>6</v>
      </c>
      <c r="C191" s="4508"/>
      <c r="D191" s="4395" t="s">
        <v>526</v>
      </c>
      <c r="E191" s="4396"/>
      <c r="F191" s="4494"/>
      <c r="G191" s="4495"/>
      <c r="H191" s="4495"/>
      <c r="I191" s="4495"/>
      <c r="J191" s="4496"/>
      <c r="K191" s="4470" t="s">
        <v>1459</v>
      </c>
      <c r="L191" s="4471"/>
      <c r="M191" s="4472"/>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46" t="str">
        <f>IFERROR(VLOOKUP(F191,'Tablas Técnicas'!$O$9:$T$88,5,FALSE),"")</f>
        <v/>
      </c>
      <c r="R191" s="4446"/>
      <c r="S191" s="4446"/>
      <c r="T191" s="4446"/>
      <c r="U191" s="4446"/>
      <c r="V191" s="2223"/>
      <c r="W191" s="2224"/>
      <c r="X191" s="2223"/>
      <c r="Y191" s="2225"/>
      <c r="Z191" s="2226"/>
      <c r="AA191" s="2224"/>
      <c r="AB191" s="2223"/>
      <c r="AC191" s="2225"/>
      <c r="AD191" s="2226"/>
      <c r="AE191" s="2224"/>
      <c r="AF191" s="2223"/>
      <c r="AG191" s="2227"/>
      <c r="AH191" s="2369"/>
      <c r="AI191" s="4511"/>
      <c r="AJ191" s="2920">
        <v>5</v>
      </c>
      <c r="AK191" s="2920">
        <f>P183</f>
        <v>1</v>
      </c>
      <c r="AL191" s="2920" t="str">
        <f>IF(AND(ISNUMBER(MATCH($F191,'Tablas Técnicas'!$L$10:$L$643,0)),INDEX($AB200:$AB206,Tablas!A$1)="",COUNTIF(AM191:$AS191,$F191)=0),$F191,IF(INDEX($AB200:$AB206,Tablas!A$1)="","",$F191&amp;INDEX($AB200:$AB206,Tablas!A$1)))</f>
        <v/>
      </c>
      <c r="AM191" s="2920" t="str">
        <f>IF(AND(ISNUMBER(MATCH($F191,'Tablas Técnicas'!$L$10:$L$643,0)),INDEX($AB200:$AB206,Tablas!B$1)="",COUNTIF(AN191:$AS191,$F191)=0),$F191,IF(INDEX($AB200:$AB206,Tablas!B$1)="","",$F191&amp;INDEX($AB200:$AB206,Tablas!B$1)))</f>
        <v/>
      </c>
      <c r="AN191" s="2920" t="str">
        <f>IF(AND(ISNUMBER(MATCH($F191,'Tablas Técnicas'!$L$10:$L$643,0)),INDEX($AB200:$AB206,Tablas!C$1)="",COUNTIF(AO191:$AS191,$F191)=0),$F191,IF(INDEX($AB200:$AB206,Tablas!C$1)="","",$F191&amp;INDEX($AB200:$AB206,Tablas!C$1)))</f>
        <v/>
      </c>
      <c r="AO191" s="2920" t="str">
        <f>IF(AND(ISNUMBER(MATCH($F191,'Tablas Técnicas'!$L$10:$L$643,0)),INDEX($AB200:$AB206,Tablas!D$1)="",COUNTIF(AP191:$AS191,$F191)=0),$F191,IF(INDEX($AB200:$AB206,Tablas!D$1)="","",$F191&amp;INDEX($AB200:$AB206,Tablas!D$1)))</f>
        <v/>
      </c>
      <c r="AP191" s="2920" t="str">
        <f>IF(AND(ISNUMBER(MATCH($F191,'Tablas Técnicas'!$L$10:$L$643,0)),INDEX($AB200:$AB206,Tablas!E$1)="",COUNTIF(AQ191:$AS191,$F191)=0),$F191,IF(INDEX($AB200:$AB206,Tablas!E$1)="","",$F191&amp;INDEX($AB200:$AB206,Tablas!E$1)))</f>
        <v/>
      </c>
      <c r="AQ191" s="2920" t="str">
        <f>IF(AND(ISNUMBER(MATCH($F191,'Tablas Técnicas'!$L$10:$L$643,0)),INDEX($AB200:$AB206,Tablas!F$1)="",COUNTIF(AR191:$AS191,$F191)=0),$F191,IF(INDEX($AB200:$AB206,Tablas!F$1)="","",$F191&amp;INDEX($AB200:$AB206,Tablas!F$1)))</f>
        <v/>
      </c>
      <c r="AR191" s="2920" t="str">
        <f>IF(AND(ISNUMBER(MATCH($F191,'Tablas Técnicas'!$L$10:$L$643,0)),INDEX($AB200:$AB206,Tablas!G$1)="",COUNTIF(AS191:$AS191,$F191)=0),$F191,IF(INDEX($AB200:$AB206,Tablas!G$1)="","",$F191&amp;INDEX($AB200:$AB206,Tablas!G$1)))</f>
        <v/>
      </c>
      <c r="AS191" s="2922">
        <f>V191+X191+Z191+AB191+AD191+AF191</f>
        <v>0</v>
      </c>
      <c r="AT191" s="2922">
        <f t="array" ref="AT191">SUM(IF($AL191:$AR191='Tablas Técnicas'!$L$10:$L$643,IF(D191="Primario",'Tablas Técnicas'!$E$10:$E$643,'Tablas Técnicas'!$F$10:$F$643)+IF(K191="Sostenimiento menor",'Tablas Técnicas'!$I$10:$I$643,IF(K191="sostenimiento mayor",'Tablas Técnicas'!$J$10:$J$643,0)),0),0)+VALUE(RIGHT(P191,2))+AU191+AV191</f>
        <v>0</v>
      </c>
      <c r="AU191" s="292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22">
        <f>(COUNTIF(AL191:AR191,"*Estado añadido:*")-1)*COUNTIF(AL191:AR191,"*Estado añadido:*")</f>
        <v>0</v>
      </c>
      <c r="AW191" s="2922">
        <f t="array" ref="AW191">SUM(IF($AL191:$AR191='Tablas Técnicas'!$L$10:$L$643,'Tablas Técnicas'!$G$10:$G$643,0))</f>
        <v>0</v>
      </c>
      <c r="AX191" s="2920" t="str">
        <f t="shared" si="46"/>
        <v/>
      </c>
      <c r="AY191" s="2920" t="str">
        <f t="shared" ref="AY191" si="47">IFERROR(LEFT(AX191,LEN(AX191)-2)&amp;"), ","")</f>
        <v/>
      </c>
    </row>
    <row r="192" spans="1:51" ht="12.2" customHeight="1" x14ac:dyDescent="0.2">
      <c r="A192" s="2360"/>
      <c r="B192" s="2252">
        <f t="shared" si="44"/>
        <v>6</v>
      </c>
      <c r="C192" s="4508"/>
      <c r="D192" s="4447" t="s">
        <v>2853</v>
      </c>
      <c r="E192" s="4448"/>
      <c r="F192" s="4435"/>
      <c r="G192" s="4436"/>
      <c r="H192" s="4436"/>
      <c r="I192" s="4436"/>
      <c r="J192" s="4437"/>
      <c r="K192" s="4411"/>
      <c r="L192" s="4412"/>
      <c r="M192" s="4413"/>
      <c r="N192" s="2081" t="str">
        <f>IFERROR(INDEX('Tablas Técnicas'!$Q$200:$Q$299,MATCH(F192&amp;K192,'Tablas Técnicas'!$S$200:$S$299,0)),"")</f>
        <v/>
      </c>
      <c r="O192" s="4414"/>
      <c r="P192" s="4415"/>
      <c r="Q192" s="4416"/>
      <c r="R192" s="4415"/>
      <c r="S192" s="2258" t="str">
        <f>IFERROR("Nivel: "&amp;MAX(1,INDEX('Tablas Técnicas'!$R$200:$R$299,MATCH(F192&amp;K192,'Tablas Técnicas'!$S$200:$S$299,0))),"")</f>
        <v/>
      </c>
      <c r="T192" s="2082"/>
      <c r="U192" s="2083" t="str">
        <f>IFERROR("("&amp;VLOOKUP(F192,'Tablas Técnicas'!$V$199:$X$225,3,FALSE)&amp;")","")</f>
        <v/>
      </c>
      <c r="V192" s="4356" t="s">
        <v>9836</v>
      </c>
      <c r="W192" s="4357"/>
      <c r="X192" s="4358"/>
      <c r="Y192" s="2528">
        <v>0</v>
      </c>
      <c r="Z192" s="4359" t="s">
        <v>9013</v>
      </c>
      <c r="AA192" s="4360"/>
      <c r="AB192" s="4361"/>
      <c r="AC192" s="2528">
        <v>0</v>
      </c>
      <c r="AD192" s="4362" t="str">
        <f>"Ki sin repartir: "&amp;AL200-AL201&amp;IF(AM200=0,""," ("&amp;AM200-AM201&amp;")")</f>
        <v>Ki sin repartir: 0</v>
      </c>
      <c r="AE192" s="4363"/>
      <c r="AF192" s="4363"/>
      <c r="AG192" s="4364"/>
      <c r="AH192" s="2369"/>
      <c r="AI192" s="4511"/>
      <c r="AJ192" s="2920">
        <v>1</v>
      </c>
      <c r="AK192" s="2920">
        <f>P183</f>
        <v>1</v>
      </c>
      <c r="AL192" s="2920" t="e">
        <f>VLOOKUP(F192,'Tablas Técnicas'!$V$199:$X$221,2,FALSE)</f>
        <v>#N/A</v>
      </c>
      <c r="AM192" s="2920"/>
      <c r="AN192" s="2921"/>
      <c r="AO192" s="2920"/>
      <c r="AP192" s="2920"/>
      <c r="AQ192" s="2921"/>
      <c r="AR192" s="2920"/>
      <c r="AS192" s="2920"/>
      <c r="AT192" s="2920"/>
      <c r="AU192" s="2920"/>
      <c r="AV192" s="2920"/>
      <c r="AW192" s="2922"/>
      <c r="AX192" s="2922"/>
      <c r="AY192" s="2920" t="str">
        <f>IF(F192="","",F192&amp;IF(K192="",""," ("&amp;IF(F192="Atadura Elemental",O192&amp;IF(Q192="","",", "&amp;Q192),K192)&amp;")")&amp;", ")</f>
        <v/>
      </c>
    </row>
    <row r="193" spans="1:51" ht="12.2" customHeight="1" x14ac:dyDescent="0.2">
      <c r="A193" s="2360"/>
      <c r="B193" s="2252">
        <f t="shared" si="44"/>
        <v>6</v>
      </c>
      <c r="C193" s="4508"/>
      <c r="D193" s="4449"/>
      <c r="E193" s="4450"/>
      <c r="F193" s="4417"/>
      <c r="G193" s="4418"/>
      <c r="H193" s="4418"/>
      <c r="I193" s="4418"/>
      <c r="J193" s="4419"/>
      <c r="K193" s="4420"/>
      <c r="L193" s="4421"/>
      <c r="M193" s="4422"/>
      <c r="N193" s="2084" t="str">
        <f>IFERROR(INDEX('Tablas Técnicas'!$Q$200:$Q$299,MATCH(F193&amp;K193,'Tablas Técnicas'!$S$200:$S$299,0)),"")</f>
        <v/>
      </c>
      <c r="O193" s="4423"/>
      <c r="P193" s="4424"/>
      <c r="Q193" s="4425"/>
      <c r="R193" s="4424"/>
      <c r="S193" s="2077" t="str">
        <f>IFERROR("Nivel: "&amp;MAX(1,INDEX('Tablas Técnicas'!$R$200:$R$299,MATCH(F193&amp;K193,'Tablas Técnicas'!$S$200:$S$299,0))),"")</f>
        <v/>
      </c>
      <c r="T193" s="2187"/>
      <c r="U193" s="2076" t="str">
        <f>IFERROR("("&amp;VLOOKUP(F193,'Tablas Técnicas'!$V$199:$X$225,3,FALSE)&amp;")","")</f>
        <v/>
      </c>
      <c r="V193" s="4353" t="str">
        <f>"Mod. "&amp;V185</f>
        <v>Mod. AGI</v>
      </c>
      <c r="W193" s="4354"/>
      <c r="X193" s="4353" t="str">
        <f t="shared" ref="X193" si="48">"Mod. "&amp;X185</f>
        <v>Mod. CON</v>
      </c>
      <c r="Y193" s="4354"/>
      <c r="Z193" s="4353" t="str">
        <f t="shared" ref="Z193" si="49">"Mod. "&amp;Z185</f>
        <v>Mod. DES</v>
      </c>
      <c r="AA193" s="4354"/>
      <c r="AB193" s="4353" t="str">
        <f t="shared" ref="AB193" si="50">"Mod. "&amp;AB185</f>
        <v>Mod. FUE</v>
      </c>
      <c r="AC193" s="4354"/>
      <c r="AD193" s="4353" t="str">
        <f t="shared" ref="AD193" si="51">"Mod. "&amp;AD185</f>
        <v>Mod. POD</v>
      </c>
      <c r="AE193" s="4354"/>
      <c r="AF193" s="4353" t="str">
        <f t="shared" ref="AF193" si="52">"Mod. "&amp;AF185</f>
        <v>Mod. VOL</v>
      </c>
      <c r="AG193" s="4355"/>
      <c r="AH193" s="2369"/>
      <c r="AI193" s="4511"/>
      <c r="AJ193" s="2920">
        <v>2</v>
      </c>
      <c r="AK193" s="2920">
        <f>P183</f>
        <v>1</v>
      </c>
      <c r="AL193" s="2920" t="e">
        <f>VLOOKUP(F193,'Tablas Técnicas'!$V$199:$X$221,2,FALSE)</f>
        <v>#N/A</v>
      </c>
      <c r="AM193" s="2920"/>
      <c r="AN193" s="2921"/>
      <c r="AO193" s="2920"/>
      <c r="AP193" s="2920"/>
      <c r="AQ193" s="2921"/>
      <c r="AR193" s="2920"/>
      <c r="AS193" s="2920"/>
      <c r="AT193" s="2920"/>
      <c r="AU193" s="2920"/>
      <c r="AV193" s="2920"/>
      <c r="AW193" s="2922"/>
      <c r="AX193" s="2922"/>
      <c r="AY193" s="2920" t="str">
        <f>IF(F193="","",F193&amp;IF(K193="",""," ("&amp;IF(F193="Atadura Elemental",O193&amp;IF(Q193="","",", "&amp;Q193),K193)&amp;")")&amp;", ")</f>
        <v/>
      </c>
    </row>
    <row r="194" spans="1:51" ht="12.2" customHeight="1" thickBot="1" x14ac:dyDescent="0.25">
      <c r="A194" s="2360"/>
      <c r="B194" s="2252">
        <f t="shared" si="44"/>
        <v>6</v>
      </c>
      <c r="C194" s="4508"/>
      <c r="D194" s="4451"/>
      <c r="E194" s="4452"/>
      <c r="F194" s="4426"/>
      <c r="G194" s="4427"/>
      <c r="H194" s="4427"/>
      <c r="I194" s="4427"/>
      <c r="J194" s="4428"/>
      <c r="K194" s="4429"/>
      <c r="L194" s="4430"/>
      <c r="M194" s="4431"/>
      <c r="N194" s="2085" t="str">
        <f>IFERROR(INDEX('Tablas Técnicas'!$Q$200:$Q$299,MATCH(F194&amp;K194,'Tablas Técnicas'!$S$200:$S$299,0)),"")</f>
        <v/>
      </c>
      <c r="O194" s="4432"/>
      <c r="P194" s="4433"/>
      <c r="Q194" s="4434"/>
      <c r="R194" s="4433"/>
      <c r="S194" s="2362" t="str">
        <f>IFERROR("Nivel: "&amp;MAX(1,INDEX('Tablas Técnicas'!$R$200:$R$299,MATCH(F194&amp;K194,'Tablas Técnicas'!$S$200:$S$299,0))),"")</f>
        <v/>
      </c>
      <c r="T194" s="2363"/>
      <c r="U194" s="2188" t="str">
        <f>IFERROR("("&amp;VLOOKUP(F194,'Tablas Técnicas'!$V$199:$X$225,3,FALSE)&amp;")","")</f>
        <v/>
      </c>
      <c r="V194" s="4368"/>
      <c r="W194" s="4367"/>
      <c r="X194" s="4367"/>
      <c r="Y194" s="4367"/>
      <c r="Z194" s="4367"/>
      <c r="AA194" s="4367"/>
      <c r="AB194" s="4367"/>
      <c r="AC194" s="4367"/>
      <c r="AD194" s="4367"/>
      <c r="AE194" s="4367"/>
      <c r="AF194" s="4367"/>
      <c r="AG194" s="4438"/>
      <c r="AH194" s="2369"/>
      <c r="AI194" s="4511"/>
      <c r="AJ194" s="2920">
        <v>3</v>
      </c>
      <c r="AK194" s="2920">
        <f>P183</f>
        <v>1</v>
      </c>
      <c r="AL194" s="2920" t="e">
        <f>VLOOKUP(F194,'Tablas Técnicas'!$V$199:$X$221,2,FALSE)</f>
        <v>#N/A</v>
      </c>
      <c r="AM194" s="2920"/>
      <c r="AN194" s="2921"/>
      <c r="AO194" s="2920"/>
      <c r="AP194" s="2920"/>
      <c r="AQ194" s="2921"/>
      <c r="AR194" s="2922"/>
      <c r="AS194" s="2922"/>
      <c r="AT194" s="2922"/>
      <c r="AU194" s="2922"/>
      <c r="AV194" s="2922"/>
      <c r="AW194" s="2922"/>
      <c r="AX194" s="2922"/>
      <c r="AY194" s="2920" t="str">
        <f>IF(F194="","",F194&amp;IF(K194="",""," ("&amp;IF(F194="Atadura Elemental",O194&amp;IF(Q194="","",", "&amp;Q194),K194)&amp;")")&amp;", ")</f>
        <v/>
      </c>
    </row>
    <row r="195" spans="1:51" ht="12.2" customHeight="1" x14ac:dyDescent="0.2">
      <c r="A195" s="2360"/>
      <c r="B195" s="2252">
        <f t="shared" si="44"/>
        <v>6</v>
      </c>
      <c r="C195" s="4508"/>
      <c r="D195" s="4386" t="s">
        <v>9511</v>
      </c>
      <c r="E195" s="4387"/>
      <c r="F195" s="4387"/>
      <c r="G195" s="4387"/>
      <c r="H195" s="4387"/>
      <c r="I195" s="4387"/>
      <c r="J195" s="4387"/>
      <c r="K195" s="4387"/>
      <c r="L195" s="4387"/>
      <c r="M195" s="4387"/>
      <c r="N195" s="4387"/>
      <c r="O195" s="4387"/>
      <c r="P195" s="4387"/>
      <c r="Q195" s="4387"/>
      <c r="R195" s="4387"/>
      <c r="S195" s="4387"/>
      <c r="T195" s="4387"/>
      <c r="U195" s="4387"/>
      <c r="V195" s="4518"/>
      <c r="W195" s="4518"/>
      <c r="X195" s="4518"/>
      <c r="Y195" s="4518"/>
      <c r="Z195" s="4518"/>
      <c r="AA195" s="4518"/>
      <c r="AB195" s="4518"/>
      <c r="AC195" s="4518"/>
      <c r="AD195" s="4518"/>
      <c r="AE195" s="4518"/>
      <c r="AF195" s="4518"/>
      <c r="AG195" s="4389"/>
      <c r="AH195" s="2369"/>
      <c r="AI195" s="4511"/>
      <c r="AJ195" s="2920"/>
      <c r="AK195" s="2920"/>
      <c r="AL195" s="2920"/>
      <c r="AM195" s="2920"/>
      <c r="AN195" s="2921" t="s">
        <v>9014</v>
      </c>
      <c r="AO195" s="2920" t="e">
        <f>LEFT(AY187&amp;AY188&amp;AY189&amp;AY190&amp;AY191,LEN(AY187&amp;AY188&amp;AY189&amp;AY190&amp;AY191)-2)</f>
        <v>#VALUE!</v>
      </c>
      <c r="AP195" s="2920"/>
      <c r="AQ195" s="2921"/>
      <c r="AR195" s="2922"/>
      <c r="AS195" s="2922"/>
      <c r="AT195" s="2922"/>
      <c r="AU195" s="2921"/>
      <c r="AV195" s="2921"/>
      <c r="AW195" s="2922"/>
      <c r="AX195" s="2922"/>
      <c r="AY195" s="2920"/>
    </row>
    <row r="196" spans="1:51" ht="12.2" customHeight="1" x14ac:dyDescent="0.2">
      <c r="A196" s="2360"/>
      <c r="B196" s="2252">
        <f t="shared" si="44"/>
        <v>6</v>
      </c>
      <c r="C196" s="4508"/>
      <c r="D196" s="4369" t="str">
        <f>IF(F187="","",F187)</f>
        <v/>
      </c>
      <c r="E196" s="4370"/>
      <c r="F196" s="4370"/>
      <c r="G196" s="4370"/>
      <c r="H196" s="4370"/>
      <c r="I196" s="4371"/>
      <c r="J196" s="4369" t="str">
        <f>IF(F188="","",F188)</f>
        <v/>
      </c>
      <c r="K196" s="4370"/>
      <c r="L196" s="4370"/>
      <c r="M196" s="4370"/>
      <c r="N196" s="4370"/>
      <c r="O196" s="4371"/>
      <c r="P196" s="4370" t="str">
        <f>IF(F189="","",F189)</f>
        <v/>
      </c>
      <c r="Q196" s="4370"/>
      <c r="R196" s="4370"/>
      <c r="S196" s="4370"/>
      <c r="T196" s="4370"/>
      <c r="U196" s="4371"/>
      <c r="V196" s="4369" t="str">
        <f>IF(F190="","",F190)</f>
        <v/>
      </c>
      <c r="W196" s="4370"/>
      <c r="X196" s="4370"/>
      <c r="Y196" s="4370"/>
      <c r="Z196" s="4370"/>
      <c r="AA196" s="4371"/>
      <c r="AB196" s="4370" t="str">
        <f>IF(F191="","",F191)</f>
        <v/>
      </c>
      <c r="AC196" s="4370"/>
      <c r="AD196" s="4370"/>
      <c r="AE196" s="4370"/>
      <c r="AF196" s="4370"/>
      <c r="AG196" s="4385"/>
      <c r="AH196" s="2369"/>
      <c r="AI196" s="4511"/>
      <c r="AJ196" s="2920"/>
      <c r="AK196" s="2920"/>
      <c r="AL196" s="2920"/>
      <c r="AM196" s="2920"/>
      <c r="AN196" s="2921" t="s">
        <v>9015</v>
      </c>
      <c r="AO196" s="2920" t="e">
        <f>LEFT(AY192&amp;AY193&amp;AY194,LEN(AY192&amp;AY193&amp;AY194)-2)</f>
        <v>#VALUE!</v>
      </c>
      <c r="AP196" s="2920"/>
      <c r="AQ196" s="2921"/>
      <c r="AR196" s="2922"/>
      <c r="AS196" s="2922"/>
      <c r="AT196" s="2922"/>
      <c r="AU196" s="2921"/>
      <c r="AV196" s="2921"/>
      <c r="AW196" s="2922"/>
      <c r="AX196" s="2922"/>
      <c r="AY196" s="2920"/>
    </row>
    <row r="197" spans="1:51" ht="12.2" customHeight="1" x14ac:dyDescent="0.2">
      <c r="A197" s="2360"/>
      <c r="B197" s="2252">
        <f t="shared" si="44"/>
        <v>6</v>
      </c>
      <c r="C197" s="4508"/>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511"/>
      <c r="AJ197" s="2920"/>
      <c r="AK197" s="2920"/>
      <c r="AL197" s="2920"/>
      <c r="AM197" s="2920"/>
      <c r="AN197" s="2921"/>
      <c r="AO197" s="2920"/>
      <c r="AP197" s="2920"/>
      <c r="AQ197" s="2921"/>
      <c r="AR197" s="2922"/>
      <c r="AS197" s="2922"/>
      <c r="AT197" s="2922"/>
      <c r="AU197" s="2922"/>
      <c r="AV197" s="2922"/>
      <c r="AW197" s="2922"/>
      <c r="AX197" s="2922"/>
      <c r="AY197" s="2920"/>
    </row>
    <row r="198" spans="1:51" ht="12.2" customHeight="1" x14ac:dyDescent="0.2">
      <c r="A198" s="2360"/>
      <c r="B198" s="2252">
        <f t="shared" si="44"/>
        <v>6</v>
      </c>
      <c r="C198" s="4508"/>
      <c r="D198" s="2198" t="s">
        <v>9016</v>
      </c>
      <c r="E198" s="2189"/>
      <c r="F198" s="2190"/>
      <c r="G198" s="2191"/>
      <c r="H198" s="2191"/>
      <c r="I198" s="2188" t="str">
        <f>IFERROR(IF(D196="Ataque Elemental",IF(NOT(ISNA(VLOOKUP(D200,'Tablas Técnicas'!$Z$25:$Z$30,1,0))),D200,"Variable"),VLOOKUP(D196,'Tablas Técnicas'!$O$9:$W$88,9,FALSE)),"")</f>
        <v/>
      </c>
      <c r="J198" s="2088" t="s">
        <v>9016</v>
      </c>
      <c r="K198" s="2364"/>
      <c r="L198" s="2365"/>
      <c r="M198" s="2366"/>
      <c r="N198" s="2366"/>
      <c r="O198" s="2089" t="str">
        <f>IFERROR(IF(J196="Ataque Elemental",IF(NOT(ISNA(VLOOKUP(J200,'Tablas Técnicas'!$Z$25:$Z$30,1,0))),J200,"Variable"),VLOOKUP(J196,'Tablas Técnicas'!$O$9:$W$88,9,FALSE)),"")</f>
        <v/>
      </c>
      <c r="P198" s="2367" t="s">
        <v>9016</v>
      </c>
      <c r="Q198" s="2364"/>
      <c r="R198" s="2365"/>
      <c r="S198" s="2366"/>
      <c r="T198" s="2366"/>
      <c r="U198" s="2188" t="str">
        <f>IFERROR(IF(P196="Ataque Elemental",IF(NOT(ISNA(VLOOKUP(P200,'Tablas Técnicas'!$Z$25:$Z$30,1,0))),P200,"Variable"),VLOOKUP(P196,'Tablas Técnicas'!$O$9:$W$88,9,FALSE)),"")</f>
        <v/>
      </c>
      <c r="V198" s="2088" t="s">
        <v>9016</v>
      </c>
      <c r="W198" s="2364"/>
      <c r="X198" s="2365"/>
      <c r="Y198" s="2366"/>
      <c r="Z198" s="2366"/>
      <c r="AA198" s="2089" t="str">
        <f>IFERROR(IF(V196="Ataque Elemental",IF(NOT(ISNA(VLOOKUP(V200,'Tablas Técnicas'!$Z$25:$Z$30,1,0))),V200,"Variable"),VLOOKUP(V196,'Tablas Técnicas'!$O$9:$W$88,9,FALSE)),"")</f>
        <v/>
      </c>
      <c r="AB198" s="2367" t="s">
        <v>9016</v>
      </c>
      <c r="AC198" s="2364"/>
      <c r="AD198" s="2365"/>
      <c r="AE198" s="2366"/>
      <c r="AF198" s="2366"/>
      <c r="AG198" s="2203" t="str">
        <f>IFERROR(IF(AB196="Ataque Elemental",IF(NOT(ISNA(VLOOKUP(AB200,'Tablas Técnicas'!$Z$25:$Z$30,1,0))),AB200,"Variable"),VLOOKUP(AB196,'Tablas Técnicas'!$O$9:$W$88,9,FALSE)),"")</f>
        <v/>
      </c>
      <c r="AH198" s="2369"/>
      <c r="AI198" s="4511"/>
      <c r="AJ198" s="2920"/>
      <c r="AK198" s="2922" t="s">
        <v>1376</v>
      </c>
      <c r="AL198" s="2922" t="s">
        <v>1501</v>
      </c>
      <c r="AM198" s="2922" t="s">
        <v>1381</v>
      </c>
      <c r="AN198" s="2922" t="s">
        <v>1386</v>
      </c>
      <c r="AO198" s="2922" t="s">
        <v>1394</v>
      </c>
      <c r="AP198" s="2922" t="s">
        <v>1395</v>
      </c>
      <c r="AQ198" s="2921"/>
      <c r="AR198" s="2922"/>
      <c r="AS198" s="2922"/>
      <c r="AT198" s="2922"/>
      <c r="AU198" s="2922"/>
      <c r="AV198" s="2922"/>
      <c r="AW198" s="2922"/>
      <c r="AX198" s="2922"/>
      <c r="AY198" s="2920"/>
    </row>
    <row r="199" spans="1:51" ht="12.2" customHeight="1" x14ac:dyDescent="0.2">
      <c r="A199" s="2360"/>
      <c r="B199" s="2252">
        <f t="shared" si="44"/>
        <v>6</v>
      </c>
      <c r="C199" s="4508"/>
      <c r="D199" s="4369" t="s">
        <v>2861</v>
      </c>
      <c r="E199" s="4370"/>
      <c r="F199" s="4370"/>
      <c r="G199" s="4370"/>
      <c r="H199" s="4371"/>
      <c r="I199" s="2090" t="s">
        <v>1406</v>
      </c>
      <c r="J199" s="4369" t="s">
        <v>2861</v>
      </c>
      <c r="K199" s="4370"/>
      <c r="L199" s="4370"/>
      <c r="M199" s="4370"/>
      <c r="N199" s="4371"/>
      <c r="O199" s="2091" t="s">
        <v>1406</v>
      </c>
      <c r="P199" s="4369" t="s">
        <v>2861</v>
      </c>
      <c r="Q199" s="4370"/>
      <c r="R199" s="4370"/>
      <c r="S199" s="4370"/>
      <c r="T199" s="4371"/>
      <c r="U199" s="2091" t="s">
        <v>1406</v>
      </c>
      <c r="V199" s="4369"/>
      <c r="W199" s="4370"/>
      <c r="X199" s="4370"/>
      <c r="Y199" s="4370"/>
      <c r="Z199" s="4371"/>
      <c r="AA199" s="2091" t="s">
        <v>1406</v>
      </c>
      <c r="AB199" s="4369" t="s">
        <v>2861</v>
      </c>
      <c r="AC199" s="4370"/>
      <c r="AD199" s="4370"/>
      <c r="AE199" s="4370"/>
      <c r="AF199" s="4371"/>
      <c r="AG199" s="2092" t="s">
        <v>1406</v>
      </c>
      <c r="AH199" s="2369"/>
      <c r="AI199" s="4511"/>
      <c r="AJ199" s="2925" t="s">
        <v>9548</v>
      </c>
      <c r="AK199" s="2920" t="str">
        <f>IF(V185="","",IF(SUM(V187:V191)=0,"",V185&amp;" "&amp;SUM(V187:V191)+V194&amp;IF(SUM(W187:W191)=0,""," ("&amp;SUM(W187:W191)&amp;")")&amp;", "))</f>
        <v/>
      </c>
      <c r="AL199" s="2920" t="str">
        <f>IF(X185="","",IF(SUM(X187:X191)=0,"",X185&amp;" "&amp;SUM(X187:X191)+X194&amp;IF(SUM(Y187:Y191)=0,""," ("&amp;SUM(Y187:Y191)&amp;")")&amp;", "))</f>
        <v/>
      </c>
      <c r="AM199" s="2920" t="str">
        <f>IF(Z185="","",IF(SUM(Z187:Z191)=0,"",Z185&amp;" "&amp;SUM(Z187:Z191)+Z194&amp;IF(SUM(AA187:AA191)=0,""," ("&amp;SUM(AA187:AA191)&amp;")")&amp;", "))</f>
        <v/>
      </c>
      <c r="AN199" s="2920" t="str">
        <f>IF(AB185="","",IF(SUM(AB187:AB191)=0,"",AB185&amp;" "&amp;SUM(AB187:AB191)+AB194&amp;IF(SUM(AC187:AC191)=0,""," ("&amp;SUM(AC187:AC191)&amp;")")&amp;", "))</f>
        <v/>
      </c>
      <c r="AO199" s="2920" t="str">
        <f>IF(AD185="","",IF(SUM(AD187:AD191)=0,"",AD185&amp;" "&amp;SUM(AD187:AD191)+AD194&amp;IF(SUM(AE187:AE191)=0,""," ("&amp;SUM(AE187:AE191)&amp;")")&amp;", "))</f>
        <v/>
      </c>
      <c r="AP199" s="2920" t="str">
        <f>IF(AF185="","",IF(SUM(AF187:AF191)=0,"",AF185&amp;" "&amp;SUM(AF187:AF191)+AF194&amp;IF(SUM(AG187:AG191)=0,""," ("&amp;SUM(AG187:AG191)&amp;")")&amp;", "))</f>
        <v/>
      </c>
      <c r="AQ199" s="2920"/>
      <c r="AR199" s="2920"/>
      <c r="AS199" s="2920"/>
      <c r="AT199" s="2920"/>
      <c r="AU199" s="2920"/>
      <c r="AV199" s="2920"/>
      <c r="AW199" s="2920"/>
      <c r="AX199" s="2920"/>
      <c r="AY199" s="2920"/>
    </row>
    <row r="200" spans="1:51" ht="12.2" customHeight="1" x14ac:dyDescent="0.2">
      <c r="A200" s="2360"/>
      <c r="B200" s="2252">
        <f t="shared" si="44"/>
        <v>6</v>
      </c>
      <c r="C200" s="4508"/>
      <c r="D200" s="4390"/>
      <c r="E200" s="4366"/>
      <c r="F200" s="4366"/>
      <c r="G200" s="4366"/>
      <c r="H200" s="4366"/>
      <c r="I200" s="2093" t="str">
        <f>IF(OR(D196="",D200=""),"",MAX(1,SUMPRODUCT(--(INDEX('Tablas Técnicas'!$C$10:$L$643,,1)=D196),--(INDEX('Tablas Técnicas'!$C$10:$L$643,,2)=D200),INDEX('Tablas Técnicas'!$C$10:$L$643,,9))))</f>
        <v/>
      </c>
      <c r="J200" s="4365"/>
      <c r="K200" s="4366"/>
      <c r="L200" s="4366"/>
      <c r="M200" s="4366"/>
      <c r="N200" s="4366"/>
      <c r="O200" s="2093" t="str">
        <f>IF(OR(J196="",J200=""),"",MAX(1,SUMPRODUCT(--(INDEX('Tablas Técnicas'!$C$10:$L$643,,1)=J196),--(INDEX('Tablas Técnicas'!$C$10:$L$643,,2)=J200),INDEX('Tablas Técnicas'!$C$10:$L$643,,9))))</f>
        <v/>
      </c>
      <c r="P200" s="4365"/>
      <c r="Q200" s="4366"/>
      <c r="R200" s="4366"/>
      <c r="S200" s="4366"/>
      <c r="T200" s="4366"/>
      <c r="U200" s="2093" t="str">
        <f>IF(OR(P196="",P200=""),"",MAX(1,SUMPRODUCT(--(INDEX('Tablas Técnicas'!$C$10:$L$643,,1)=P196),--(INDEX('Tablas Técnicas'!$C$10:$L$643,,2)=P200),INDEX('Tablas Técnicas'!$C$10:$L$643,,9))))</f>
        <v/>
      </c>
      <c r="V200" s="4365"/>
      <c r="W200" s="4366"/>
      <c r="X200" s="4366"/>
      <c r="Y200" s="4366"/>
      <c r="Z200" s="4366"/>
      <c r="AA200" s="2093" t="str">
        <f>IF(OR(V196="",V200=""),"",MAX(1,SUMPRODUCT(--(INDEX('Tablas Técnicas'!$C$10:$L$643,,1)=V196),--(INDEX('Tablas Técnicas'!$C$10:$L$643,,2)=V200),INDEX('Tablas Técnicas'!$C$10:$L$643,,9))))</f>
        <v/>
      </c>
      <c r="AB200" s="4365"/>
      <c r="AC200" s="4366"/>
      <c r="AD200" s="4366"/>
      <c r="AE200" s="4366"/>
      <c r="AF200" s="4366"/>
      <c r="AG200" s="2094" t="str">
        <f>IF(OR(AB196="",AB200=""),"",MAX(1,SUMPRODUCT(--(INDEX('Tablas Técnicas'!$C$10:$L$643,,1)=AB196),--(INDEX('Tablas Técnicas'!$C$10:$L$643,,2)=AB200),INDEX('Tablas Técnicas'!$C$10:$L$643,,9))))</f>
        <v/>
      </c>
      <c r="AH200" s="2369">
        <f>P183</f>
        <v>1</v>
      </c>
      <c r="AI200" s="4511"/>
      <c r="AJ200" s="2920" t="s">
        <v>9512</v>
      </c>
      <c r="AK200" s="2920"/>
      <c r="AL200" s="2920">
        <f>MAX(0,SUM(AT187:AT191)+ABS($AC192*2/5))+IF(AM209,0,Y192)+IF(S183="Si",3*P183,0)</f>
        <v>0</v>
      </c>
      <c r="AM200" s="2920">
        <f t="array" ref="AM200">IF(ISNUMBER(SEARCH("Mantenido",K187&amp;K188&amp;K189&amp;K190&amp;K191)),MAX(0,SUM(VALUE(RIGHT($P187:$P191,2)))),0)</f>
        <v>0</v>
      </c>
      <c r="AN200" s="2922"/>
      <c r="AO200" s="2922"/>
      <c r="AP200" s="2927"/>
      <c r="AQ200" s="2927"/>
      <c r="AR200" s="2927"/>
      <c r="AS200" s="2927"/>
      <c r="AT200" s="2927"/>
      <c r="AU200" s="2927"/>
      <c r="AV200" s="2927"/>
      <c r="AW200" s="2927"/>
      <c r="AX200" s="2927"/>
      <c r="AY200" s="2920"/>
    </row>
    <row r="201" spans="1:51" ht="12.2" customHeight="1" x14ac:dyDescent="0.2">
      <c r="A201" s="2360"/>
      <c r="B201" s="2252">
        <f t="shared" si="44"/>
        <v>6</v>
      </c>
      <c r="C201" s="4508"/>
      <c r="D201" s="4374"/>
      <c r="E201" s="4375"/>
      <c r="F201" s="4375"/>
      <c r="G201" s="4375"/>
      <c r="H201" s="4375"/>
      <c r="I201" s="2095" t="str">
        <f>IF(OR(D196="",D201=""),"",MAX(1,SUMPRODUCT(--(INDEX('Tablas Técnicas'!$C$10:$L$643,,1)=D196),--(INDEX('Tablas Técnicas'!$C$10:$L$643,,2)=D201),INDEX('Tablas Técnicas'!$C$10:$L$643,,9))))</f>
        <v/>
      </c>
      <c r="J201" s="4374"/>
      <c r="K201" s="4375"/>
      <c r="L201" s="4375"/>
      <c r="M201" s="4375"/>
      <c r="N201" s="4375"/>
      <c r="O201" s="2095" t="str">
        <f>IF(OR(J196="",J201=""),"",MAX(1,SUMPRODUCT(--(INDEX('Tablas Técnicas'!$C$10:$L$643,,1)=J196),--(INDEX('Tablas Técnicas'!$C$10:$L$643,,2)=J201),INDEX('Tablas Técnicas'!$C$10:$L$643,,9))))</f>
        <v/>
      </c>
      <c r="P201" s="4374"/>
      <c r="Q201" s="4375"/>
      <c r="R201" s="4375"/>
      <c r="S201" s="4375"/>
      <c r="T201" s="4375"/>
      <c r="U201" s="2095" t="str">
        <f>IF(OR(P196="",P201=""),"",MAX(1,SUMPRODUCT(--(INDEX('Tablas Técnicas'!$C$10:$L$643,,1)=P196),--(INDEX('Tablas Técnicas'!$C$10:$L$643,,2)=P201),INDEX('Tablas Técnicas'!$C$10:$L$643,,9))))</f>
        <v/>
      </c>
      <c r="V201" s="4374"/>
      <c r="W201" s="4375"/>
      <c r="X201" s="4375"/>
      <c r="Y201" s="4375"/>
      <c r="Z201" s="4375"/>
      <c r="AA201" s="2095" t="str">
        <f>IF(OR(V196="",V201=""),"",MAX(1,SUMPRODUCT(--(INDEX('Tablas Técnicas'!$C$10:$L$643,,1)=V196),--(INDEX('Tablas Técnicas'!$C$10:$L$643,,2)=V201),INDEX('Tablas Técnicas'!$C$10:$L$643,,9))))</f>
        <v/>
      </c>
      <c r="AB201" s="4374"/>
      <c r="AC201" s="4375"/>
      <c r="AD201" s="4375"/>
      <c r="AE201" s="4375"/>
      <c r="AF201" s="4375"/>
      <c r="AG201" s="2096" t="str">
        <f>IF(OR(AB196="",AB201=""),"",MAX(1,SUMPRODUCT(--(INDEX('Tablas Técnicas'!$C$10:$L$643,,1)=AB196),--(INDEX('Tablas Técnicas'!$C$10:$L$643,,2)=AB201),INDEX('Tablas Técnicas'!$C$10:$L$643,,9))))</f>
        <v/>
      </c>
      <c r="AH201" s="2369">
        <f>P183</f>
        <v>1</v>
      </c>
      <c r="AI201" s="4511"/>
      <c r="AJ201" s="2920" t="s">
        <v>9018</v>
      </c>
      <c r="AK201" s="2920"/>
      <c r="AL201" s="2920">
        <f>SUM(V187:V191,X187:X191,Z187:Z191,AB187:AB191,AD187:AD191,AF187:AF191)+SUM(V194:AG194)</f>
        <v>0</v>
      </c>
      <c r="AM201" s="2920">
        <f>SUM(W187:W191,Y187:Y191,AA187:AA191,AC187:AC191,AE187:AE191,AG187:AG191)</f>
        <v>0</v>
      </c>
      <c r="AN201" s="2920"/>
      <c r="AO201" s="2920"/>
      <c r="AP201" s="2920"/>
      <c r="AQ201" s="2920"/>
      <c r="AR201" s="2920"/>
      <c r="AS201" s="2920"/>
      <c r="AT201" s="2920"/>
      <c r="AU201" s="2920"/>
      <c r="AV201" s="2920"/>
      <c r="AW201" s="2922"/>
      <c r="AX201" s="2920"/>
      <c r="AY201" s="2920"/>
    </row>
    <row r="202" spans="1:51" ht="12.2" customHeight="1" x14ac:dyDescent="0.2">
      <c r="A202" s="2360"/>
      <c r="B202" s="2252">
        <f t="shared" si="44"/>
        <v>6</v>
      </c>
      <c r="C202" s="4508"/>
      <c r="D202" s="4374"/>
      <c r="E202" s="4375"/>
      <c r="F202" s="4375"/>
      <c r="G202" s="4375"/>
      <c r="H202" s="4375"/>
      <c r="I202" s="2095" t="str">
        <f>IF(OR(D196="",D202=""),"",MAX(1,SUMPRODUCT(--(INDEX('Tablas Técnicas'!$C$10:$L$643,,1)=D196),--(INDEX('Tablas Técnicas'!$C$10:$L$643,,2)=D202),INDEX('Tablas Técnicas'!$C$10:$L$643,,9))))</f>
        <v/>
      </c>
      <c r="J202" s="4374"/>
      <c r="K202" s="4375"/>
      <c r="L202" s="4375"/>
      <c r="M202" s="4375"/>
      <c r="N202" s="4375"/>
      <c r="O202" s="2095" t="str">
        <f>IF(OR(J196="",J202=""),"",MAX(1,SUMPRODUCT(--(INDEX('Tablas Técnicas'!$C$10:$L$643,,1)=J196),--(INDEX('Tablas Técnicas'!$C$10:$L$643,,2)=J202),INDEX('Tablas Técnicas'!$C$10:$L$643,,9))))</f>
        <v/>
      </c>
      <c r="P202" s="4374"/>
      <c r="Q202" s="4375"/>
      <c r="R202" s="4375"/>
      <c r="S202" s="4375"/>
      <c r="T202" s="4375"/>
      <c r="U202" s="2095" t="str">
        <f>IF(OR(P196="",P202=""),"",MAX(1,SUMPRODUCT(--(INDEX('Tablas Técnicas'!$C$10:$L$643,,1)=P196),--(INDEX('Tablas Técnicas'!$C$10:$L$643,,2)=P202),INDEX('Tablas Técnicas'!$C$10:$L$643,,9))))</f>
        <v/>
      </c>
      <c r="V202" s="4374"/>
      <c r="W202" s="4375"/>
      <c r="X202" s="4375"/>
      <c r="Y202" s="4375"/>
      <c r="Z202" s="4375"/>
      <c r="AA202" s="2095" t="str">
        <f>IF(OR(V196="",V202=""),"",MAX(1,SUMPRODUCT(--(INDEX('Tablas Técnicas'!$C$10:$L$643,,1)=V196),--(INDEX('Tablas Técnicas'!$C$10:$L$643,,2)=V202),INDEX('Tablas Técnicas'!$C$10:$L$643,,9))))</f>
        <v/>
      </c>
      <c r="AB202" s="4374"/>
      <c r="AC202" s="4375"/>
      <c r="AD202" s="4375"/>
      <c r="AE202" s="4375"/>
      <c r="AF202" s="4375"/>
      <c r="AG202" s="2096" t="str">
        <f>IF(OR(AB196="",AB202=""),"",MAX(1,SUMPRODUCT(--(INDEX('Tablas Técnicas'!$C$10:$L$643,,1)=AB196),--(INDEX('Tablas Técnicas'!$C$10:$L$643,,2)=AB202),INDEX('Tablas Técnicas'!$C$10:$L$643,,9))))</f>
        <v/>
      </c>
      <c r="AH202" s="2369">
        <f>P183</f>
        <v>1</v>
      </c>
      <c r="AI202" s="4511"/>
      <c r="AJ202" s="2920"/>
      <c r="AK202" s="2920"/>
      <c r="AL202" s="2920"/>
      <c r="AM202" s="2920"/>
      <c r="AN202" s="2920"/>
      <c r="AO202" s="2920"/>
      <c r="AP202" s="2920"/>
      <c r="AQ202" s="2920"/>
      <c r="AR202" s="2920"/>
      <c r="AS202" s="2920"/>
      <c r="AT202" s="2920"/>
      <c r="AU202" s="2920"/>
      <c r="AV202" s="2920"/>
      <c r="AW202" s="2922"/>
      <c r="AX202" s="2922"/>
      <c r="AY202" s="2920"/>
    </row>
    <row r="203" spans="1:51" ht="12.2" customHeight="1" x14ac:dyDescent="0.2">
      <c r="A203" s="2360"/>
      <c r="B203" s="2252">
        <f t="shared" si="44"/>
        <v>6</v>
      </c>
      <c r="C203" s="4508"/>
      <c r="D203" s="4374"/>
      <c r="E203" s="4375"/>
      <c r="F203" s="4375"/>
      <c r="G203" s="4375"/>
      <c r="H203" s="4375"/>
      <c r="I203" s="2095" t="str">
        <f>IF(OR(D196="",D203=""),"",MAX(1,SUMPRODUCT(--(INDEX('Tablas Técnicas'!$C$10:$L$643,,1)=D196),--(INDEX('Tablas Técnicas'!$C$10:$L$643,,2)=D203),INDEX('Tablas Técnicas'!$C$10:$L$643,,9))))</f>
        <v/>
      </c>
      <c r="J203" s="4374"/>
      <c r="K203" s="4375"/>
      <c r="L203" s="4375"/>
      <c r="M203" s="4375"/>
      <c r="N203" s="4375"/>
      <c r="O203" s="2095" t="str">
        <f>IF(OR(J196="",J203=""),"",MAX(1,SUMPRODUCT(--(INDEX('Tablas Técnicas'!$C$10:$L$643,,1)=J196),--(INDEX('Tablas Técnicas'!$C$10:$L$643,,2)=J203),INDEX('Tablas Técnicas'!$C$10:$L$643,,9))))</f>
        <v/>
      </c>
      <c r="P203" s="4374"/>
      <c r="Q203" s="4375"/>
      <c r="R203" s="4375"/>
      <c r="S203" s="4375"/>
      <c r="T203" s="4375"/>
      <c r="U203" s="2095" t="str">
        <f>IF(OR(P196="",P203=""),"",MAX(1,SUMPRODUCT(--(INDEX('Tablas Técnicas'!$C$10:$L$643,,1)=P196),--(INDEX('Tablas Técnicas'!$C$10:$L$643,,2)=P203),INDEX('Tablas Técnicas'!$C$10:$L$643,,9))))</f>
        <v/>
      </c>
      <c r="V203" s="4374"/>
      <c r="W203" s="4375"/>
      <c r="X203" s="4375"/>
      <c r="Y203" s="4375"/>
      <c r="Z203" s="4375"/>
      <c r="AA203" s="2095" t="str">
        <f>IF(OR(V196="",V203=""),"",MAX(1,SUMPRODUCT(--(INDEX('Tablas Técnicas'!$C$10:$L$643,,1)=V196),--(INDEX('Tablas Técnicas'!$C$10:$L$643,,2)=V203),INDEX('Tablas Técnicas'!$C$10:$L$643,,9))))</f>
        <v/>
      </c>
      <c r="AB203" s="4374"/>
      <c r="AC203" s="4375"/>
      <c r="AD203" s="4375"/>
      <c r="AE203" s="4375"/>
      <c r="AF203" s="4375"/>
      <c r="AG203" s="2096" t="str">
        <f>IF(OR(AB196="",AB203=""),"",MAX(1,SUMPRODUCT(--(INDEX('Tablas Técnicas'!$C$10:$L$643,,1)=AB196),--(INDEX('Tablas Técnicas'!$C$10:$L$643,,2)=AB203),INDEX('Tablas Técnicas'!$C$10:$L$643,,9))))</f>
        <v/>
      </c>
      <c r="AH203" s="2369">
        <f>P183</f>
        <v>1</v>
      </c>
      <c r="AI203" s="4511"/>
      <c r="AJ203" s="2920" t="s">
        <v>9019</v>
      </c>
      <c r="AK203" s="2920"/>
      <c r="AL203" s="2920"/>
      <c r="AM203" s="2920"/>
      <c r="AN203" s="2920"/>
      <c r="AO203" s="2920"/>
      <c r="AP203" s="2920"/>
      <c r="AQ203" s="2921"/>
      <c r="AR203" s="2922"/>
      <c r="AS203" s="2922"/>
      <c r="AT203" s="2922"/>
      <c r="AU203" s="2922"/>
      <c r="AV203" s="2922"/>
      <c r="AW203" s="2922"/>
      <c r="AX203" s="2922"/>
      <c r="AY203" s="2920"/>
    </row>
    <row r="204" spans="1:51" ht="12.2" customHeight="1" x14ac:dyDescent="0.2">
      <c r="A204" s="2360"/>
      <c r="B204" s="2252">
        <f t="shared" si="44"/>
        <v>6</v>
      </c>
      <c r="C204" s="4508"/>
      <c r="D204" s="4374"/>
      <c r="E204" s="4375"/>
      <c r="F204" s="4375"/>
      <c r="G204" s="4375"/>
      <c r="H204" s="4375"/>
      <c r="I204" s="2095" t="str">
        <f>IF(OR(D196="",D204=""),"",MAX(1,SUMPRODUCT(--(INDEX('Tablas Técnicas'!$C$10:$L$643,,1)=D196),--(INDEX('Tablas Técnicas'!$C$10:$L$643,,2)=D204),INDEX('Tablas Técnicas'!$C$10:$L$643,,9))))</f>
        <v/>
      </c>
      <c r="J204" s="4374"/>
      <c r="K204" s="4375"/>
      <c r="L204" s="4375"/>
      <c r="M204" s="4375"/>
      <c r="N204" s="4375"/>
      <c r="O204" s="2095" t="str">
        <f>IF(OR(J196="",J204=""),"",MAX(1,SUMPRODUCT(--(INDEX('Tablas Técnicas'!$C$10:$L$643,,1)=J196),--(INDEX('Tablas Técnicas'!$C$10:$L$643,,2)=J204),INDEX('Tablas Técnicas'!$C$10:$L$643,,9))))</f>
        <v/>
      </c>
      <c r="P204" s="4374"/>
      <c r="Q204" s="4375"/>
      <c r="R204" s="4375"/>
      <c r="S204" s="4375"/>
      <c r="T204" s="4375"/>
      <c r="U204" s="2095" t="str">
        <f>IF(OR(P196="",P204=""),"",MAX(1,SUMPRODUCT(--(INDEX('Tablas Técnicas'!$C$10:$L$643,,1)=P196),--(INDEX('Tablas Técnicas'!$C$10:$L$643,,2)=P204),INDEX('Tablas Técnicas'!$C$10:$L$643,,9))))</f>
        <v/>
      </c>
      <c r="V204" s="4374"/>
      <c r="W204" s="4375"/>
      <c r="X204" s="4375"/>
      <c r="Y204" s="4375"/>
      <c r="Z204" s="4375"/>
      <c r="AA204" s="2095" t="str">
        <f>IF(OR(V196="",V204=""),"",MAX(1,SUMPRODUCT(--(INDEX('Tablas Técnicas'!$C$10:$L$643,,1)=V196),--(INDEX('Tablas Técnicas'!$C$10:$L$643,,2)=V204),INDEX('Tablas Técnicas'!$C$10:$L$643,,9))))</f>
        <v/>
      </c>
      <c r="AB204" s="4374"/>
      <c r="AC204" s="4375"/>
      <c r="AD204" s="4375"/>
      <c r="AE204" s="4375"/>
      <c r="AF204" s="4375"/>
      <c r="AG204" s="2096" t="str">
        <f>IF(OR(AB196="",AB204=""),"",MAX(1,SUMPRODUCT(--(INDEX('Tablas Técnicas'!$C$10:$L$643,,1)=AB196),--(INDEX('Tablas Técnicas'!$C$10:$L$643,,2)=AB204),INDEX('Tablas Técnicas'!$C$10:$L$643,,9))))</f>
        <v/>
      </c>
      <c r="AH204" s="2369">
        <f>P183</f>
        <v>1</v>
      </c>
      <c r="AI204" s="4511"/>
      <c r="AJ204" s="2920" t="s">
        <v>10184</v>
      </c>
      <c r="AK204" s="2920"/>
      <c r="AL204" s="2920"/>
      <c r="AM204" s="2920" t="b">
        <f>U183&gt;IF(P183=3,200,IF(P183=2,100,50))</f>
        <v>0</v>
      </c>
      <c r="AN204" s="2920"/>
      <c r="AO204" s="2920"/>
      <c r="AP204" s="2920"/>
      <c r="AQ204" s="2920"/>
      <c r="AR204" s="2922"/>
      <c r="AS204" s="2922"/>
      <c r="AT204" s="2922"/>
      <c r="AU204" s="2922"/>
      <c r="AV204" s="2922"/>
      <c r="AW204" s="2922"/>
      <c r="AX204" s="2922"/>
      <c r="AY204" s="2920"/>
    </row>
    <row r="205" spans="1:51" ht="12.2" customHeight="1" x14ac:dyDescent="0.2">
      <c r="A205" s="2360"/>
      <c r="B205" s="2252">
        <f t="shared" si="44"/>
        <v>6</v>
      </c>
      <c r="C205" s="4508"/>
      <c r="D205" s="4374"/>
      <c r="E205" s="4375"/>
      <c r="F205" s="4375"/>
      <c r="G205" s="4375"/>
      <c r="H205" s="4375"/>
      <c r="I205" s="2095" t="str">
        <f>IF(OR(D196="",D205=""),"",MAX(1,SUMPRODUCT(--(INDEX('Tablas Técnicas'!$C$10:$L$643,,1)=D196),--(INDEX('Tablas Técnicas'!$C$10:$L$643,,2)=D205),INDEX('Tablas Técnicas'!$C$10:$L$643,,9))))</f>
        <v/>
      </c>
      <c r="J205" s="4374"/>
      <c r="K205" s="4375"/>
      <c r="L205" s="4375"/>
      <c r="M205" s="4375"/>
      <c r="N205" s="4375"/>
      <c r="O205" s="2095" t="str">
        <f>IF(OR(J196="",J205=""),"",MAX(1,SUMPRODUCT(--(INDEX('Tablas Técnicas'!$C$10:$L$643,,1)=J196),--(INDEX('Tablas Técnicas'!$C$10:$L$643,,2)=J205),INDEX('Tablas Técnicas'!$C$10:$L$643,,9))))</f>
        <v/>
      </c>
      <c r="P205" s="4374"/>
      <c r="Q205" s="4375"/>
      <c r="R205" s="4375"/>
      <c r="S205" s="4375"/>
      <c r="T205" s="4375"/>
      <c r="U205" s="2095" t="str">
        <f>IF(OR(P196="",P205=""),"",MAX(1,SUMPRODUCT(--(INDEX('Tablas Técnicas'!$C$10:$L$643,,1)=P196),--(INDEX('Tablas Técnicas'!$C$10:$L$643,,2)=P205),INDEX('Tablas Técnicas'!$C$10:$L$643,,9))))</f>
        <v/>
      </c>
      <c r="V205" s="4374"/>
      <c r="W205" s="4375"/>
      <c r="X205" s="4375"/>
      <c r="Y205" s="4375"/>
      <c r="Z205" s="4375"/>
      <c r="AA205" s="2095" t="str">
        <f>IF(OR(V196="",V205=""),"",MAX(1,SUMPRODUCT(--(INDEX('Tablas Técnicas'!$C$10:$L$643,,1)=V196),--(INDEX('Tablas Técnicas'!$C$10:$L$643,,2)=V205),INDEX('Tablas Técnicas'!$C$10:$L$643,,9))))</f>
        <v/>
      </c>
      <c r="AB205" s="4374"/>
      <c r="AC205" s="4375"/>
      <c r="AD205" s="4375"/>
      <c r="AE205" s="4375"/>
      <c r="AF205" s="4375"/>
      <c r="AG205" s="2096" t="str">
        <f>IF(OR(AB196="",AB205=""),"",MAX(1,SUMPRODUCT(--(INDEX('Tablas Técnicas'!$C$10:$L$643,,1)=AB196),--(INDEX('Tablas Técnicas'!$C$10:$L$643,,2)=AB205),INDEX('Tablas Técnicas'!$C$10:$L$643,,9))))</f>
        <v/>
      </c>
      <c r="AH205" s="2369">
        <f>P183</f>
        <v>1</v>
      </c>
      <c r="AI205" s="4511"/>
      <c r="AJ205" s="2920" t="s">
        <v>9020</v>
      </c>
      <c r="AK205" s="2920"/>
      <c r="AL205" s="2920"/>
      <c r="AM205" s="2920" t="b">
        <f t="array" ref="AM205">MAX(I200:I206,O200:O206,U200:U206,AA200:AA206,AG200:AG206,RIGHT(S192:S194,1))&gt;P183</f>
        <v>0</v>
      </c>
      <c r="AN205" s="2920"/>
      <c r="AO205" s="2920"/>
      <c r="AP205" s="2920"/>
      <c r="AQ205" s="2921"/>
      <c r="AR205" s="2922"/>
      <c r="AS205" s="2922"/>
      <c r="AT205" s="2922"/>
      <c r="AU205" s="2922"/>
      <c r="AV205" s="2922"/>
      <c r="AW205" s="2922"/>
      <c r="AX205" s="2922"/>
      <c r="AY205" s="2920"/>
    </row>
    <row r="206" spans="1:51" ht="12.2" customHeight="1" x14ac:dyDescent="0.2">
      <c r="A206" s="2360"/>
      <c r="B206" s="2252">
        <f t="shared" si="44"/>
        <v>6</v>
      </c>
      <c r="C206" s="4508"/>
      <c r="D206" s="4401"/>
      <c r="E206" s="4402"/>
      <c r="F206" s="4402"/>
      <c r="G206" s="4402"/>
      <c r="H206" s="4402"/>
      <c r="I206" s="2097" t="str">
        <f>IF(OR(D196="",D206=""),"",MAX(1,SUMPRODUCT(--(INDEX('Tablas Técnicas'!$C$10:$L$643,,1)=D196),--(INDEX('Tablas Técnicas'!$C$10:$L$643,,2)=D206),INDEX('Tablas Técnicas'!$C$10:$L$643,,9))))</f>
        <v/>
      </c>
      <c r="J206" s="4401"/>
      <c r="K206" s="4402"/>
      <c r="L206" s="4402"/>
      <c r="M206" s="4402"/>
      <c r="N206" s="4402"/>
      <c r="O206" s="2097" t="str">
        <f>IF(OR(J196="",J206=""),"",MAX(1,SUMPRODUCT(--(INDEX('Tablas Técnicas'!$C$10:$L$643,,1)=J196),--(INDEX('Tablas Técnicas'!$C$10:$L$643,,2)=J206),INDEX('Tablas Técnicas'!$C$10:$L$643,,9))))</f>
        <v/>
      </c>
      <c r="P206" s="4401"/>
      <c r="Q206" s="4402"/>
      <c r="R206" s="4402"/>
      <c r="S206" s="4402"/>
      <c r="T206" s="4402"/>
      <c r="U206" s="2097" t="str">
        <f>IF(OR(P196="",P206=""),"",MAX(1,SUMPRODUCT(--(INDEX('Tablas Técnicas'!$C$10:$L$643,,1)=P196),--(INDEX('Tablas Técnicas'!$C$10:$L$643,,2)=P206),INDEX('Tablas Técnicas'!$C$10:$L$643,,9))))</f>
        <v/>
      </c>
      <c r="V206" s="4401"/>
      <c r="W206" s="4402"/>
      <c r="X206" s="4402"/>
      <c r="Y206" s="4402"/>
      <c r="Z206" s="4402"/>
      <c r="AA206" s="2097" t="str">
        <f>IF(OR(V196="",V206=""),"",MAX(1,SUMPRODUCT(--(INDEX('Tablas Técnicas'!$C$10:$L$643,,1)=V196),--(INDEX('Tablas Técnicas'!$C$10:$L$643,,2)=V206),INDEX('Tablas Técnicas'!$C$10:$L$643,,9))))</f>
        <v/>
      </c>
      <c r="AB206" s="4401"/>
      <c r="AC206" s="4402"/>
      <c r="AD206" s="4402"/>
      <c r="AE206" s="4402"/>
      <c r="AF206" s="4402"/>
      <c r="AG206" s="2098" t="str">
        <f>IF(OR(AB196="",AB206=""),"",MAX(1,SUMPRODUCT(--(INDEX('Tablas Técnicas'!$C$10:$L$643,,1)=AB196),--(INDEX('Tablas Técnicas'!$C$10:$L$643,,2)=AB206),INDEX('Tablas Técnicas'!$C$10:$L$643,,9))))</f>
        <v/>
      </c>
      <c r="AH206" s="2369">
        <f>P183</f>
        <v>1</v>
      </c>
      <c r="AI206" s="4511"/>
      <c r="AJ206" s="2920" t="s">
        <v>9529</v>
      </c>
      <c r="AK206" s="2920"/>
      <c r="AL206" s="2920"/>
      <c r="AM206" s="2920" t="b">
        <f>AND(COUNTIF(K187:M191,"Mantenido"),OR(COUNTIF(K187:M191,"Sostenimiento Menor"),COUNTIF(K187:M191,"Sostenimiento Mayor")))</f>
        <v>0</v>
      </c>
      <c r="AN206" s="2921"/>
      <c r="AO206" s="2920"/>
      <c r="AP206" s="2920"/>
      <c r="AQ206" s="2920"/>
      <c r="AR206" s="2920"/>
      <c r="AS206" s="2920"/>
      <c r="AT206" s="2920"/>
      <c r="AU206" s="2922"/>
      <c r="AV206" s="2922"/>
      <c r="AW206" s="2922"/>
      <c r="AX206" s="2922"/>
      <c r="AY206" s="2920"/>
    </row>
    <row r="207" spans="1:51" ht="12.2" customHeight="1" x14ac:dyDescent="0.2">
      <c r="A207" s="2360"/>
      <c r="B207" s="2252">
        <f t="shared" si="44"/>
        <v>6</v>
      </c>
      <c r="C207" s="4508"/>
      <c r="D207" s="4386" t="s">
        <v>1553</v>
      </c>
      <c r="E207" s="4387"/>
      <c r="F207" s="4387"/>
      <c r="G207" s="4387"/>
      <c r="H207" s="4387"/>
      <c r="I207" s="4387"/>
      <c r="J207" s="4387"/>
      <c r="K207" s="4387"/>
      <c r="L207" s="4387"/>
      <c r="M207" s="4387"/>
      <c r="N207" s="4387"/>
      <c r="O207" s="4387"/>
      <c r="P207" s="4387"/>
      <c r="Q207" s="4387"/>
      <c r="R207" s="4387"/>
      <c r="S207" s="4387"/>
      <c r="T207" s="4387"/>
      <c r="U207" s="4387"/>
      <c r="V207" s="4387"/>
      <c r="W207" s="4387"/>
      <c r="X207" s="4387"/>
      <c r="Y207" s="4387"/>
      <c r="Z207" s="4387"/>
      <c r="AA207" s="4387"/>
      <c r="AB207" s="4387"/>
      <c r="AC207" s="4387"/>
      <c r="AD207" s="4387"/>
      <c r="AE207" s="4387"/>
      <c r="AF207" s="4387"/>
      <c r="AG207" s="4442"/>
      <c r="AH207" s="2369"/>
      <c r="AI207" s="4511"/>
      <c r="AJ207" s="2920" t="s">
        <v>9528</v>
      </c>
      <c r="AK207" s="2920"/>
      <c r="AL207" s="2920"/>
      <c r="AM207" s="2920"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20"/>
      <c r="AO207" s="2920"/>
      <c r="AP207" s="2920"/>
      <c r="AQ207" s="2921"/>
      <c r="AR207" s="2920"/>
      <c r="AS207" s="2920"/>
      <c r="AT207" s="2920"/>
      <c r="AU207" s="2922"/>
      <c r="AV207" s="2922"/>
      <c r="AW207" s="2922"/>
      <c r="AX207" s="2922"/>
      <c r="AY207" s="2920"/>
    </row>
    <row r="208" spans="1:51" ht="12.2" customHeight="1" x14ac:dyDescent="0.2">
      <c r="A208" s="2360"/>
      <c r="B208" s="2252">
        <f t="shared" si="44"/>
        <v>6</v>
      </c>
      <c r="C208" s="4508"/>
      <c r="D208" s="4443"/>
      <c r="E208" s="4444"/>
      <c r="F208" s="4444"/>
      <c r="G208" s="4444"/>
      <c r="H208" s="4444"/>
      <c r="I208" s="4444"/>
      <c r="J208" s="4444"/>
      <c r="K208" s="4444"/>
      <c r="L208" s="4444"/>
      <c r="M208" s="4444"/>
      <c r="N208" s="4444"/>
      <c r="O208" s="4444"/>
      <c r="P208" s="4444"/>
      <c r="Q208" s="4444"/>
      <c r="R208" s="4444"/>
      <c r="S208" s="4444"/>
      <c r="T208" s="4444"/>
      <c r="U208" s="4444"/>
      <c r="V208" s="4444"/>
      <c r="W208" s="4444"/>
      <c r="X208" s="4444"/>
      <c r="Y208" s="4444"/>
      <c r="Z208" s="4444"/>
      <c r="AA208" s="4444"/>
      <c r="AB208" s="4444"/>
      <c r="AC208" s="4444"/>
      <c r="AD208" s="4444"/>
      <c r="AE208" s="4444"/>
      <c r="AF208" s="4444"/>
      <c r="AG208" s="4445"/>
      <c r="AH208" s="2369"/>
      <c r="AI208" s="4511"/>
      <c r="AJ208" s="2920" t="s">
        <v>9536</v>
      </c>
      <c r="AK208" s="2920"/>
      <c r="AL208" s="2920"/>
      <c r="AM208" s="2920"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20"/>
      <c r="AO208" s="2920"/>
      <c r="AP208" s="2920"/>
      <c r="AQ208" s="2921"/>
      <c r="AR208" s="2920"/>
      <c r="AS208" s="2920"/>
      <c r="AT208" s="2920"/>
      <c r="AU208" s="2922"/>
      <c r="AV208" s="2922"/>
      <c r="AW208" s="2922"/>
      <c r="AX208" s="2922"/>
      <c r="AY208" s="2920"/>
    </row>
    <row r="209" spans="1:51" ht="12.2" customHeight="1" x14ac:dyDescent="0.2">
      <c r="A209" s="2360"/>
      <c r="B209" s="2252">
        <f t="shared" si="44"/>
        <v>6</v>
      </c>
      <c r="C209" s="4508"/>
      <c r="D209" s="4443"/>
      <c r="E209" s="4444"/>
      <c r="F209" s="4444"/>
      <c r="G209" s="4444"/>
      <c r="H209" s="4444"/>
      <c r="I209" s="4444"/>
      <c r="J209" s="4444"/>
      <c r="K209" s="4444"/>
      <c r="L209" s="4444"/>
      <c r="M209" s="4444"/>
      <c r="N209" s="4444"/>
      <c r="O209" s="4444"/>
      <c r="P209" s="4444"/>
      <c r="Q209" s="4444"/>
      <c r="R209" s="4444"/>
      <c r="S209" s="4444"/>
      <c r="T209" s="4444"/>
      <c r="U209" s="4444"/>
      <c r="V209" s="4444"/>
      <c r="W209" s="4444"/>
      <c r="X209" s="4444"/>
      <c r="Y209" s="4444"/>
      <c r="Z209" s="4444"/>
      <c r="AA209" s="4444"/>
      <c r="AB209" s="4444"/>
      <c r="AC209" s="4444"/>
      <c r="AD209" s="4444"/>
      <c r="AE209" s="4444"/>
      <c r="AF209" s="4444"/>
      <c r="AG209" s="4445"/>
      <c r="AH209" s="2369"/>
      <c r="AI209" s="4511"/>
      <c r="AJ209" s="2920" t="s">
        <v>9515</v>
      </c>
      <c r="AK209" s="2920"/>
      <c r="AL209" s="2920"/>
      <c r="AM209" s="2920" t="b">
        <f>AND((IF(SUM(V187:V191)&gt;0,1,0)+IF(SUM(X187:X191)&gt;0,1,0)+IF(SUM(Z187:Z191)&gt;0,1,0)+IF(SUM(AB187:AB191)&gt;0,1,0)+IF(SUM(AD187:AD191,)&gt;0,1,0)+IF(SUM(AF187:AF191)&gt;0,1,0))&lt;3,OR(V194&lt;0,X194&lt;0,Z194&lt;0,AB194&lt;0,AD194&lt;0,AF194&lt;0,Y192&lt;0))</f>
        <v>0</v>
      </c>
      <c r="AN209" s="2920"/>
      <c r="AO209" s="2920"/>
      <c r="AP209" s="2920"/>
      <c r="AQ209" s="2921"/>
      <c r="AR209" s="2920"/>
      <c r="AS209" s="2920"/>
      <c r="AT209" s="2920"/>
      <c r="AU209" s="2922"/>
      <c r="AV209" s="2922"/>
      <c r="AW209" s="2922"/>
      <c r="AX209" s="2922"/>
      <c r="AY209" s="2920"/>
    </row>
    <row r="210" spans="1:51" ht="12.2" customHeight="1" x14ac:dyDescent="0.2">
      <c r="A210" s="2360"/>
      <c r="B210" s="2252">
        <f t="shared" si="44"/>
        <v>6</v>
      </c>
      <c r="C210" s="4508"/>
      <c r="D210" s="4443"/>
      <c r="E210" s="4444"/>
      <c r="F210" s="4444"/>
      <c r="G210" s="4444"/>
      <c r="H210" s="4444"/>
      <c r="I210" s="4444"/>
      <c r="J210" s="4444"/>
      <c r="K210" s="4444"/>
      <c r="L210" s="4444"/>
      <c r="M210" s="4444"/>
      <c r="N210" s="4444"/>
      <c r="O210" s="4444"/>
      <c r="P210" s="4444"/>
      <c r="Q210" s="4444"/>
      <c r="R210" s="4444"/>
      <c r="S210" s="4444"/>
      <c r="T210" s="4444"/>
      <c r="U210" s="4444"/>
      <c r="V210" s="4444"/>
      <c r="W210" s="4444"/>
      <c r="X210" s="4444"/>
      <c r="Y210" s="4444"/>
      <c r="Z210" s="4444"/>
      <c r="AA210" s="4444"/>
      <c r="AB210" s="4444"/>
      <c r="AC210" s="4444"/>
      <c r="AD210" s="4444"/>
      <c r="AE210" s="4444"/>
      <c r="AF210" s="4444"/>
      <c r="AG210" s="4445"/>
      <c r="AH210" s="2369"/>
      <c r="AI210" s="4511"/>
      <c r="AJ210" s="2920" t="s">
        <v>9530</v>
      </c>
      <c r="AK210" s="2920"/>
      <c r="AL210" s="2920"/>
      <c r="AM210" s="2920" t="b">
        <f>OR(-V194&gt;TRUNC(SUM(V187:V191)/2),-X194&gt;TRUNC(SUM(X187:X191)/2),-Z194&gt;TRUNC(SUM(Z187:Z191)/2),-AB194&gt;TRUNC(SUM(AB187:AB191)/2),-AD194&gt;TRUNC(SUM(AD187:AD191)/2),-AF194&gt;TRUNC(SUM(AF187:AF191)/2))</f>
        <v>0</v>
      </c>
      <c r="AN210" s="2920"/>
      <c r="AO210" s="2920"/>
      <c r="AP210" s="2920"/>
      <c r="AQ210" s="2921"/>
      <c r="AR210" s="2920"/>
      <c r="AS210" s="2920"/>
      <c r="AT210" s="2920"/>
      <c r="AU210" s="2922"/>
      <c r="AV210" s="2922"/>
      <c r="AW210" s="2922"/>
      <c r="AX210" s="2922"/>
      <c r="AY210" s="2920"/>
    </row>
    <row r="211" spans="1:51" ht="12.2" customHeight="1" x14ac:dyDescent="0.2">
      <c r="A211" s="2360"/>
      <c r="B211" s="2252">
        <f t="shared" si="44"/>
        <v>6</v>
      </c>
      <c r="C211" s="4508"/>
      <c r="D211" s="4443"/>
      <c r="E211" s="4444"/>
      <c r="F211" s="4444"/>
      <c r="G211" s="4444"/>
      <c r="H211" s="4444"/>
      <c r="I211" s="4444"/>
      <c r="J211" s="4444"/>
      <c r="K211" s="4444"/>
      <c r="L211" s="4444"/>
      <c r="M211" s="4444"/>
      <c r="N211" s="4444"/>
      <c r="O211" s="4444"/>
      <c r="P211" s="4444"/>
      <c r="Q211" s="4444"/>
      <c r="R211" s="4444"/>
      <c r="S211" s="4444"/>
      <c r="T211" s="4444"/>
      <c r="U211" s="4444"/>
      <c r="V211" s="4444"/>
      <c r="W211" s="4444"/>
      <c r="X211" s="4444"/>
      <c r="Y211" s="4444"/>
      <c r="Z211" s="4444"/>
      <c r="AA211" s="4444"/>
      <c r="AB211" s="4444"/>
      <c r="AC211" s="4444"/>
      <c r="AD211" s="4444"/>
      <c r="AE211" s="4444"/>
      <c r="AF211" s="4444"/>
      <c r="AG211" s="4445"/>
      <c r="AH211" s="2369"/>
      <c r="AI211" s="4511"/>
      <c r="AJ211" s="2920" t="s">
        <v>9531</v>
      </c>
      <c r="AK211" s="2920"/>
      <c r="AL211" s="2920"/>
      <c r="AM211" s="2920" t="b">
        <f>COUNTIF(D187:E191,"Primario")&gt;1</f>
        <v>0</v>
      </c>
      <c r="AN211" s="2920"/>
      <c r="AO211" s="2920"/>
      <c r="AP211" s="2920"/>
      <c r="AQ211" s="2921"/>
      <c r="AR211" s="2921"/>
      <c r="AS211" s="2921"/>
      <c r="AT211" s="2921"/>
      <c r="AU211" s="2922"/>
      <c r="AV211" s="2922"/>
      <c r="AW211" s="2922"/>
      <c r="AX211" s="2920"/>
      <c r="AY211" s="2920"/>
    </row>
    <row r="212" spans="1:51" ht="12.2" customHeight="1" x14ac:dyDescent="0.2">
      <c r="A212" s="2360"/>
      <c r="B212" s="2252">
        <f t="shared" si="44"/>
        <v>6</v>
      </c>
      <c r="C212" s="4508"/>
      <c r="D212" s="4443"/>
      <c r="E212" s="4444"/>
      <c r="F212" s="4444"/>
      <c r="G212" s="4444"/>
      <c r="H212" s="4444"/>
      <c r="I212" s="4444"/>
      <c r="J212" s="4444"/>
      <c r="K212" s="4444"/>
      <c r="L212" s="4444"/>
      <c r="M212" s="4444"/>
      <c r="N212" s="4444"/>
      <c r="O212" s="4444"/>
      <c r="P212" s="4444"/>
      <c r="Q212" s="4444"/>
      <c r="R212" s="4444"/>
      <c r="S212" s="4444"/>
      <c r="T212" s="4444"/>
      <c r="U212" s="4444"/>
      <c r="V212" s="4444"/>
      <c r="W212" s="4444"/>
      <c r="X212" s="4444"/>
      <c r="Y212" s="4444"/>
      <c r="Z212" s="4444"/>
      <c r="AA212" s="4444"/>
      <c r="AB212" s="4444"/>
      <c r="AC212" s="4444"/>
      <c r="AD212" s="4444"/>
      <c r="AE212" s="4444"/>
      <c r="AF212" s="4444"/>
      <c r="AG212" s="4445"/>
      <c r="AH212" s="2369"/>
      <c r="AI212" s="4511"/>
      <c r="AJ212" s="2920" t="s">
        <v>9514</v>
      </c>
      <c r="AK212" s="2920"/>
      <c r="AL212" s="2920"/>
      <c r="AM212" s="2920" t="b">
        <f>SUM(V194:AG194)&lt;&gt;Y192+ABS(AC192)*2/5+IF(S183="Si",3*P183,0)</f>
        <v>0</v>
      </c>
      <c r="AN212" s="2920"/>
      <c r="AO212" s="2920"/>
      <c r="AP212" s="2920"/>
      <c r="AQ212" s="2921"/>
      <c r="AR212" s="2921"/>
      <c r="AS212" s="2921"/>
      <c r="AT212" s="2921"/>
      <c r="AU212" s="2922"/>
      <c r="AV212" s="2922"/>
      <c r="AW212" s="2922"/>
      <c r="AX212" s="2920"/>
      <c r="AY212" s="2920"/>
    </row>
    <row r="213" spans="1:51" ht="12.2" customHeight="1" x14ac:dyDescent="0.2">
      <c r="A213" s="2360"/>
      <c r="B213" s="2252">
        <f t="shared" si="44"/>
        <v>6</v>
      </c>
      <c r="C213" s="4508"/>
      <c r="D213" s="4443"/>
      <c r="E213" s="4444"/>
      <c r="F213" s="4444"/>
      <c r="G213" s="4444"/>
      <c r="H213" s="4444"/>
      <c r="I213" s="4444"/>
      <c r="J213" s="4444"/>
      <c r="K213" s="4444"/>
      <c r="L213" s="4444"/>
      <c r="M213" s="4444"/>
      <c r="N213" s="4444"/>
      <c r="O213" s="4444"/>
      <c r="P213" s="4444"/>
      <c r="Q213" s="4444"/>
      <c r="R213" s="4444"/>
      <c r="S213" s="4444"/>
      <c r="T213" s="4444"/>
      <c r="U213" s="4444"/>
      <c r="V213" s="4444"/>
      <c r="W213" s="4444"/>
      <c r="X213" s="4444"/>
      <c r="Y213" s="4444"/>
      <c r="Z213" s="4444"/>
      <c r="AA213" s="4444"/>
      <c r="AB213" s="4444"/>
      <c r="AC213" s="4444"/>
      <c r="AD213" s="4444"/>
      <c r="AE213" s="4444"/>
      <c r="AF213" s="4444"/>
      <c r="AG213" s="4445"/>
      <c r="AH213" s="2369"/>
      <c r="AI213" s="4511"/>
      <c r="AJ213" s="2920" t="s">
        <v>9513</v>
      </c>
      <c r="AK213" s="2920"/>
      <c r="AL213" s="2920"/>
      <c r="AM213" s="2920" t="b">
        <f>AL200-AL201+AM200-AM201&lt;&gt;0</f>
        <v>0</v>
      </c>
      <c r="AN213" s="2922"/>
      <c r="AO213" s="2922"/>
      <c r="AP213" s="2922"/>
      <c r="AQ213" s="2922"/>
      <c r="AR213" s="2921"/>
      <c r="AS213" s="2921"/>
      <c r="AT213" s="2921"/>
      <c r="AU213" s="2922"/>
      <c r="AV213" s="2922"/>
      <c r="AW213" s="2922"/>
      <c r="AX213" s="2920"/>
      <c r="AY213" s="2920"/>
    </row>
    <row r="214" spans="1:51" ht="12.2" customHeight="1" thickBot="1" x14ac:dyDescent="0.25">
      <c r="A214" s="2360"/>
      <c r="B214" s="2252"/>
      <c r="C214" s="4509"/>
      <c r="D214" s="451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13"/>
      <c r="F214" s="4513"/>
      <c r="G214" s="4513"/>
      <c r="H214" s="4513"/>
      <c r="I214" s="4513"/>
      <c r="J214" s="4513"/>
      <c r="K214" s="4513"/>
      <c r="L214" s="4513"/>
      <c r="M214" s="4513"/>
      <c r="N214" s="4513"/>
      <c r="O214" s="4513"/>
      <c r="P214" s="4513"/>
      <c r="Q214" s="4513"/>
      <c r="R214" s="4513"/>
      <c r="S214" s="4513"/>
      <c r="T214" s="4513"/>
      <c r="U214" s="4513"/>
      <c r="V214" s="4513"/>
      <c r="W214" s="4513"/>
      <c r="X214" s="4513"/>
      <c r="Y214" s="4513"/>
      <c r="Z214" s="4513"/>
      <c r="AA214" s="4513"/>
      <c r="AB214" s="4513"/>
      <c r="AC214" s="4513"/>
      <c r="AD214" s="4513"/>
      <c r="AE214" s="4513"/>
      <c r="AF214" s="4513"/>
      <c r="AG214" s="4514"/>
      <c r="AH214" s="2369"/>
      <c r="AI214" s="4511"/>
      <c r="AJ214" s="2920" t="s">
        <v>9550</v>
      </c>
      <c r="AK214" s="2922"/>
      <c r="AL214" s="2922"/>
      <c r="AM214" s="2922" t="b">
        <f>ABS(SUM(N192:N194))&gt;(SUM(N187:N191)-10*Y192+AC192+IF(S183="Si",10*P183,0)+IF(COUNTIF(K187:M191,"Mantenido")&gt;0,P183*10)+MAX(IF(COUNTIF(K187:M191,"Sostenimiento Menor")&gt;0,P183*20)+IF(COUNTIF(K187:M191,"Sostenimiento Mayor")&gt;0,P183*30)))/2</f>
        <v>0</v>
      </c>
      <c r="AN214" s="2920"/>
      <c r="AO214" s="2920"/>
      <c r="AP214" s="2920"/>
      <c r="AQ214" s="2920"/>
      <c r="AR214" s="2921"/>
      <c r="AS214" s="2921"/>
      <c r="AT214" s="2921"/>
      <c r="AU214" s="2922"/>
      <c r="AV214" s="2922"/>
      <c r="AW214" s="2922"/>
      <c r="AX214" s="2920"/>
      <c r="AY214" s="2920"/>
    </row>
    <row r="215" spans="1:51" ht="12.2" customHeight="1" x14ac:dyDescent="0.2">
      <c r="A215" s="2360"/>
      <c r="B215" s="2252"/>
      <c r="C215" s="4403"/>
      <c r="D215" s="4403" t="str">
        <f>IFERROR(VLOOKUP(D196,'Tablas Técnicas'!$O$9:$T$88,2,FALSE),"")</f>
        <v/>
      </c>
      <c r="E215" s="4403"/>
      <c r="F215" s="4403"/>
      <c r="G215" s="4403"/>
      <c r="H215" s="4403"/>
      <c r="I215" s="4403"/>
      <c r="J215" s="4403" t="str">
        <f>IFERROR(VLOOKUP(J196,'Tablas Técnicas'!$O$9:$T$88,2,FALSE),"")</f>
        <v/>
      </c>
      <c r="K215" s="4403"/>
      <c r="L215" s="4403"/>
      <c r="M215" s="4403"/>
      <c r="N215" s="4403"/>
      <c r="O215" s="4403"/>
      <c r="P215" s="4403" t="str">
        <f>IFERROR(VLOOKUP(P196,'Tablas Técnicas'!$O$9:$T$88,2,FALSE),"")</f>
        <v/>
      </c>
      <c r="Q215" s="4403"/>
      <c r="R215" s="4403"/>
      <c r="S215" s="4403"/>
      <c r="T215" s="4403"/>
      <c r="U215" s="4403"/>
      <c r="V215" s="4403" t="str">
        <f>IFERROR(VLOOKUP(V196,'Tablas Técnicas'!$O$9:$T$88,2,FALSE),"")</f>
        <v/>
      </c>
      <c r="W215" s="4403"/>
      <c r="X215" s="4403"/>
      <c r="Y215" s="4403"/>
      <c r="Z215" s="4403"/>
      <c r="AA215" s="4403"/>
      <c r="AB215" s="4403" t="str">
        <f>IFERROR(VLOOKUP(AB196,'Tablas Técnicas'!$O$9:$T$88,2,FALSE),"")</f>
        <v/>
      </c>
      <c r="AC215" s="4403"/>
      <c r="AD215" s="4403"/>
      <c r="AE215" s="4403"/>
      <c r="AF215" s="4403"/>
      <c r="AG215" s="4403"/>
      <c r="AH215" s="2369"/>
      <c r="AI215" s="2073"/>
      <c r="AJ215" s="2920"/>
      <c r="AK215" s="2920"/>
      <c r="AL215" s="2920"/>
      <c r="AM215" s="2920"/>
      <c r="AN215" s="2920"/>
      <c r="AO215" s="2920"/>
      <c r="AP215" s="2920"/>
      <c r="AQ215" s="2920"/>
      <c r="AR215" s="2921"/>
      <c r="AS215" s="2921"/>
      <c r="AT215" s="2921"/>
      <c r="AU215" s="2922"/>
      <c r="AV215" s="2922"/>
      <c r="AW215" s="2922"/>
      <c r="AX215" s="2922"/>
      <c r="AY215" s="2920"/>
    </row>
    <row r="216" spans="1:51" ht="12.2" customHeight="1" thickBot="1" x14ac:dyDescent="0.25">
      <c r="A216" s="2360"/>
      <c r="B216" s="2252"/>
      <c r="C216" s="4403"/>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28"/>
      <c r="AK216" s="2928"/>
      <c r="AL216" s="2928"/>
      <c r="AM216" s="2928"/>
      <c r="AN216" s="2928"/>
      <c r="AO216" s="2928"/>
      <c r="AP216" s="2920"/>
      <c r="AQ216" s="2921"/>
      <c r="AR216" s="2922"/>
      <c r="AS216" s="2922"/>
      <c r="AT216" s="2922"/>
      <c r="AU216" s="2922"/>
      <c r="AV216" s="2922"/>
      <c r="AW216" s="2922"/>
      <c r="AX216" s="2922"/>
      <c r="AY216" s="2929"/>
    </row>
    <row r="217" spans="1:51" ht="12.2" customHeight="1" x14ac:dyDescent="0.2">
      <c r="A217" s="2360"/>
      <c r="B217" s="2252">
        <f t="shared" ref="B217:B247" si="53">1+B183</f>
        <v>7</v>
      </c>
      <c r="C217" s="4507" t="str">
        <f>"Técnica "&amp;B217</f>
        <v>Técnica 7</v>
      </c>
      <c r="D217" s="4497" t="s">
        <v>8918</v>
      </c>
      <c r="E217" s="4498"/>
      <c r="F217" s="4498"/>
      <c r="G217" s="4498"/>
      <c r="H217" s="4498"/>
      <c r="I217" s="4498"/>
      <c r="J217" s="4498"/>
      <c r="K217" s="4498"/>
      <c r="L217" s="4498"/>
      <c r="M217" s="4498"/>
      <c r="N217" s="4499"/>
      <c r="O217" s="4458" t="s">
        <v>1328</v>
      </c>
      <c r="P217" s="4460">
        <v>1</v>
      </c>
      <c r="Q217" s="4377" t="s">
        <v>9002</v>
      </c>
      <c r="R217" s="4453"/>
      <c r="S217" s="4455" t="s">
        <v>1384</v>
      </c>
      <c r="T217" s="4378" t="s">
        <v>1509</v>
      </c>
      <c r="U217" s="4440">
        <f>MAX(IF(P217=3,60,IF(P217=2,40,20)),MIN(SUM(N221:N228)-10*Y226+AC226+IF(S217="Si",10*P217,0)+IF(COUNTIF(K221:M225,"Mantenido")&gt;0,P217*10)+MAX(IF(COUNTIF(K221:M225,"Sostenimiento Menor")&gt;0,P217*20)+IF(COUNTIF(K221:M225,"Sostenimiento Mayor")&gt;0,P217*30))))</f>
        <v>20</v>
      </c>
      <c r="V217" s="4377" t="s">
        <v>9003</v>
      </c>
      <c r="W217" s="4378"/>
      <c r="X217" s="4381" t="str">
        <f>IFERROR(LEFT(AK233&amp;AL233&amp;AM233&amp;AN233&amp;AO233&amp;AP233,LEN(AK233&amp;AL233&amp;AM233&amp;AN233&amp;AO233&amp;AP233)-2),"")</f>
        <v/>
      </c>
      <c r="Y217" s="4381"/>
      <c r="Z217" s="4381"/>
      <c r="AA217" s="4381"/>
      <c r="AB217" s="4381"/>
      <c r="AC217" s="4381"/>
      <c r="AD217" s="4381"/>
      <c r="AE217" s="4381"/>
      <c r="AF217" s="4381"/>
      <c r="AG217" s="4382"/>
      <c r="AH217" s="2369"/>
      <c r="AI217" s="4511"/>
      <c r="AJ217" s="2925" t="s">
        <v>9547</v>
      </c>
      <c r="AK217" s="2925"/>
      <c r="AL217" s="2925"/>
      <c r="AM217" s="2925"/>
      <c r="AN217" s="2925"/>
      <c r="AO217" s="2925"/>
      <c r="AP217" s="2925"/>
      <c r="AQ217" s="2925"/>
      <c r="AR217" s="2925"/>
      <c r="AS217" s="2920"/>
      <c r="AT217" s="2920"/>
      <c r="AU217" s="2920"/>
      <c r="AV217" s="2920"/>
      <c r="AW217" s="2922"/>
      <c r="AX217" s="2922"/>
      <c r="AY217" s="2920"/>
    </row>
    <row r="218" spans="1:51" ht="12.2" customHeight="1" x14ac:dyDescent="0.2">
      <c r="A218" s="2360"/>
      <c r="B218" s="2252">
        <f t="shared" si="53"/>
        <v>7</v>
      </c>
      <c r="C218" s="4508"/>
      <c r="D218" s="4500"/>
      <c r="E218" s="4520"/>
      <c r="F218" s="4520"/>
      <c r="G218" s="4520"/>
      <c r="H218" s="4520"/>
      <c r="I218" s="4520"/>
      <c r="J218" s="4520"/>
      <c r="K218" s="4520"/>
      <c r="L218" s="4520"/>
      <c r="M218" s="4520"/>
      <c r="N218" s="4521"/>
      <c r="O218" s="4459"/>
      <c r="P218" s="4456"/>
      <c r="Q218" s="4379"/>
      <c r="R218" s="4454"/>
      <c r="S218" s="4456"/>
      <c r="T218" s="4457"/>
      <c r="U218" s="4441"/>
      <c r="V218" s="4379"/>
      <c r="W218" s="4457"/>
      <c r="X218" s="4522"/>
      <c r="Y218" s="4522"/>
      <c r="Z218" s="4522"/>
      <c r="AA218" s="4522"/>
      <c r="AB218" s="4522"/>
      <c r="AC218" s="4522"/>
      <c r="AD218" s="4522"/>
      <c r="AE218" s="4522"/>
      <c r="AF218" s="4522"/>
      <c r="AG218" s="4384"/>
      <c r="AH218" s="2369"/>
      <c r="AI218" s="4511"/>
      <c r="AJ218" s="2925"/>
      <c r="AK218" s="2925" t="s">
        <v>9548</v>
      </c>
      <c r="AL218" s="2925" t="s">
        <v>10268</v>
      </c>
      <c r="AM218" s="2926"/>
      <c r="AN218" s="2926"/>
      <c r="AO218" s="2926"/>
      <c r="AP218" s="2926"/>
      <c r="AQ218" s="2926"/>
      <c r="AR218" s="2925"/>
      <c r="AS218" s="2920"/>
      <c r="AT218" s="2920"/>
      <c r="AU218" s="2920"/>
      <c r="AV218" s="2920"/>
      <c r="AW218" s="2922"/>
      <c r="AX218" s="4510" t="s">
        <v>9517</v>
      </c>
      <c r="AY218" s="4510"/>
    </row>
    <row r="219" spans="1:51" ht="12.2" customHeight="1" x14ac:dyDescent="0.2">
      <c r="A219" s="2360"/>
      <c r="B219" s="2252">
        <f t="shared" si="53"/>
        <v>7</v>
      </c>
      <c r="C219" s="4508"/>
      <c r="D219" s="4386" t="s">
        <v>2858</v>
      </c>
      <c r="E219" s="4387"/>
      <c r="F219" s="4387"/>
      <c r="G219" s="4387"/>
      <c r="H219" s="4387"/>
      <c r="I219" s="4387"/>
      <c r="J219" s="4387"/>
      <c r="K219" s="4467" t="s">
        <v>9847</v>
      </c>
      <c r="L219" s="4467"/>
      <c r="M219" s="4467"/>
      <c r="N219" s="4387" t="s">
        <v>1503</v>
      </c>
      <c r="O219" s="4467" t="s">
        <v>2856</v>
      </c>
      <c r="P219" s="4467" t="s">
        <v>9004</v>
      </c>
      <c r="Q219" s="4387" t="s">
        <v>1367</v>
      </c>
      <c r="R219" s="4387"/>
      <c r="S219" s="4387"/>
      <c r="T219" s="4387"/>
      <c r="U219" s="4387"/>
      <c r="V219" s="4376" t="s">
        <v>1376</v>
      </c>
      <c r="W219" s="4354"/>
      <c r="X219" s="4376" t="s">
        <v>1501</v>
      </c>
      <c r="Y219" s="4464"/>
      <c r="Z219" s="4354" t="s">
        <v>1381</v>
      </c>
      <c r="AA219" s="4354"/>
      <c r="AB219" s="4376" t="s">
        <v>1386</v>
      </c>
      <c r="AC219" s="4464"/>
      <c r="AD219" s="4354" t="s">
        <v>1394</v>
      </c>
      <c r="AE219" s="4354"/>
      <c r="AF219" s="4376" t="s">
        <v>1395</v>
      </c>
      <c r="AG219" s="4355"/>
      <c r="AH219" s="2369"/>
      <c r="AI219" s="4511"/>
      <c r="AJ219" s="2920"/>
      <c r="AK219" s="2920"/>
      <c r="AL219" s="2920" t="s">
        <v>9825</v>
      </c>
      <c r="AM219" s="2920"/>
      <c r="AN219" s="2920"/>
      <c r="AO219" s="2920"/>
      <c r="AP219" s="2920"/>
      <c r="AQ219" s="2920"/>
      <c r="AR219" s="2922"/>
      <c r="AS219" s="2922" t="s">
        <v>9537</v>
      </c>
      <c r="AT219" s="2922" t="s">
        <v>9538</v>
      </c>
      <c r="AU219" s="2920" t="s">
        <v>9526</v>
      </c>
      <c r="AV219" s="2920" t="s">
        <v>9527</v>
      </c>
      <c r="AW219" s="2922" t="s">
        <v>1503</v>
      </c>
      <c r="AX219" s="2922" t="s">
        <v>9006</v>
      </c>
      <c r="AY219" s="2920" t="s">
        <v>9007</v>
      </c>
    </row>
    <row r="220" spans="1:51" ht="12.2" customHeight="1" x14ac:dyDescent="0.2">
      <c r="A220" s="2360"/>
      <c r="B220" s="2252">
        <f t="shared" si="53"/>
        <v>7</v>
      </c>
      <c r="C220" s="4508"/>
      <c r="D220" s="4515"/>
      <c r="E220" s="4516"/>
      <c r="F220" s="4516"/>
      <c r="G220" s="4516"/>
      <c r="H220" s="4516"/>
      <c r="I220" s="4516"/>
      <c r="J220" s="4516"/>
      <c r="K220" s="4517"/>
      <c r="L220" s="4517"/>
      <c r="M220" s="4517"/>
      <c r="N220" s="4518"/>
      <c r="O220" s="4517"/>
      <c r="P220" s="4519"/>
      <c r="Q220" s="4518"/>
      <c r="R220" s="4518"/>
      <c r="S220" s="4518"/>
      <c r="T220" s="4518"/>
      <c r="U220" s="4518"/>
      <c r="V220" s="2257" t="s">
        <v>9516</v>
      </c>
      <c r="W220" s="2361" t="s">
        <v>2862</v>
      </c>
      <c r="X220" s="2257" t="s">
        <v>9516</v>
      </c>
      <c r="Y220" s="2361" t="s">
        <v>2862</v>
      </c>
      <c r="Z220" s="2257" t="s">
        <v>9516</v>
      </c>
      <c r="AA220" s="2361" t="s">
        <v>2862</v>
      </c>
      <c r="AB220" s="2257" t="s">
        <v>9516</v>
      </c>
      <c r="AC220" s="2361" t="s">
        <v>2862</v>
      </c>
      <c r="AD220" s="2257" t="s">
        <v>9516</v>
      </c>
      <c r="AE220" s="2361" t="s">
        <v>2862</v>
      </c>
      <c r="AF220" s="2257" t="s">
        <v>9516</v>
      </c>
      <c r="AG220" s="2080" t="s">
        <v>2862</v>
      </c>
      <c r="AH220" s="2369"/>
      <c r="AI220" s="4511"/>
      <c r="AJ220" s="2920"/>
      <c r="AK220" s="2920" t="s">
        <v>9518</v>
      </c>
      <c r="AL220" s="2920">
        <v>1</v>
      </c>
      <c r="AM220" s="2920">
        <v>2</v>
      </c>
      <c r="AN220" s="2920">
        <v>3</v>
      </c>
      <c r="AO220" s="2920">
        <v>4</v>
      </c>
      <c r="AP220" s="2920">
        <v>5</v>
      </c>
      <c r="AQ220" s="2920">
        <v>6</v>
      </c>
      <c r="AR220" s="2920">
        <v>7</v>
      </c>
      <c r="AS220" s="2922"/>
      <c r="AT220" s="2920" t="s">
        <v>9549</v>
      </c>
      <c r="AU220" s="2922"/>
      <c r="AV220" s="2922"/>
      <c r="AW220" s="2922" t="s">
        <v>9549</v>
      </c>
      <c r="AX220" s="2922"/>
      <c r="AY220" s="2920"/>
    </row>
    <row r="221" spans="1:51" ht="12.2" customHeight="1" x14ac:dyDescent="0.2">
      <c r="A221" s="2360"/>
      <c r="B221" s="2252">
        <f t="shared" si="53"/>
        <v>7</v>
      </c>
      <c r="C221" s="4508"/>
      <c r="D221" s="4486" t="s">
        <v>9008</v>
      </c>
      <c r="E221" s="4487"/>
      <c r="F221" s="4488"/>
      <c r="G221" s="4489"/>
      <c r="H221" s="4489"/>
      <c r="I221" s="4489"/>
      <c r="J221" s="4411"/>
      <c r="K221" s="4490" t="s">
        <v>1459</v>
      </c>
      <c r="L221" s="4491"/>
      <c r="M221" s="4492"/>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93" t="str">
        <f>IFERROR(VLOOKUP(F221,'Tablas Técnicas'!$O$9:$T$88,5,FALSE),"")</f>
        <v/>
      </c>
      <c r="R221" s="4493"/>
      <c r="S221" s="4493"/>
      <c r="T221" s="4493"/>
      <c r="U221" s="4493"/>
      <c r="V221" s="2208"/>
      <c r="W221" s="2209"/>
      <c r="X221" s="2208"/>
      <c r="Y221" s="2210"/>
      <c r="Z221" s="2211"/>
      <c r="AA221" s="2209"/>
      <c r="AB221" s="2208"/>
      <c r="AC221" s="2210"/>
      <c r="AD221" s="2211"/>
      <c r="AE221" s="2209"/>
      <c r="AF221" s="2208"/>
      <c r="AG221" s="2212"/>
      <c r="AH221" s="2369"/>
      <c r="AI221" s="4511"/>
      <c r="AJ221" s="2920">
        <v>1</v>
      </c>
      <c r="AK221" s="2920">
        <f>P217</f>
        <v>1</v>
      </c>
      <c r="AL221" s="2920" t="str">
        <f>IF(AND(ISNUMBER(MATCH($F221,'Tablas Técnicas'!$L$10:$L$643,0)),INDEX($D234:$D240,Tablas!A$1)="",COUNTIF(AM221:$AS221,$F221)=0),$F221,IF(INDEX($D234:$D240,Tablas!A$1)="","",$F221&amp;INDEX($D234:$D240,Tablas!A$1)))</f>
        <v/>
      </c>
      <c r="AM221" s="2920" t="str">
        <f>IF(AND(ISNUMBER(MATCH($F221,'Tablas Técnicas'!$L$10:$L$643,0)),INDEX($D234:$D240,Tablas!B$1)="",COUNTIF(AN221:$AS221,$F221)=0),$F221,IF(INDEX($D234:$D240,Tablas!B$1)="","",$F221&amp;INDEX($D234:$D240,Tablas!B$1)))</f>
        <v/>
      </c>
      <c r="AN221" s="2920" t="str">
        <f>IF(AND(ISNUMBER(MATCH($F221,'Tablas Técnicas'!$L$10:$L$643,0)),INDEX($D234:$D240,Tablas!C$1)="",COUNTIF(AO221:$AS221,$F221)=0),$F221,IF(INDEX($D234:$D240,Tablas!C$1)="","",$F221&amp;INDEX($D234:$D240,Tablas!C$1)))</f>
        <v/>
      </c>
      <c r="AO221" s="2920" t="str">
        <f>IF(AND(ISNUMBER(MATCH($F221,'Tablas Técnicas'!$L$10:$L$643,0)),INDEX($D234:$D240,Tablas!D$1)="",COUNTIF(AP221:$AS221,$F221)=0),$F221,IF(INDEX($D234:$D240,Tablas!D$1)="","",$F221&amp;INDEX($D234:$D240,Tablas!D$1)))</f>
        <v/>
      </c>
      <c r="AP221" s="2920" t="str">
        <f>IF(AND(ISNUMBER(MATCH($F221,'Tablas Técnicas'!$L$10:$L$643,0)),INDEX($D234:$D240,Tablas!E$1)="",COUNTIF(AQ221:$AS221,$F221)=0),$F221,IF(INDEX($D234:$D240,Tablas!E$1)="","",$F221&amp;INDEX($D234:$D240,Tablas!E$1)))</f>
        <v/>
      </c>
      <c r="AQ221" s="2920" t="str">
        <f>IF(AND(ISNUMBER(MATCH($F221,'Tablas Técnicas'!$L$10:$L$643,0)),INDEX($D234:$D240,Tablas!F$1)="",COUNTIF(AR221:$AS221,$F221)=0),$F221,IF(INDEX($D234:$D240,Tablas!F$1)="","",$F221&amp;INDEX($D234:$D240,Tablas!F$1)))</f>
        <v/>
      </c>
      <c r="AR221" s="2920" t="str">
        <f>IF(AND(ISNUMBER(MATCH($F221,'Tablas Técnicas'!$L$10:$L$643,0)),INDEX($D234:$D240,Tablas!G$1)="",COUNTIF(AS221:$AS221,$F221)=0),$F221,IF(INDEX($D234:$D240,Tablas!G$1)="","",$F221&amp;INDEX($D234:$D240,Tablas!G$1)))</f>
        <v/>
      </c>
      <c r="AS221" s="2922">
        <f>V221+X221+Z221+AB221+AD221+AF221</f>
        <v>0</v>
      </c>
      <c r="AT221" s="2922">
        <f t="array" ref="AT221">SUM(IF($AL221:$AR221='Tablas Técnicas'!$L$10:$L$643,IF(D221="Primario",'Tablas Técnicas'!$E$10:$E$643,'Tablas Técnicas'!$F$10:$F$643)+IF(K221="Sostenimiento menor",'Tablas Técnicas'!$I$10:$I$643,IF(K221="sostenimiento mayor",'Tablas Técnicas'!$J$10:$J$643,0)),0),0)+VALUE(RIGHT(P221,2))+AU221+AV221</f>
        <v>0</v>
      </c>
      <c r="AU221" s="292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22">
        <f>(COUNTIF(AL221:AR221,"*Estado añadido:*")-1)*COUNTIF(AL221:AR221,"*Estado añadido:*")</f>
        <v>0</v>
      </c>
      <c r="AW221" s="2922">
        <f t="array" ref="AW221">SUM(IF($AL221:$AR221='Tablas Técnicas'!$L$10:$L$643,'Tablas Técnicas'!$G$10:$G$643,0))</f>
        <v>0</v>
      </c>
      <c r="AX221" s="2920"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20" t="str">
        <f t="shared" ref="AY221:AY223" si="54">IFERROR(LEFT(AX221,LEN(AX221)-2)&amp;"), ","")</f>
        <v/>
      </c>
    </row>
    <row r="222" spans="1:51" ht="12.2" customHeight="1" x14ac:dyDescent="0.2">
      <c r="A222" s="2360"/>
      <c r="B222" s="2252">
        <f t="shared" si="53"/>
        <v>7</v>
      </c>
      <c r="C222" s="4508"/>
      <c r="D222" s="4392" t="s">
        <v>526</v>
      </c>
      <c r="E222" s="4393"/>
      <c r="F222" s="4473"/>
      <c r="G222" s="4474"/>
      <c r="H222" s="4474"/>
      <c r="I222" s="4474"/>
      <c r="J222" s="4420"/>
      <c r="K222" s="4475" t="s">
        <v>1459</v>
      </c>
      <c r="L222" s="4476"/>
      <c r="M222" s="4477"/>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39" t="str">
        <f>IFERROR(VLOOKUP(F222,'Tablas Técnicas'!$O$9:$T$88,5,FALSE),"")</f>
        <v/>
      </c>
      <c r="R222" s="4439"/>
      <c r="S222" s="4439"/>
      <c r="T222" s="4439"/>
      <c r="U222" s="4439"/>
      <c r="V222" s="2213"/>
      <c r="W222" s="2214"/>
      <c r="X222" s="2213"/>
      <c r="Y222" s="2215"/>
      <c r="Z222" s="2216"/>
      <c r="AA222" s="2214"/>
      <c r="AB222" s="2213"/>
      <c r="AC222" s="2215"/>
      <c r="AD222" s="2216"/>
      <c r="AE222" s="2214"/>
      <c r="AF222" s="2213"/>
      <c r="AG222" s="2217"/>
      <c r="AH222" s="2369"/>
      <c r="AI222" s="4511"/>
      <c r="AJ222" s="2920">
        <v>2</v>
      </c>
      <c r="AK222" s="2920">
        <f>P217</f>
        <v>1</v>
      </c>
      <c r="AL222" s="2920" t="str">
        <f>IF(AND(ISNUMBER(MATCH($F222,'Tablas Técnicas'!$L$10:$L$643,0)),INDEX($J234:$J240,Tablas!A$1)="",COUNTIF(AM222:$AS222,$F222)=0),$F222,IF(INDEX($J234:$J240,Tablas!A$1)="","",$F222&amp;INDEX($J234:$J240,Tablas!A$1)))</f>
        <v/>
      </c>
      <c r="AM222" s="2920" t="str">
        <f>IF(AND(ISNUMBER(MATCH($F222,'Tablas Técnicas'!$L$10:$L$643,0)),INDEX($J234:$J240,Tablas!B$1)="",COUNTIF(AN222:$AS222,$F222)=0),$F222,IF(INDEX($J234:$J240,Tablas!B$1)="","",$F222&amp;INDEX($J234:$J240,Tablas!B$1)))</f>
        <v/>
      </c>
      <c r="AN222" s="2920" t="str">
        <f>IF(AND(ISNUMBER(MATCH($F222,'Tablas Técnicas'!$L$10:$L$643,0)),INDEX($J234:$J240,Tablas!C$1)="",COUNTIF(AO222:$AS222,$F222)=0),$F222,IF(INDEX($J234:$J240,Tablas!C$1)="","",$F222&amp;INDEX($J234:$J240,Tablas!C$1)))</f>
        <v/>
      </c>
      <c r="AO222" s="2920" t="str">
        <f>IF(AND(ISNUMBER(MATCH($F222,'Tablas Técnicas'!$L$10:$L$643,0)),INDEX($J234:$J240,Tablas!D$1)="",COUNTIF(AP222:$AS222,$F222)=0),$F222,IF(INDEX($J234:$J240,Tablas!D$1)="","",$F222&amp;INDEX($J234:$J240,Tablas!D$1)))</f>
        <v/>
      </c>
      <c r="AP222" s="2920" t="str">
        <f>IF(AND(ISNUMBER(MATCH($F222,'Tablas Técnicas'!$L$10:$L$643,0)),INDEX($J234:$J240,Tablas!E$1)="",COUNTIF(AQ222:$AS222,$F222)=0),$F222,IF(INDEX($J234:$J240,Tablas!E$1)="","",$F222&amp;INDEX($J234:$J240,Tablas!E$1)))</f>
        <v/>
      </c>
      <c r="AQ222" s="2920" t="str">
        <f>IF(AND(ISNUMBER(MATCH($F222,'Tablas Técnicas'!$L$10:$L$643,0)),INDEX($J234:$J240,Tablas!F$1)="",COUNTIF(AR222:$AS222,$F222)=0),$F222,IF(INDEX($J234:$J240,Tablas!F$1)="","",$F222&amp;INDEX($J234:$J240,Tablas!F$1)))</f>
        <v/>
      </c>
      <c r="AR222" s="2920" t="str">
        <f>IF(AND(ISNUMBER(MATCH($F222,'Tablas Técnicas'!$L$10:$L$643,0)),INDEX($J234:$J240,Tablas!G$1)="",COUNTIF(AS222:$AS222,$F222)=0),$F222,IF(INDEX($J234:$J240,Tablas!G$1)="","",$F222&amp;INDEX($J234:$J240,Tablas!G$1)))</f>
        <v/>
      </c>
      <c r="AS222" s="2922">
        <f>V222+X222+Z222+AB222+AD222+AF222</f>
        <v>0</v>
      </c>
      <c r="AT222" s="2922">
        <f t="array" ref="AT222">SUM(IF($AL222:$AR222='Tablas Técnicas'!$L$10:$L$643,IF(D222="Primario",'Tablas Técnicas'!$E$10:$E$643,'Tablas Técnicas'!$F$10:$F$643)+IF(K222="Sostenimiento menor",'Tablas Técnicas'!$I$10:$I$643,IF(K222="sostenimiento mayor",'Tablas Técnicas'!$J$10:$J$643,0)),0),0)+VALUE(RIGHT(P222,2))+AU222+AV222</f>
        <v>0</v>
      </c>
      <c r="AU222" s="292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22">
        <f>(COUNTIF(AL222:AR222,"*Estado añadido:*")-1)*COUNTIF(AL222:AR222,"*Estado añadido:*")</f>
        <v>0</v>
      </c>
      <c r="AW222" s="2922">
        <f t="array" ref="AW222">SUM(IF($AL222:$AR222='Tablas Técnicas'!$L$10:$L$643,'Tablas Técnicas'!$G$10:$G$643,0))</f>
        <v>0</v>
      </c>
      <c r="AX222" s="2920"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20" t="str">
        <f t="shared" si="54"/>
        <v/>
      </c>
    </row>
    <row r="223" spans="1:51" ht="12.2" customHeight="1" x14ac:dyDescent="0.2">
      <c r="A223" s="2360"/>
      <c r="B223" s="2252">
        <f t="shared" si="53"/>
        <v>7</v>
      </c>
      <c r="C223" s="4508"/>
      <c r="D223" s="4481" t="s">
        <v>526</v>
      </c>
      <c r="E223" s="4482"/>
      <c r="F223" s="4398"/>
      <c r="G223" s="4399"/>
      <c r="H223" s="4399"/>
      <c r="I223" s="4399"/>
      <c r="J223" s="4400"/>
      <c r="K223" s="4478" t="s">
        <v>1459</v>
      </c>
      <c r="L223" s="4479"/>
      <c r="M223" s="4480"/>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523" t="str">
        <f>IFERROR(VLOOKUP(F223,'Tablas Técnicas'!$O$9:$T$88,5,FALSE),"")</f>
        <v/>
      </c>
      <c r="R223" s="4523"/>
      <c r="S223" s="4523"/>
      <c r="T223" s="4523"/>
      <c r="U223" s="4523"/>
      <c r="V223" s="2218"/>
      <c r="W223" s="2219"/>
      <c r="X223" s="2218"/>
      <c r="Y223" s="2220"/>
      <c r="Z223" s="2221"/>
      <c r="AA223" s="2219"/>
      <c r="AB223" s="2218"/>
      <c r="AC223" s="2220"/>
      <c r="AD223" s="2221"/>
      <c r="AE223" s="2219"/>
      <c r="AF223" s="2218"/>
      <c r="AG223" s="2222"/>
      <c r="AH223" s="2369"/>
      <c r="AI223" s="4511"/>
      <c r="AJ223" s="2920">
        <v>3</v>
      </c>
      <c r="AK223" s="2920">
        <f>P217</f>
        <v>1</v>
      </c>
      <c r="AL223" s="2920" t="str">
        <f>IF(AND(ISNUMBER(MATCH($F223,'Tablas Técnicas'!$L$10:$L$643,0)),INDEX($P234:$P240,Tablas!A$1)="",COUNTIF(AM223:$AS223,$F223)=0),$F223,IF(INDEX($P234:$P240,Tablas!A$1)="","",$F223&amp;INDEX($P234:$P240,Tablas!A$1)))</f>
        <v/>
      </c>
      <c r="AM223" s="2920" t="str">
        <f>IF(AND(ISNUMBER(MATCH($F223,'Tablas Técnicas'!$L$10:$L$643,0)),INDEX($P234:$P240,Tablas!B$1)="",COUNTIF(AN223:$AS223,$F223)=0),$F223,IF(INDEX($P234:$P240,Tablas!B$1)="","",$F223&amp;INDEX($P234:$P240,Tablas!B$1)))</f>
        <v/>
      </c>
      <c r="AN223" s="2920" t="str">
        <f>IF(AND(ISNUMBER(MATCH($F223,'Tablas Técnicas'!$L$10:$L$643,0)),INDEX($P234:$P240,Tablas!C$1)="",COUNTIF(AO223:$AS223,$F223)=0),$F223,IF(INDEX($P234:$P240,Tablas!C$1)="","",$F223&amp;INDEX($P234:$P240,Tablas!C$1)))</f>
        <v/>
      </c>
      <c r="AO223" s="2920" t="str">
        <f>IF(AND(ISNUMBER(MATCH($F223,'Tablas Técnicas'!$L$10:$L$643,0)),INDEX($P234:$P240,Tablas!D$1)="",COUNTIF(AP223:$AS223,$F223)=0),$F223,IF(INDEX($P234:$P240,Tablas!D$1)="","",$F223&amp;INDEX($P234:$P240,Tablas!D$1)))</f>
        <v/>
      </c>
      <c r="AP223" s="2920" t="str">
        <f>IF(AND(ISNUMBER(MATCH($F223,'Tablas Técnicas'!$L$10:$L$643,0)),INDEX($P234:$P240,Tablas!E$1)="",COUNTIF(AQ223:$AS223,$F223)=0),$F223,IF(INDEX($P234:$P240,Tablas!E$1)="","",$F223&amp;INDEX($P234:$P240,Tablas!E$1)))</f>
        <v/>
      </c>
      <c r="AQ223" s="2920" t="str">
        <f>IF(AND(ISNUMBER(MATCH($F223,'Tablas Técnicas'!$L$10:$L$643,0)),INDEX($P234:$P240,Tablas!F$1)="",COUNTIF(AR223:$AS223,$F223)=0),$F223,IF(INDEX($P234:$P240,Tablas!F$1)="","",$F223&amp;INDEX($P234:$P240,Tablas!F$1)))</f>
        <v/>
      </c>
      <c r="AR223" s="2920" t="str">
        <f>IF(AND(ISNUMBER(MATCH($F223,'Tablas Técnicas'!$L$10:$L$643,0)),INDEX($P234:$P240,Tablas!G$1)="",COUNTIF(AS223:$AS223,$F223)=0),$F223,IF(INDEX($P234:$P240,Tablas!G$1)="","",$F223&amp;INDEX($P234:$P240,Tablas!G$1)))</f>
        <v/>
      </c>
      <c r="AS223" s="2922">
        <f>V223+X223+Z223+AB223+AD223+AF223</f>
        <v>0</v>
      </c>
      <c r="AT223" s="2922">
        <f t="array" ref="AT223">SUM(IF($AL223:$AR223='Tablas Técnicas'!$L$10:$L$643,IF(D223="Primario",'Tablas Técnicas'!$E$10:$E$643,'Tablas Técnicas'!$F$10:$F$643)+IF(K223="Sostenimiento menor",'Tablas Técnicas'!$I$10:$I$643,IF(K223="sostenimiento mayor",'Tablas Técnicas'!$J$10:$J$643,0)),0),0)+VALUE(RIGHT(P223,2))+AU223+AV223</f>
        <v>0</v>
      </c>
      <c r="AU223" s="292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22">
        <f>(COUNTIF(AL223:AR223,"*Estado añadido:*")-1)*COUNTIF(AL223:AR223,"*Estado añadido:*")</f>
        <v>0</v>
      </c>
      <c r="AW223" s="2922">
        <f t="array" ref="AW223">SUM(IF($AL223:$AR223='Tablas Técnicas'!$L$10:$L$643,'Tablas Técnicas'!$G$10:$G$643,0))</f>
        <v>0</v>
      </c>
      <c r="AX223" s="2920" t="str">
        <f t="shared" si="55"/>
        <v/>
      </c>
      <c r="AY223" s="2920" t="str">
        <f t="shared" si="54"/>
        <v/>
      </c>
    </row>
    <row r="224" spans="1:51" ht="12.2" customHeight="1" x14ac:dyDescent="0.2">
      <c r="A224" s="2360"/>
      <c r="B224" s="2252">
        <f t="shared" si="53"/>
        <v>7</v>
      </c>
      <c r="C224" s="4508"/>
      <c r="D224" s="4392" t="s">
        <v>526</v>
      </c>
      <c r="E224" s="4393"/>
      <c r="F224" s="4473"/>
      <c r="G224" s="4474"/>
      <c r="H224" s="4474"/>
      <c r="I224" s="4474"/>
      <c r="J224" s="4420"/>
      <c r="K224" s="4475" t="s">
        <v>1459</v>
      </c>
      <c r="L224" s="4476"/>
      <c r="M224" s="4477"/>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39" t="str">
        <f>IFERROR(VLOOKUP(F224,'Tablas Técnicas'!$O$9:$T$88,5,FALSE),"")</f>
        <v/>
      </c>
      <c r="R224" s="4439"/>
      <c r="S224" s="4439"/>
      <c r="T224" s="4439"/>
      <c r="U224" s="4439"/>
      <c r="V224" s="2213"/>
      <c r="W224" s="2214"/>
      <c r="X224" s="2213"/>
      <c r="Y224" s="2215"/>
      <c r="Z224" s="2216"/>
      <c r="AA224" s="2214"/>
      <c r="AB224" s="2213"/>
      <c r="AC224" s="2215"/>
      <c r="AD224" s="2216"/>
      <c r="AE224" s="2214"/>
      <c r="AF224" s="2213"/>
      <c r="AG224" s="2217"/>
      <c r="AH224" s="2369"/>
      <c r="AI224" s="4511"/>
      <c r="AJ224" s="2920">
        <v>4</v>
      </c>
      <c r="AK224" s="2920">
        <f>P217</f>
        <v>1</v>
      </c>
      <c r="AL224" s="2920" t="str">
        <f>IF(AND(ISNUMBER(MATCH($F224,'Tablas Técnicas'!$L$10:$L$643,0)),INDEX($V234:$V240,Tablas!A$1)="",COUNTIF(AM224:$AS224,$F224)=0),$F224,IF(INDEX($V234:$V240,Tablas!A$1)="","",$F224&amp;INDEX($V234:$V240,Tablas!A$1)))</f>
        <v/>
      </c>
      <c r="AM224" s="2920" t="str">
        <f>IF(AND(ISNUMBER(MATCH($F224,'Tablas Técnicas'!$L$10:$L$643,0)),INDEX($V234:$V240,Tablas!B$1)="",COUNTIF(AN224:$AS224,$F224)=0),$F224,IF(INDEX($V234:$V240,Tablas!B$1)="","",$F224&amp;INDEX($V234:$V240,Tablas!B$1)))</f>
        <v/>
      </c>
      <c r="AN224" s="2920" t="str">
        <f>IF(AND(ISNUMBER(MATCH($F224,'Tablas Técnicas'!$L$10:$L$643,0)),INDEX($V234:$V240,Tablas!C$1)="",COUNTIF(AO224:$AS224,$F224)=0),$F224,IF(INDEX($V234:$V240,Tablas!C$1)="","",$F224&amp;INDEX($V234:$V240,Tablas!C$1)))</f>
        <v/>
      </c>
      <c r="AO224" s="2920" t="str">
        <f>IF(AND(ISNUMBER(MATCH($F224,'Tablas Técnicas'!$L$10:$L$643,0)),INDEX($V234:$V240,Tablas!D$1)="",COUNTIF(AP224:$AS224,$F224)=0),$F224,IF(INDEX($V234:$V240,Tablas!D$1)="","",$F224&amp;INDEX($V234:$V240,Tablas!D$1)))</f>
        <v/>
      </c>
      <c r="AP224" s="2920" t="str">
        <f>IF(AND(ISNUMBER(MATCH($F224,'Tablas Técnicas'!$L$10:$L$643,0)),INDEX($V234:$V240,Tablas!E$1)="",COUNTIF(AQ224:$AS224,$F224)=0),$F224,IF(INDEX($V234:$V240,Tablas!E$1)="","",$F224&amp;INDEX($V234:$V240,Tablas!E$1)))</f>
        <v/>
      </c>
      <c r="AQ224" s="2920" t="str">
        <f>IF(AND(ISNUMBER(MATCH($F224,'Tablas Técnicas'!$L$10:$L$643,0)),INDEX($V234:$V240,Tablas!F$1)="",COUNTIF(AR224:$AS224,$F224)=0),$F224,IF(INDEX($V234:$V240,Tablas!F$1)="","",$F224&amp;INDEX($V234:$V240,Tablas!F$1)))</f>
        <v/>
      </c>
      <c r="AR224" s="2920" t="str">
        <f>IF(AND(ISNUMBER(MATCH($F224,'Tablas Técnicas'!$L$10:$L$643,0)),INDEX($V234:$V240,Tablas!G$1)="",COUNTIF(AS224:$AS224,$F224)=0),$F224,IF(INDEX($V234:$V240,Tablas!G$1)="","",$F224&amp;INDEX($V234:$V240,Tablas!G$1)))</f>
        <v/>
      </c>
      <c r="AS224" s="2922">
        <f>V224+X224+Z224+AB224+AD224+AF224</f>
        <v>0</v>
      </c>
      <c r="AT224" s="2922">
        <f t="array" ref="AT224">SUM(IF($AL224:$AR224='Tablas Técnicas'!$L$10:$L$643,IF(D224="Primario",'Tablas Técnicas'!$E$10:$E$643,'Tablas Técnicas'!$F$10:$F$643)+IF(K224="Sostenimiento menor",'Tablas Técnicas'!$I$10:$I$643,IF(K224="sostenimiento mayor",'Tablas Técnicas'!$J$10:$J$643,0)),0),0)+VALUE(RIGHT(P224,2))+AU224+AV224</f>
        <v>0</v>
      </c>
      <c r="AU224" s="292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22">
        <f>(COUNTIF(AL224:AR224,"*Estado añadido:*")-1)*COUNTIF(AL224:AR224,"*Estado añadido:*")</f>
        <v>0</v>
      </c>
      <c r="AW224" s="2922">
        <f t="array" ref="AW224">SUM(IF($AL224:$AR224='Tablas Técnicas'!$L$10:$L$643,'Tablas Técnicas'!$G$10:$G$643,0))</f>
        <v>0</v>
      </c>
      <c r="AX224" s="2920" t="str">
        <f t="shared" si="55"/>
        <v/>
      </c>
      <c r="AY224" s="2920" t="str">
        <f>IFERROR(LEFT(AX224,LEN(AX224)-2)&amp;"), ","")</f>
        <v/>
      </c>
    </row>
    <row r="225" spans="1:51" ht="12.2" customHeight="1" thickBot="1" x14ac:dyDescent="0.25">
      <c r="A225" s="2360"/>
      <c r="B225" s="2252">
        <f t="shared" si="53"/>
        <v>7</v>
      </c>
      <c r="C225" s="4508"/>
      <c r="D225" s="4395" t="s">
        <v>526</v>
      </c>
      <c r="E225" s="4396"/>
      <c r="F225" s="4494"/>
      <c r="G225" s="4495"/>
      <c r="H225" s="4495"/>
      <c r="I225" s="4495"/>
      <c r="J225" s="4496"/>
      <c r="K225" s="4470" t="s">
        <v>1459</v>
      </c>
      <c r="L225" s="4471"/>
      <c r="M225" s="4472"/>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46" t="str">
        <f>IFERROR(VLOOKUP(F225,'Tablas Técnicas'!$O$9:$T$88,5,FALSE),"")</f>
        <v/>
      </c>
      <c r="R225" s="4446"/>
      <c r="S225" s="4446"/>
      <c r="T225" s="4446"/>
      <c r="U225" s="4446"/>
      <c r="V225" s="2223"/>
      <c r="W225" s="2224"/>
      <c r="X225" s="2223"/>
      <c r="Y225" s="2225"/>
      <c r="Z225" s="2226"/>
      <c r="AA225" s="2224"/>
      <c r="AB225" s="2223"/>
      <c r="AC225" s="2225"/>
      <c r="AD225" s="2226"/>
      <c r="AE225" s="2224"/>
      <c r="AF225" s="2223"/>
      <c r="AG225" s="2227"/>
      <c r="AH225" s="2369"/>
      <c r="AI225" s="4511"/>
      <c r="AJ225" s="2920">
        <v>5</v>
      </c>
      <c r="AK225" s="2920">
        <f>P217</f>
        <v>1</v>
      </c>
      <c r="AL225" s="2920" t="str">
        <f>IF(AND(ISNUMBER(MATCH($F225,'Tablas Técnicas'!$L$10:$L$643,0)),INDEX($AB234:$AB240,Tablas!A$1)="",COUNTIF(AM225:$AS225,$F225)=0),$F225,IF(INDEX($AB234:$AB240,Tablas!A$1)="","",$F225&amp;INDEX($AB234:$AB240,Tablas!A$1)))</f>
        <v/>
      </c>
      <c r="AM225" s="2920" t="str">
        <f>IF(AND(ISNUMBER(MATCH($F225,'Tablas Técnicas'!$L$10:$L$643,0)),INDEX($AB234:$AB240,Tablas!B$1)="",COUNTIF(AN225:$AS225,$F225)=0),$F225,IF(INDEX($AB234:$AB240,Tablas!B$1)="","",$F225&amp;INDEX($AB234:$AB240,Tablas!B$1)))</f>
        <v/>
      </c>
      <c r="AN225" s="2920" t="str">
        <f>IF(AND(ISNUMBER(MATCH($F225,'Tablas Técnicas'!$L$10:$L$643,0)),INDEX($AB234:$AB240,Tablas!C$1)="",COUNTIF(AO225:$AS225,$F225)=0),$F225,IF(INDEX($AB234:$AB240,Tablas!C$1)="","",$F225&amp;INDEX($AB234:$AB240,Tablas!C$1)))</f>
        <v/>
      </c>
      <c r="AO225" s="2920" t="str">
        <f>IF(AND(ISNUMBER(MATCH($F225,'Tablas Técnicas'!$L$10:$L$643,0)),INDEX($AB234:$AB240,Tablas!D$1)="",COUNTIF(AP225:$AS225,$F225)=0),$F225,IF(INDEX($AB234:$AB240,Tablas!D$1)="","",$F225&amp;INDEX($AB234:$AB240,Tablas!D$1)))</f>
        <v/>
      </c>
      <c r="AP225" s="2920" t="str">
        <f>IF(AND(ISNUMBER(MATCH($F225,'Tablas Técnicas'!$L$10:$L$643,0)),INDEX($AB234:$AB240,Tablas!E$1)="",COUNTIF(AQ225:$AS225,$F225)=0),$F225,IF(INDEX($AB234:$AB240,Tablas!E$1)="","",$F225&amp;INDEX($AB234:$AB240,Tablas!E$1)))</f>
        <v/>
      </c>
      <c r="AQ225" s="2920" t="str">
        <f>IF(AND(ISNUMBER(MATCH($F225,'Tablas Técnicas'!$L$10:$L$643,0)),INDEX($AB234:$AB240,Tablas!F$1)="",COUNTIF(AR225:$AS225,$F225)=0),$F225,IF(INDEX($AB234:$AB240,Tablas!F$1)="","",$F225&amp;INDEX($AB234:$AB240,Tablas!F$1)))</f>
        <v/>
      </c>
      <c r="AR225" s="2920" t="str">
        <f>IF(AND(ISNUMBER(MATCH($F225,'Tablas Técnicas'!$L$10:$L$643,0)),INDEX($AB234:$AB240,Tablas!G$1)="",COUNTIF(AS225:$AS225,$F225)=0),$F225,IF(INDEX($AB234:$AB240,Tablas!G$1)="","",$F225&amp;INDEX($AB234:$AB240,Tablas!G$1)))</f>
        <v/>
      </c>
      <c r="AS225" s="2922">
        <f>V225+X225+Z225+AB225+AD225+AF225</f>
        <v>0</v>
      </c>
      <c r="AT225" s="2922">
        <f t="array" ref="AT225">SUM(IF($AL225:$AR225='Tablas Técnicas'!$L$10:$L$643,IF(D225="Primario",'Tablas Técnicas'!$E$10:$E$643,'Tablas Técnicas'!$F$10:$F$643)+IF(K225="Sostenimiento menor",'Tablas Técnicas'!$I$10:$I$643,IF(K225="sostenimiento mayor",'Tablas Técnicas'!$J$10:$J$643,0)),0),0)+VALUE(RIGHT(P225,2))+AU225+AV225</f>
        <v>0</v>
      </c>
      <c r="AU225" s="292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22">
        <f>(COUNTIF(AL225:AR225,"*Estado añadido:*")-1)*COUNTIF(AL225:AR225,"*Estado añadido:*")</f>
        <v>0</v>
      </c>
      <c r="AW225" s="2922">
        <f t="array" ref="AW225">SUM(IF($AL225:$AR225='Tablas Técnicas'!$L$10:$L$643,'Tablas Técnicas'!$G$10:$G$643,0))</f>
        <v>0</v>
      </c>
      <c r="AX225" s="2920" t="str">
        <f t="shared" si="55"/>
        <v/>
      </c>
      <c r="AY225" s="2920" t="str">
        <f t="shared" ref="AY225" si="56">IFERROR(LEFT(AX225,LEN(AX225)-2)&amp;"), ","")</f>
        <v/>
      </c>
    </row>
    <row r="226" spans="1:51" ht="12.2" customHeight="1" x14ac:dyDescent="0.2">
      <c r="A226" s="2360"/>
      <c r="B226" s="2252">
        <f t="shared" si="53"/>
        <v>7</v>
      </c>
      <c r="C226" s="4508"/>
      <c r="D226" s="4447" t="s">
        <v>2853</v>
      </c>
      <c r="E226" s="4448"/>
      <c r="F226" s="4435"/>
      <c r="G226" s="4436"/>
      <c r="H226" s="4436"/>
      <c r="I226" s="4436"/>
      <c r="J226" s="4437"/>
      <c r="K226" s="4411"/>
      <c r="L226" s="4412"/>
      <c r="M226" s="4413"/>
      <c r="N226" s="2081" t="str">
        <f>IFERROR(INDEX('Tablas Técnicas'!$Q$200:$Q$299,MATCH(F226&amp;K226,'Tablas Técnicas'!$S$200:$S$299,0)),"")</f>
        <v/>
      </c>
      <c r="O226" s="4414"/>
      <c r="P226" s="4415"/>
      <c r="Q226" s="4416"/>
      <c r="R226" s="4415"/>
      <c r="S226" s="2258" t="str">
        <f>IFERROR("Nivel: "&amp;MAX(1,INDEX('Tablas Técnicas'!$R$200:$R$299,MATCH(F226&amp;K226,'Tablas Técnicas'!$S$200:$S$299,0))),"")</f>
        <v/>
      </c>
      <c r="T226" s="2082"/>
      <c r="U226" s="2083" t="str">
        <f>IFERROR("("&amp;VLOOKUP(F226,'Tablas Técnicas'!$V$199:$X$225,3,FALSE)&amp;")","")</f>
        <v/>
      </c>
      <c r="V226" s="4356" t="s">
        <v>9836</v>
      </c>
      <c r="W226" s="4357"/>
      <c r="X226" s="4358"/>
      <c r="Y226" s="2528">
        <v>0</v>
      </c>
      <c r="Z226" s="4359" t="s">
        <v>9013</v>
      </c>
      <c r="AA226" s="4360"/>
      <c r="AB226" s="4361"/>
      <c r="AC226" s="2528">
        <v>0</v>
      </c>
      <c r="AD226" s="4362" t="str">
        <f>"Ki sin repartir: "&amp;AL234-AL235&amp;IF(AM234=0,""," ("&amp;AM234-AM235&amp;")")</f>
        <v>Ki sin repartir: 0</v>
      </c>
      <c r="AE226" s="4363"/>
      <c r="AF226" s="4363"/>
      <c r="AG226" s="4364"/>
      <c r="AH226" s="2369"/>
      <c r="AI226" s="4511"/>
      <c r="AJ226" s="2920">
        <v>1</v>
      </c>
      <c r="AK226" s="2920">
        <f>P217</f>
        <v>1</v>
      </c>
      <c r="AL226" s="2920" t="e">
        <f>VLOOKUP(F226,'Tablas Técnicas'!$V$199:$X$221,2,FALSE)</f>
        <v>#N/A</v>
      </c>
      <c r="AM226" s="2920"/>
      <c r="AN226" s="2921"/>
      <c r="AO226" s="2920"/>
      <c r="AP226" s="2920"/>
      <c r="AQ226" s="2921"/>
      <c r="AR226" s="2920"/>
      <c r="AS226" s="2920"/>
      <c r="AT226" s="2920"/>
      <c r="AU226" s="2920"/>
      <c r="AV226" s="2920"/>
      <c r="AW226" s="2922"/>
      <c r="AX226" s="2922"/>
      <c r="AY226" s="2920" t="str">
        <f>IF(F226="","",F226&amp;IF(K226="",""," ("&amp;IF(F226="Atadura Elemental",O226&amp;IF(Q226="","",", "&amp;Q226),K226)&amp;")")&amp;", ")</f>
        <v/>
      </c>
    </row>
    <row r="227" spans="1:51" ht="12.2" customHeight="1" x14ac:dyDescent="0.2">
      <c r="A227" s="2360"/>
      <c r="B227" s="2252">
        <f t="shared" si="53"/>
        <v>7</v>
      </c>
      <c r="C227" s="4508"/>
      <c r="D227" s="4449"/>
      <c r="E227" s="4450"/>
      <c r="F227" s="4417"/>
      <c r="G227" s="4418"/>
      <c r="H227" s="4418"/>
      <c r="I227" s="4418"/>
      <c r="J227" s="4419"/>
      <c r="K227" s="4420"/>
      <c r="L227" s="4421"/>
      <c r="M227" s="4422"/>
      <c r="N227" s="2084" t="str">
        <f>IFERROR(INDEX('Tablas Técnicas'!$Q$200:$Q$299,MATCH(F227&amp;K227,'Tablas Técnicas'!$S$200:$S$299,0)),"")</f>
        <v/>
      </c>
      <c r="O227" s="4423"/>
      <c r="P227" s="4424"/>
      <c r="Q227" s="4425"/>
      <c r="R227" s="4424"/>
      <c r="S227" s="2077" t="str">
        <f>IFERROR("Nivel: "&amp;MAX(1,INDEX('Tablas Técnicas'!$R$200:$R$299,MATCH(F227&amp;K227,'Tablas Técnicas'!$S$200:$S$299,0))),"")</f>
        <v/>
      </c>
      <c r="T227" s="2187"/>
      <c r="U227" s="2076" t="str">
        <f>IFERROR("("&amp;VLOOKUP(F227,'Tablas Técnicas'!$V$199:$X$225,3,FALSE)&amp;")","")</f>
        <v/>
      </c>
      <c r="V227" s="4353" t="str">
        <f>"Mod. "&amp;V219</f>
        <v>Mod. AGI</v>
      </c>
      <c r="W227" s="4354"/>
      <c r="X227" s="4353" t="str">
        <f t="shared" ref="X227" si="57">"Mod. "&amp;X219</f>
        <v>Mod. CON</v>
      </c>
      <c r="Y227" s="4354"/>
      <c r="Z227" s="4353" t="str">
        <f t="shared" ref="Z227" si="58">"Mod. "&amp;Z219</f>
        <v>Mod. DES</v>
      </c>
      <c r="AA227" s="4354"/>
      <c r="AB227" s="4353" t="str">
        <f t="shared" ref="AB227" si="59">"Mod. "&amp;AB219</f>
        <v>Mod. FUE</v>
      </c>
      <c r="AC227" s="4354"/>
      <c r="AD227" s="4353" t="str">
        <f t="shared" ref="AD227" si="60">"Mod. "&amp;AD219</f>
        <v>Mod. POD</v>
      </c>
      <c r="AE227" s="4354"/>
      <c r="AF227" s="4353" t="str">
        <f t="shared" ref="AF227" si="61">"Mod. "&amp;AF219</f>
        <v>Mod. VOL</v>
      </c>
      <c r="AG227" s="4355"/>
      <c r="AH227" s="2369"/>
      <c r="AI227" s="4511"/>
      <c r="AJ227" s="2920">
        <v>2</v>
      </c>
      <c r="AK227" s="2920">
        <f>P217</f>
        <v>1</v>
      </c>
      <c r="AL227" s="2920" t="e">
        <f>VLOOKUP(F227,'Tablas Técnicas'!$V$199:$X$221,2,FALSE)</f>
        <v>#N/A</v>
      </c>
      <c r="AM227" s="2920"/>
      <c r="AN227" s="2921"/>
      <c r="AO227" s="2920"/>
      <c r="AP227" s="2920"/>
      <c r="AQ227" s="2921"/>
      <c r="AR227" s="2920"/>
      <c r="AS227" s="2920"/>
      <c r="AT227" s="2920"/>
      <c r="AU227" s="2920"/>
      <c r="AV227" s="2920"/>
      <c r="AW227" s="2922"/>
      <c r="AX227" s="2922"/>
      <c r="AY227" s="2920" t="str">
        <f>IF(F227="","",F227&amp;IF(K227="",""," ("&amp;IF(F227="Atadura Elemental",O227&amp;IF(Q227="","",", "&amp;Q227),K227)&amp;")")&amp;", ")</f>
        <v/>
      </c>
    </row>
    <row r="228" spans="1:51" ht="12.2" customHeight="1" thickBot="1" x14ac:dyDescent="0.25">
      <c r="A228" s="2360"/>
      <c r="B228" s="2252">
        <f t="shared" si="53"/>
        <v>7</v>
      </c>
      <c r="C228" s="4508"/>
      <c r="D228" s="4451"/>
      <c r="E228" s="4452"/>
      <c r="F228" s="4426"/>
      <c r="G228" s="4427"/>
      <c r="H228" s="4427"/>
      <c r="I228" s="4427"/>
      <c r="J228" s="4428"/>
      <c r="K228" s="4429"/>
      <c r="L228" s="4430"/>
      <c r="M228" s="4431"/>
      <c r="N228" s="2085" t="str">
        <f>IFERROR(INDEX('Tablas Técnicas'!$Q$200:$Q$299,MATCH(F228&amp;K228,'Tablas Técnicas'!$S$200:$S$299,0)),"")</f>
        <v/>
      </c>
      <c r="O228" s="4432"/>
      <c r="P228" s="4433"/>
      <c r="Q228" s="4434"/>
      <c r="R228" s="4433"/>
      <c r="S228" s="2362" t="str">
        <f>IFERROR("Nivel: "&amp;MAX(1,INDEX('Tablas Técnicas'!$R$200:$R$299,MATCH(F228&amp;K228,'Tablas Técnicas'!$S$200:$S$299,0))),"")</f>
        <v/>
      </c>
      <c r="T228" s="2363"/>
      <c r="U228" s="2188" t="str">
        <f>IFERROR("("&amp;VLOOKUP(F228,'Tablas Técnicas'!$V$199:$X$225,3,FALSE)&amp;")","")</f>
        <v/>
      </c>
      <c r="V228" s="4368"/>
      <c r="W228" s="4367"/>
      <c r="X228" s="4367"/>
      <c r="Y228" s="4367"/>
      <c r="Z228" s="4367"/>
      <c r="AA228" s="4367"/>
      <c r="AB228" s="4367"/>
      <c r="AC228" s="4367"/>
      <c r="AD228" s="4367"/>
      <c r="AE228" s="4367"/>
      <c r="AF228" s="4367"/>
      <c r="AG228" s="4438"/>
      <c r="AH228" s="2369"/>
      <c r="AI228" s="4511"/>
      <c r="AJ228" s="2920">
        <v>3</v>
      </c>
      <c r="AK228" s="2920">
        <f>P217</f>
        <v>1</v>
      </c>
      <c r="AL228" s="2920" t="e">
        <f>VLOOKUP(F228,'Tablas Técnicas'!$V$199:$X$221,2,FALSE)</f>
        <v>#N/A</v>
      </c>
      <c r="AM228" s="2920"/>
      <c r="AN228" s="2921"/>
      <c r="AO228" s="2920"/>
      <c r="AP228" s="2920"/>
      <c r="AQ228" s="2921"/>
      <c r="AR228" s="2922"/>
      <c r="AS228" s="2922"/>
      <c r="AT228" s="2922"/>
      <c r="AU228" s="2922"/>
      <c r="AV228" s="2922"/>
      <c r="AW228" s="2922"/>
      <c r="AX228" s="2922"/>
      <c r="AY228" s="2920" t="str">
        <f>IF(F228="","",F228&amp;IF(K228="",""," ("&amp;IF(F228="Atadura Elemental",O228&amp;IF(Q228="","",", "&amp;Q228),K228)&amp;")")&amp;", ")</f>
        <v/>
      </c>
    </row>
    <row r="229" spans="1:51" ht="12.2" customHeight="1" x14ac:dyDescent="0.2">
      <c r="A229" s="2360"/>
      <c r="B229" s="2252">
        <f t="shared" si="53"/>
        <v>7</v>
      </c>
      <c r="C229" s="4508"/>
      <c r="D229" s="4386" t="s">
        <v>9511</v>
      </c>
      <c r="E229" s="4387"/>
      <c r="F229" s="4387"/>
      <c r="G229" s="4387"/>
      <c r="H229" s="4387"/>
      <c r="I229" s="4387"/>
      <c r="J229" s="4387"/>
      <c r="K229" s="4387"/>
      <c r="L229" s="4387"/>
      <c r="M229" s="4387"/>
      <c r="N229" s="4387"/>
      <c r="O229" s="4387"/>
      <c r="P229" s="4387"/>
      <c r="Q229" s="4387"/>
      <c r="R229" s="4387"/>
      <c r="S229" s="4387"/>
      <c r="T229" s="4387"/>
      <c r="U229" s="4387"/>
      <c r="V229" s="4518"/>
      <c r="W229" s="4518"/>
      <c r="X229" s="4518"/>
      <c r="Y229" s="4518"/>
      <c r="Z229" s="4518"/>
      <c r="AA229" s="4518"/>
      <c r="AB229" s="4518"/>
      <c r="AC229" s="4518"/>
      <c r="AD229" s="4518"/>
      <c r="AE229" s="4518"/>
      <c r="AF229" s="4518"/>
      <c r="AG229" s="4389"/>
      <c r="AH229" s="2369"/>
      <c r="AI229" s="4511"/>
      <c r="AJ229" s="2920"/>
      <c r="AK229" s="2920"/>
      <c r="AL229" s="2920"/>
      <c r="AM229" s="2920"/>
      <c r="AN229" s="2921" t="s">
        <v>9014</v>
      </c>
      <c r="AO229" s="2920" t="e">
        <f>LEFT(AY221&amp;AY222&amp;AY223&amp;AY224&amp;AY225,LEN(AY221&amp;AY222&amp;AY223&amp;AY224&amp;AY225)-2)</f>
        <v>#VALUE!</v>
      </c>
      <c r="AP229" s="2920"/>
      <c r="AQ229" s="2921"/>
      <c r="AR229" s="2922"/>
      <c r="AS229" s="2922"/>
      <c r="AT229" s="2922"/>
      <c r="AU229" s="2921"/>
      <c r="AV229" s="2921"/>
      <c r="AW229" s="2922"/>
      <c r="AX229" s="2922"/>
      <c r="AY229" s="2920"/>
    </row>
    <row r="230" spans="1:51" ht="12.2" customHeight="1" x14ac:dyDescent="0.2">
      <c r="A230" s="2360"/>
      <c r="B230" s="2252">
        <f t="shared" si="53"/>
        <v>7</v>
      </c>
      <c r="C230" s="4508"/>
      <c r="D230" s="4369" t="str">
        <f>IF(F221="","",F221)</f>
        <v/>
      </c>
      <c r="E230" s="4370"/>
      <c r="F230" s="4370"/>
      <c r="G230" s="4370"/>
      <c r="H230" s="4370"/>
      <c r="I230" s="4371"/>
      <c r="J230" s="4369" t="str">
        <f>IF(F222="","",F222)</f>
        <v/>
      </c>
      <c r="K230" s="4370"/>
      <c r="L230" s="4370"/>
      <c r="M230" s="4370"/>
      <c r="N230" s="4370"/>
      <c r="O230" s="4371"/>
      <c r="P230" s="4370" t="str">
        <f>IF(F223="","",F223)</f>
        <v/>
      </c>
      <c r="Q230" s="4370"/>
      <c r="R230" s="4370"/>
      <c r="S230" s="4370"/>
      <c r="T230" s="4370"/>
      <c r="U230" s="4371"/>
      <c r="V230" s="4369" t="str">
        <f>IF(F224="","",F224)</f>
        <v/>
      </c>
      <c r="W230" s="4370"/>
      <c r="X230" s="4370"/>
      <c r="Y230" s="4370"/>
      <c r="Z230" s="4370"/>
      <c r="AA230" s="4371"/>
      <c r="AB230" s="4370" t="str">
        <f>IF(F225="","",F225)</f>
        <v/>
      </c>
      <c r="AC230" s="4370"/>
      <c r="AD230" s="4370"/>
      <c r="AE230" s="4370"/>
      <c r="AF230" s="4370"/>
      <c r="AG230" s="4385"/>
      <c r="AH230" s="2369"/>
      <c r="AI230" s="4511"/>
      <c r="AJ230" s="2920"/>
      <c r="AK230" s="2920"/>
      <c r="AL230" s="2920"/>
      <c r="AM230" s="2920"/>
      <c r="AN230" s="2921" t="s">
        <v>9015</v>
      </c>
      <c r="AO230" s="2920" t="e">
        <f>LEFT(AY226&amp;AY227&amp;AY228,LEN(AY226&amp;AY227&amp;AY228)-2)</f>
        <v>#VALUE!</v>
      </c>
      <c r="AP230" s="2920"/>
      <c r="AQ230" s="2921"/>
      <c r="AR230" s="2922"/>
      <c r="AS230" s="2922"/>
      <c r="AT230" s="2922"/>
      <c r="AU230" s="2921"/>
      <c r="AV230" s="2921"/>
      <c r="AW230" s="2922"/>
      <c r="AX230" s="2922"/>
      <c r="AY230" s="2920"/>
    </row>
    <row r="231" spans="1:51" ht="12.2" customHeight="1" x14ac:dyDescent="0.2">
      <c r="A231" s="2360"/>
      <c r="B231" s="2252">
        <f t="shared" si="53"/>
        <v>7</v>
      </c>
      <c r="C231" s="4508"/>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511"/>
      <c r="AJ231" s="2920"/>
      <c r="AK231" s="2920"/>
      <c r="AL231" s="2920"/>
      <c r="AM231" s="2920"/>
      <c r="AN231" s="2921"/>
      <c r="AO231" s="2920"/>
      <c r="AP231" s="2920"/>
      <c r="AQ231" s="2921"/>
      <c r="AR231" s="2922"/>
      <c r="AS231" s="2922"/>
      <c r="AT231" s="2922"/>
      <c r="AU231" s="2922"/>
      <c r="AV231" s="2922"/>
      <c r="AW231" s="2922"/>
      <c r="AX231" s="2922"/>
      <c r="AY231" s="2920"/>
    </row>
    <row r="232" spans="1:51" ht="12.2" customHeight="1" x14ac:dyDescent="0.2">
      <c r="A232" s="2360"/>
      <c r="B232" s="2252">
        <f t="shared" si="53"/>
        <v>7</v>
      </c>
      <c r="C232" s="4508"/>
      <c r="D232" s="2198" t="s">
        <v>9016</v>
      </c>
      <c r="E232" s="2189"/>
      <c r="F232" s="2190"/>
      <c r="G232" s="2191"/>
      <c r="H232" s="2191"/>
      <c r="I232" s="2188" t="str">
        <f>IFERROR(IF(D230="Ataque Elemental",IF(NOT(ISNA(VLOOKUP(D234,'Tablas Técnicas'!$Z$25:$Z$30,1,0))),D234,"Variable"),VLOOKUP(D230,'Tablas Técnicas'!$O$9:$W$88,9,FALSE)),"")</f>
        <v/>
      </c>
      <c r="J232" s="2088" t="s">
        <v>9016</v>
      </c>
      <c r="K232" s="2364"/>
      <c r="L232" s="2365"/>
      <c r="M232" s="2366"/>
      <c r="N232" s="2366"/>
      <c r="O232" s="2089" t="str">
        <f>IFERROR(IF(J230="Ataque Elemental",IF(NOT(ISNA(VLOOKUP(J234,'Tablas Técnicas'!$Z$25:$Z$30,1,0))),J234,"Variable"),VLOOKUP(J230,'Tablas Técnicas'!$O$9:$W$88,9,FALSE)),"")</f>
        <v/>
      </c>
      <c r="P232" s="2367" t="s">
        <v>9016</v>
      </c>
      <c r="Q232" s="2364"/>
      <c r="R232" s="2365"/>
      <c r="S232" s="2366"/>
      <c r="T232" s="2366"/>
      <c r="U232" s="2188" t="str">
        <f>IFERROR(IF(P230="Ataque Elemental",IF(NOT(ISNA(VLOOKUP(P234,'Tablas Técnicas'!$Z$25:$Z$30,1,0))),P234,"Variable"),VLOOKUP(P230,'Tablas Técnicas'!$O$9:$W$88,9,FALSE)),"")</f>
        <v/>
      </c>
      <c r="V232" s="2088" t="s">
        <v>9016</v>
      </c>
      <c r="W232" s="2364"/>
      <c r="X232" s="2365"/>
      <c r="Y232" s="2366"/>
      <c r="Z232" s="2366"/>
      <c r="AA232" s="2089" t="str">
        <f>IFERROR(IF(V230="Ataque Elemental",IF(NOT(ISNA(VLOOKUP(V234,'Tablas Técnicas'!$Z$25:$Z$30,1,0))),V234,"Variable"),VLOOKUP(V230,'Tablas Técnicas'!$O$9:$W$88,9,FALSE)),"")</f>
        <v/>
      </c>
      <c r="AB232" s="2367" t="s">
        <v>9016</v>
      </c>
      <c r="AC232" s="2364"/>
      <c r="AD232" s="2365"/>
      <c r="AE232" s="2366"/>
      <c r="AF232" s="2366"/>
      <c r="AG232" s="2203" t="str">
        <f>IFERROR(IF(AB230="Ataque Elemental",IF(NOT(ISNA(VLOOKUP(AB234,'Tablas Técnicas'!$Z$25:$Z$30,1,0))),AB234,"Variable"),VLOOKUP(AB230,'Tablas Técnicas'!$O$9:$W$88,9,FALSE)),"")</f>
        <v/>
      </c>
      <c r="AH232" s="2369"/>
      <c r="AI232" s="4511"/>
      <c r="AJ232" s="2920"/>
      <c r="AK232" s="2922" t="s">
        <v>1376</v>
      </c>
      <c r="AL232" s="2922" t="s">
        <v>1501</v>
      </c>
      <c r="AM232" s="2922" t="s">
        <v>1381</v>
      </c>
      <c r="AN232" s="2922" t="s">
        <v>1386</v>
      </c>
      <c r="AO232" s="2922" t="s">
        <v>1394</v>
      </c>
      <c r="AP232" s="2922" t="s">
        <v>1395</v>
      </c>
      <c r="AQ232" s="2921"/>
      <c r="AR232" s="2922"/>
      <c r="AS232" s="2922"/>
      <c r="AT232" s="2922"/>
      <c r="AU232" s="2922"/>
      <c r="AV232" s="2922"/>
      <c r="AW232" s="2922"/>
      <c r="AX232" s="2922"/>
      <c r="AY232" s="2920"/>
    </row>
    <row r="233" spans="1:51" ht="12.2" customHeight="1" x14ac:dyDescent="0.2">
      <c r="A233" s="2360"/>
      <c r="B233" s="2252">
        <f t="shared" si="53"/>
        <v>7</v>
      </c>
      <c r="C233" s="4508"/>
      <c r="D233" s="4369" t="s">
        <v>2861</v>
      </c>
      <c r="E233" s="4370"/>
      <c r="F233" s="4370"/>
      <c r="G233" s="4370"/>
      <c r="H233" s="4371"/>
      <c r="I233" s="2090" t="s">
        <v>1406</v>
      </c>
      <c r="J233" s="4369" t="s">
        <v>2861</v>
      </c>
      <c r="K233" s="4370"/>
      <c r="L233" s="4370"/>
      <c r="M233" s="4370"/>
      <c r="N233" s="4371"/>
      <c r="O233" s="2091" t="s">
        <v>1406</v>
      </c>
      <c r="P233" s="4369" t="s">
        <v>2861</v>
      </c>
      <c r="Q233" s="4370"/>
      <c r="R233" s="4370"/>
      <c r="S233" s="4370"/>
      <c r="T233" s="4371"/>
      <c r="U233" s="2091" t="s">
        <v>1406</v>
      </c>
      <c r="V233" s="4369"/>
      <c r="W233" s="4370"/>
      <c r="X233" s="4370"/>
      <c r="Y233" s="4370"/>
      <c r="Z233" s="4371"/>
      <c r="AA233" s="2091" t="s">
        <v>1406</v>
      </c>
      <c r="AB233" s="4369" t="s">
        <v>2861</v>
      </c>
      <c r="AC233" s="4370"/>
      <c r="AD233" s="4370"/>
      <c r="AE233" s="4370"/>
      <c r="AF233" s="4371"/>
      <c r="AG233" s="2092" t="s">
        <v>1406</v>
      </c>
      <c r="AH233" s="2369"/>
      <c r="AI233" s="4511"/>
      <c r="AJ233" s="2925" t="s">
        <v>9548</v>
      </c>
      <c r="AK233" s="2920" t="str">
        <f>IF(V219="","",IF(SUM(V221:V225)=0,"",V219&amp;" "&amp;SUM(V221:V225)+V228&amp;IF(SUM(W221:W225)=0,""," ("&amp;SUM(W221:W225)&amp;")")&amp;", "))</f>
        <v/>
      </c>
      <c r="AL233" s="2920" t="str">
        <f>IF(X219="","",IF(SUM(X221:X225)=0,"",X219&amp;" "&amp;SUM(X221:X225)+X228&amp;IF(SUM(Y221:Y225)=0,""," ("&amp;SUM(Y221:Y225)&amp;")")&amp;", "))</f>
        <v/>
      </c>
      <c r="AM233" s="2920" t="str">
        <f>IF(Z219="","",IF(SUM(Z221:Z225)=0,"",Z219&amp;" "&amp;SUM(Z221:Z225)+Z228&amp;IF(SUM(AA221:AA225)=0,""," ("&amp;SUM(AA221:AA225)&amp;")")&amp;", "))</f>
        <v/>
      </c>
      <c r="AN233" s="2920" t="str">
        <f>IF(AB219="","",IF(SUM(AB221:AB225)=0,"",AB219&amp;" "&amp;SUM(AB221:AB225)+AB228&amp;IF(SUM(AC221:AC225)=0,""," ("&amp;SUM(AC221:AC225)&amp;")")&amp;", "))</f>
        <v/>
      </c>
      <c r="AO233" s="2920" t="str">
        <f>IF(AD219="","",IF(SUM(AD221:AD225)=0,"",AD219&amp;" "&amp;SUM(AD221:AD225)+AD228&amp;IF(SUM(AE221:AE225)=0,""," ("&amp;SUM(AE221:AE225)&amp;")")&amp;", "))</f>
        <v/>
      </c>
      <c r="AP233" s="2920" t="str">
        <f>IF(AF219="","",IF(SUM(AF221:AF225)=0,"",AF219&amp;" "&amp;SUM(AF221:AF225)+AF228&amp;IF(SUM(AG221:AG225)=0,""," ("&amp;SUM(AG221:AG225)&amp;")")&amp;", "))</f>
        <v/>
      </c>
      <c r="AQ233" s="2920"/>
      <c r="AR233" s="2920"/>
      <c r="AS233" s="2920"/>
      <c r="AT233" s="2920"/>
      <c r="AU233" s="2920"/>
      <c r="AV233" s="2920"/>
      <c r="AW233" s="2920"/>
      <c r="AX233" s="2920"/>
      <c r="AY233" s="2920"/>
    </row>
    <row r="234" spans="1:51" ht="12.2" customHeight="1" x14ac:dyDescent="0.2">
      <c r="A234" s="2360"/>
      <c r="B234" s="2252">
        <f t="shared" si="53"/>
        <v>7</v>
      </c>
      <c r="C234" s="4508"/>
      <c r="D234" s="4390"/>
      <c r="E234" s="4366"/>
      <c r="F234" s="4366"/>
      <c r="G234" s="4366"/>
      <c r="H234" s="4366"/>
      <c r="I234" s="2093" t="str">
        <f>IF(OR(D230="",D234=""),"",MAX(1,SUMPRODUCT(--(INDEX('Tablas Técnicas'!$C$10:$L$643,,1)=D230),--(INDEX('Tablas Técnicas'!$C$10:$L$643,,2)=D234),INDEX('Tablas Técnicas'!$C$10:$L$643,,9))))</f>
        <v/>
      </c>
      <c r="J234" s="4365"/>
      <c r="K234" s="4366"/>
      <c r="L234" s="4366"/>
      <c r="M234" s="4366"/>
      <c r="N234" s="4366"/>
      <c r="O234" s="2093" t="str">
        <f>IF(OR(J230="",J234=""),"",MAX(1,SUMPRODUCT(--(INDEX('Tablas Técnicas'!$C$10:$L$643,,1)=J230),--(INDEX('Tablas Técnicas'!$C$10:$L$643,,2)=J234),INDEX('Tablas Técnicas'!$C$10:$L$643,,9))))</f>
        <v/>
      </c>
      <c r="P234" s="4365"/>
      <c r="Q234" s="4366"/>
      <c r="R234" s="4366"/>
      <c r="S234" s="4366"/>
      <c r="T234" s="4366"/>
      <c r="U234" s="2093" t="str">
        <f>IF(OR(P230="",P234=""),"",MAX(1,SUMPRODUCT(--(INDEX('Tablas Técnicas'!$C$10:$L$643,,1)=P230),--(INDEX('Tablas Técnicas'!$C$10:$L$643,,2)=P234),INDEX('Tablas Técnicas'!$C$10:$L$643,,9))))</f>
        <v/>
      </c>
      <c r="V234" s="4365"/>
      <c r="W234" s="4366"/>
      <c r="X234" s="4366"/>
      <c r="Y234" s="4366"/>
      <c r="Z234" s="4366"/>
      <c r="AA234" s="2093" t="str">
        <f>IF(OR(V230="",V234=""),"",MAX(1,SUMPRODUCT(--(INDEX('Tablas Técnicas'!$C$10:$L$643,,1)=V230),--(INDEX('Tablas Técnicas'!$C$10:$L$643,,2)=V234),INDEX('Tablas Técnicas'!$C$10:$L$643,,9))))</f>
        <v/>
      </c>
      <c r="AB234" s="4365"/>
      <c r="AC234" s="4366"/>
      <c r="AD234" s="4366"/>
      <c r="AE234" s="4366"/>
      <c r="AF234" s="4366"/>
      <c r="AG234" s="2094" t="str">
        <f>IF(OR(AB230="",AB234=""),"",MAX(1,SUMPRODUCT(--(INDEX('Tablas Técnicas'!$C$10:$L$643,,1)=AB230),--(INDEX('Tablas Técnicas'!$C$10:$L$643,,2)=AB234),INDEX('Tablas Técnicas'!$C$10:$L$643,,9))))</f>
        <v/>
      </c>
      <c r="AH234" s="2369">
        <f>P217</f>
        <v>1</v>
      </c>
      <c r="AI234" s="4511"/>
      <c r="AJ234" s="2920" t="s">
        <v>9512</v>
      </c>
      <c r="AK234" s="2920"/>
      <c r="AL234" s="2920">
        <f>MAX(0,SUM(AT221:AT225)+ABS($AC226*2/5))+IF(AM243,0,Y226)+IF(S217="Si",3*P217,0)</f>
        <v>0</v>
      </c>
      <c r="AM234" s="2920">
        <f t="array" ref="AM234">IF(ISNUMBER(SEARCH("Mantenido",K221&amp;K222&amp;K223&amp;K224&amp;K225)),MAX(0,SUM(VALUE(RIGHT($P221:$P225,2)))),0)</f>
        <v>0</v>
      </c>
      <c r="AN234" s="2922"/>
      <c r="AO234" s="2922"/>
      <c r="AP234" s="2927"/>
      <c r="AQ234" s="2927"/>
      <c r="AR234" s="2927"/>
      <c r="AS234" s="2927"/>
      <c r="AT234" s="2927"/>
      <c r="AU234" s="2927"/>
      <c r="AV234" s="2927"/>
      <c r="AW234" s="2927"/>
      <c r="AX234" s="2927"/>
      <c r="AY234" s="2920"/>
    </row>
    <row r="235" spans="1:51" ht="12.2" customHeight="1" x14ac:dyDescent="0.2">
      <c r="A235" s="2360"/>
      <c r="B235" s="2252">
        <f t="shared" si="53"/>
        <v>7</v>
      </c>
      <c r="C235" s="4508"/>
      <c r="D235" s="4374"/>
      <c r="E235" s="4375"/>
      <c r="F235" s="4375"/>
      <c r="G235" s="4375"/>
      <c r="H235" s="4375"/>
      <c r="I235" s="2095" t="str">
        <f>IF(OR(D230="",D235=""),"",MAX(1,SUMPRODUCT(--(INDEX('Tablas Técnicas'!$C$10:$L$643,,1)=D230),--(INDEX('Tablas Técnicas'!$C$10:$L$643,,2)=D235),INDEX('Tablas Técnicas'!$C$10:$L$643,,9))))</f>
        <v/>
      </c>
      <c r="J235" s="4374"/>
      <c r="K235" s="4375"/>
      <c r="L235" s="4375"/>
      <c r="M235" s="4375"/>
      <c r="N235" s="4375"/>
      <c r="O235" s="2095" t="str">
        <f>IF(OR(J230="",J235=""),"",MAX(1,SUMPRODUCT(--(INDEX('Tablas Técnicas'!$C$10:$L$643,,1)=J230),--(INDEX('Tablas Técnicas'!$C$10:$L$643,,2)=J235),INDEX('Tablas Técnicas'!$C$10:$L$643,,9))))</f>
        <v/>
      </c>
      <c r="P235" s="4374"/>
      <c r="Q235" s="4375"/>
      <c r="R235" s="4375"/>
      <c r="S235" s="4375"/>
      <c r="T235" s="4375"/>
      <c r="U235" s="2095" t="str">
        <f>IF(OR(P230="",P235=""),"",MAX(1,SUMPRODUCT(--(INDEX('Tablas Técnicas'!$C$10:$L$643,,1)=P230),--(INDEX('Tablas Técnicas'!$C$10:$L$643,,2)=P235),INDEX('Tablas Técnicas'!$C$10:$L$643,,9))))</f>
        <v/>
      </c>
      <c r="V235" s="4374"/>
      <c r="W235" s="4375"/>
      <c r="X235" s="4375"/>
      <c r="Y235" s="4375"/>
      <c r="Z235" s="4375"/>
      <c r="AA235" s="2095" t="str">
        <f>IF(OR(V230="",V235=""),"",MAX(1,SUMPRODUCT(--(INDEX('Tablas Técnicas'!$C$10:$L$643,,1)=V230),--(INDEX('Tablas Técnicas'!$C$10:$L$643,,2)=V235),INDEX('Tablas Técnicas'!$C$10:$L$643,,9))))</f>
        <v/>
      </c>
      <c r="AB235" s="4374"/>
      <c r="AC235" s="4375"/>
      <c r="AD235" s="4375"/>
      <c r="AE235" s="4375"/>
      <c r="AF235" s="4375"/>
      <c r="AG235" s="2096" t="str">
        <f>IF(OR(AB230="",AB235=""),"",MAX(1,SUMPRODUCT(--(INDEX('Tablas Técnicas'!$C$10:$L$643,,1)=AB230),--(INDEX('Tablas Técnicas'!$C$10:$L$643,,2)=AB235),INDEX('Tablas Técnicas'!$C$10:$L$643,,9))))</f>
        <v/>
      </c>
      <c r="AH235" s="2369">
        <f>P217</f>
        <v>1</v>
      </c>
      <c r="AI235" s="4511"/>
      <c r="AJ235" s="2920" t="s">
        <v>9018</v>
      </c>
      <c r="AK235" s="2920"/>
      <c r="AL235" s="2920">
        <f>SUM(V221:V225,X221:X225,Z221:Z225,AB221:AB225,AD221:AD225,AF221:AF225)+SUM(V228:AG228)</f>
        <v>0</v>
      </c>
      <c r="AM235" s="2920">
        <f>SUM(W221:W225,Y221:Y225,AA221:AA225,AC221:AC225,AE221:AE225,AG221:AG225)</f>
        <v>0</v>
      </c>
      <c r="AN235" s="2920"/>
      <c r="AO235" s="2920"/>
      <c r="AP235" s="2920"/>
      <c r="AQ235" s="2920"/>
      <c r="AR235" s="2920"/>
      <c r="AS235" s="2920"/>
      <c r="AT235" s="2920"/>
      <c r="AU235" s="2920"/>
      <c r="AV235" s="2920"/>
      <c r="AW235" s="2922"/>
      <c r="AX235" s="2920"/>
      <c r="AY235" s="2920"/>
    </row>
    <row r="236" spans="1:51" ht="12.2" customHeight="1" x14ac:dyDescent="0.2">
      <c r="A236" s="2360"/>
      <c r="B236" s="2252">
        <f t="shared" si="53"/>
        <v>7</v>
      </c>
      <c r="C236" s="4508"/>
      <c r="D236" s="4374"/>
      <c r="E236" s="4375"/>
      <c r="F236" s="4375"/>
      <c r="G236" s="4375"/>
      <c r="H236" s="4375"/>
      <c r="I236" s="2095" t="str">
        <f>IF(OR(D230="",D236=""),"",MAX(1,SUMPRODUCT(--(INDEX('Tablas Técnicas'!$C$10:$L$643,,1)=D230),--(INDEX('Tablas Técnicas'!$C$10:$L$643,,2)=D236),INDEX('Tablas Técnicas'!$C$10:$L$643,,9))))</f>
        <v/>
      </c>
      <c r="J236" s="4374"/>
      <c r="K236" s="4375"/>
      <c r="L236" s="4375"/>
      <c r="M236" s="4375"/>
      <c r="N236" s="4375"/>
      <c r="O236" s="2095" t="str">
        <f>IF(OR(J230="",J236=""),"",MAX(1,SUMPRODUCT(--(INDEX('Tablas Técnicas'!$C$10:$L$643,,1)=J230),--(INDEX('Tablas Técnicas'!$C$10:$L$643,,2)=J236),INDEX('Tablas Técnicas'!$C$10:$L$643,,9))))</f>
        <v/>
      </c>
      <c r="P236" s="4374"/>
      <c r="Q236" s="4375"/>
      <c r="R236" s="4375"/>
      <c r="S236" s="4375"/>
      <c r="T236" s="4375"/>
      <c r="U236" s="2095" t="str">
        <f>IF(OR(P230="",P236=""),"",MAX(1,SUMPRODUCT(--(INDEX('Tablas Técnicas'!$C$10:$L$643,,1)=P230),--(INDEX('Tablas Técnicas'!$C$10:$L$643,,2)=P236),INDEX('Tablas Técnicas'!$C$10:$L$643,,9))))</f>
        <v/>
      </c>
      <c r="V236" s="4374"/>
      <c r="W236" s="4375"/>
      <c r="X236" s="4375"/>
      <c r="Y236" s="4375"/>
      <c r="Z236" s="4375"/>
      <c r="AA236" s="2095" t="str">
        <f>IF(OR(V230="",V236=""),"",MAX(1,SUMPRODUCT(--(INDEX('Tablas Técnicas'!$C$10:$L$643,,1)=V230),--(INDEX('Tablas Técnicas'!$C$10:$L$643,,2)=V236),INDEX('Tablas Técnicas'!$C$10:$L$643,,9))))</f>
        <v/>
      </c>
      <c r="AB236" s="4374"/>
      <c r="AC236" s="4375"/>
      <c r="AD236" s="4375"/>
      <c r="AE236" s="4375"/>
      <c r="AF236" s="4375"/>
      <c r="AG236" s="2096" t="str">
        <f>IF(OR(AB230="",AB236=""),"",MAX(1,SUMPRODUCT(--(INDEX('Tablas Técnicas'!$C$10:$L$643,,1)=AB230),--(INDEX('Tablas Técnicas'!$C$10:$L$643,,2)=AB236),INDEX('Tablas Técnicas'!$C$10:$L$643,,9))))</f>
        <v/>
      </c>
      <c r="AH236" s="2369">
        <f>P217</f>
        <v>1</v>
      </c>
      <c r="AI236" s="4511"/>
      <c r="AJ236" s="2920"/>
      <c r="AK236" s="2920"/>
      <c r="AL236" s="2920"/>
      <c r="AM236" s="2920"/>
      <c r="AN236" s="2920"/>
      <c r="AO236" s="2920"/>
      <c r="AP236" s="2920"/>
      <c r="AQ236" s="2920"/>
      <c r="AR236" s="2920"/>
      <c r="AS236" s="2920"/>
      <c r="AT236" s="2920"/>
      <c r="AU236" s="2920"/>
      <c r="AV236" s="2920"/>
      <c r="AW236" s="2922"/>
      <c r="AX236" s="2922"/>
      <c r="AY236" s="2920"/>
    </row>
    <row r="237" spans="1:51" ht="12.2" customHeight="1" x14ac:dyDescent="0.2">
      <c r="A237" s="2360"/>
      <c r="B237" s="2252">
        <f t="shared" si="53"/>
        <v>7</v>
      </c>
      <c r="C237" s="4508"/>
      <c r="D237" s="4374"/>
      <c r="E237" s="4375"/>
      <c r="F237" s="4375"/>
      <c r="G237" s="4375"/>
      <c r="H237" s="4375"/>
      <c r="I237" s="2095" t="str">
        <f>IF(OR(D230="",D237=""),"",MAX(1,SUMPRODUCT(--(INDEX('Tablas Técnicas'!$C$10:$L$643,,1)=D230),--(INDEX('Tablas Técnicas'!$C$10:$L$643,,2)=D237),INDEX('Tablas Técnicas'!$C$10:$L$643,,9))))</f>
        <v/>
      </c>
      <c r="J237" s="4374"/>
      <c r="K237" s="4375"/>
      <c r="L237" s="4375"/>
      <c r="M237" s="4375"/>
      <c r="N237" s="4375"/>
      <c r="O237" s="2095" t="str">
        <f>IF(OR(J230="",J237=""),"",MAX(1,SUMPRODUCT(--(INDEX('Tablas Técnicas'!$C$10:$L$643,,1)=J230),--(INDEX('Tablas Técnicas'!$C$10:$L$643,,2)=J237),INDEX('Tablas Técnicas'!$C$10:$L$643,,9))))</f>
        <v/>
      </c>
      <c r="P237" s="4374"/>
      <c r="Q237" s="4375"/>
      <c r="R237" s="4375"/>
      <c r="S237" s="4375"/>
      <c r="T237" s="4375"/>
      <c r="U237" s="2095" t="str">
        <f>IF(OR(P230="",P237=""),"",MAX(1,SUMPRODUCT(--(INDEX('Tablas Técnicas'!$C$10:$L$643,,1)=P230),--(INDEX('Tablas Técnicas'!$C$10:$L$643,,2)=P237),INDEX('Tablas Técnicas'!$C$10:$L$643,,9))))</f>
        <v/>
      </c>
      <c r="V237" s="4374"/>
      <c r="W237" s="4375"/>
      <c r="X237" s="4375"/>
      <c r="Y237" s="4375"/>
      <c r="Z237" s="4375"/>
      <c r="AA237" s="2095" t="str">
        <f>IF(OR(V230="",V237=""),"",MAX(1,SUMPRODUCT(--(INDEX('Tablas Técnicas'!$C$10:$L$643,,1)=V230),--(INDEX('Tablas Técnicas'!$C$10:$L$643,,2)=V237),INDEX('Tablas Técnicas'!$C$10:$L$643,,9))))</f>
        <v/>
      </c>
      <c r="AB237" s="4374"/>
      <c r="AC237" s="4375"/>
      <c r="AD237" s="4375"/>
      <c r="AE237" s="4375"/>
      <c r="AF237" s="4375"/>
      <c r="AG237" s="2096" t="str">
        <f>IF(OR(AB230="",AB237=""),"",MAX(1,SUMPRODUCT(--(INDEX('Tablas Técnicas'!$C$10:$L$643,,1)=AB230),--(INDEX('Tablas Técnicas'!$C$10:$L$643,,2)=AB237),INDEX('Tablas Técnicas'!$C$10:$L$643,,9))))</f>
        <v/>
      </c>
      <c r="AH237" s="2369">
        <f>P217</f>
        <v>1</v>
      </c>
      <c r="AI237" s="4511"/>
      <c r="AJ237" s="2920" t="s">
        <v>9019</v>
      </c>
      <c r="AK237" s="2920"/>
      <c r="AL237" s="2920"/>
      <c r="AM237" s="2920"/>
      <c r="AN237" s="2920"/>
      <c r="AO237" s="2920"/>
      <c r="AP237" s="2920"/>
      <c r="AQ237" s="2921"/>
      <c r="AR237" s="2922"/>
      <c r="AS237" s="2922"/>
      <c r="AT237" s="2922"/>
      <c r="AU237" s="2922"/>
      <c r="AV237" s="2922"/>
      <c r="AW237" s="2922"/>
      <c r="AX237" s="2922"/>
      <c r="AY237" s="2920"/>
    </row>
    <row r="238" spans="1:51" ht="12.2" customHeight="1" x14ac:dyDescent="0.2">
      <c r="A238" s="2360"/>
      <c r="B238" s="2252">
        <f t="shared" si="53"/>
        <v>7</v>
      </c>
      <c r="C238" s="4508"/>
      <c r="D238" s="4374"/>
      <c r="E238" s="4375"/>
      <c r="F238" s="4375"/>
      <c r="G238" s="4375"/>
      <c r="H238" s="4375"/>
      <c r="I238" s="2095" t="str">
        <f>IF(OR(D230="",D238=""),"",MAX(1,SUMPRODUCT(--(INDEX('Tablas Técnicas'!$C$10:$L$643,,1)=D230),--(INDEX('Tablas Técnicas'!$C$10:$L$643,,2)=D238),INDEX('Tablas Técnicas'!$C$10:$L$643,,9))))</f>
        <v/>
      </c>
      <c r="J238" s="4374"/>
      <c r="K238" s="4375"/>
      <c r="L238" s="4375"/>
      <c r="M238" s="4375"/>
      <c r="N238" s="4375"/>
      <c r="O238" s="2095" t="str">
        <f>IF(OR(J230="",J238=""),"",MAX(1,SUMPRODUCT(--(INDEX('Tablas Técnicas'!$C$10:$L$643,,1)=J230),--(INDEX('Tablas Técnicas'!$C$10:$L$643,,2)=J238),INDEX('Tablas Técnicas'!$C$10:$L$643,,9))))</f>
        <v/>
      </c>
      <c r="P238" s="4374"/>
      <c r="Q238" s="4375"/>
      <c r="R238" s="4375"/>
      <c r="S238" s="4375"/>
      <c r="T238" s="4375"/>
      <c r="U238" s="2095" t="str">
        <f>IF(OR(P230="",P238=""),"",MAX(1,SUMPRODUCT(--(INDEX('Tablas Técnicas'!$C$10:$L$643,,1)=P230),--(INDEX('Tablas Técnicas'!$C$10:$L$643,,2)=P238),INDEX('Tablas Técnicas'!$C$10:$L$643,,9))))</f>
        <v/>
      </c>
      <c r="V238" s="4374"/>
      <c r="W238" s="4375"/>
      <c r="X238" s="4375"/>
      <c r="Y238" s="4375"/>
      <c r="Z238" s="4375"/>
      <c r="AA238" s="2095" t="str">
        <f>IF(OR(V230="",V238=""),"",MAX(1,SUMPRODUCT(--(INDEX('Tablas Técnicas'!$C$10:$L$643,,1)=V230),--(INDEX('Tablas Técnicas'!$C$10:$L$643,,2)=V238),INDEX('Tablas Técnicas'!$C$10:$L$643,,9))))</f>
        <v/>
      </c>
      <c r="AB238" s="4374"/>
      <c r="AC238" s="4375"/>
      <c r="AD238" s="4375"/>
      <c r="AE238" s="4375"/>
      <c r="AF238" s="4375"/>
      <c r="AG238" s="2096" t="str">
        <f>IF(OR(AB230="",AB238=""),"",MAX(1,SUMPRODUCT(--(INDEX('Tablas Técnicas'!$C$10:$L$643,,1)=AB230),--(INDEX('Tablas Técnicas'!$C$10:$L$643,,2)=AB238),INDEX('Tablas Técnicas'!$C$10:$L$643,,9))))</f>
        <v/>
      </c>
      <c r="AH238" s="2369">
        <f>P217</f>
        <v>1</v>
      </c>
      <c r="AI238" s="4511"/>
      <c r="AJ238" s="2920" t="s">
        <v>10184</v>
      </c>
      <c r="AK238" s="2920"/>
      <c r="AL238" s="2920"/>
      <c r="AM238" s="2920" t="b">
        <f>U217&gt;IF(P217=3,200,IF(P217=2,100,50))</f>
        <v>0</v>
      </c>
      <c r="AN238" s="2920"/>
      <c r="AO238" s="2920"/>
      <c r="AP238" s="2920"/>
      <c r="AQ238" s="2920"/>
      <c r="AR238" s="2922"/>
      <c r="AS238" s="2922"/>
      <c r="AT238" s="2922"/>
      <c r="AU238" s="2922"/>
      <c r="AV238" s="2922"/>
      <c r="AW238" s="2922"/>
      <c r="AX238" s="2922"/>
      <c r="AY238" s="2920"/>
    </row>
    <row r="239" spans="1:51" ht="12.2" customHeight="1" x14ac:dyDescent="0.2">
      <c r="A239" s="2360"/>
      <c r="B239" s="2252">
        <f t="shared" si="53"/>
        <v>7</v>
      </c>
      <c r="C239" s="4508"/>
      <c r="D239" s="4374"/>
      <c r="E239" s="4375"/>
      <c r="F239" s="4375"/>
      <c r="G239" s="4375"/>
      <c r="H239" s="4375"/>
      <c r="I239" s="2095" t="str">
        <f>IF(OR(D230="",D239=""),"",MAX(1,SUMPRODUCT(--(INDEX('Tablas Técnicas'!$C$10:$L$643,,1)=D230),--(INDEX('Tablas Técnicas'!$C$10:$L$643,,2)=D239),INDEX('Tablas Técnicas'!$C$10:$L$643,,9))))</f>
        <v/>
      </c>
      <c r="J239" s="4374"/>
      <c r="K239" s="4375"/>
      <c r="L239" s="4375"/>
      <c r="M239" s="4375"/>
      <c r="N239" s="4375"/>
      <c r="O239" s="2095" t="str">
        <f>IF(OR(J230="",J239=""),"",MAX(1,SUMPRODUCT(--(INDEX('Tablas Técnicas'!$C$10:$L$643,,1)=J230),--(INDEX('Tablas Técnicas'!$C$10:$L$643,,2)=J239),INDEX('Tablas Técnicas'!$C$10:$L$643,,9))))</f>
        <v/>
      </c>
      <c r="P239" s="4374"/>
      <c r="Q239" s="4375"/>
      <c r="R239" s="4375"/>
      <c r="S239" s="4375"/>
      <c r="T239" s="4375"/>
      <c r="U239" s="2095" t="str">
        <f>IF(OR(P230="",P239=""),"",MAX(1,SUMPRODUCT(--(INDEX('Tablas Técnicas'!$C$10:$L$643,,1)=P230),--(INDEX('Tablas Técnicas'!$C$10:$L$643,,2)=P239),INDEX('Tablas Técnicas'!$C$10:$L$643,,9))))</f>
        <v/>
      </c>
      <c r="V239" s="4374"/>
      <c r="W239" s="4375"/>
      <c r="X239" s="4375"/>
      <c r="Y239" s="4375"/>
      <c r="Z239" s="4375"/>
      <c r="AA239" s="2095" t="str">
        <f>IF(OR(V230="",V239=""),"",MAX(1,SUMPRODUCT(--(INDEX('Tablas Técnicas'!$C$10:$L$643,,1)=V230),--(INDEX('Tablas Técnicas'!$C$10:$L$643,,2)=V239),INDEX('Tablas Técnicas'!$C$10:$L$643,,9))))</f>
        <v/>
      </c>
      <c r="AB239" s="4374"/>
      <c r="AC239" s="4375"/>
      <c r="AD239" s="4375"/>
      <c r="AE239" s="4375"/>
      <c r="AF239" s="4375"/>
      <c r="AG239" s="2096" t="str">
        <f>IF(OR(AB230="",AB239=""),"",MAX(1,SUMPRODUCT(--(INDEX('Tablas Técnicas'!$C$10:$L$643,,1)=AB230),--(INDEX('Tablas Técnicas'!$C$10:$L$643,,2)=AB239),INDEX('Tablas Técnicas'!$C$10:$L$643,,9))))</f>
        <v/>
      </c>
      <c r="AH239" s="2369">
        <f>P217</f>
        <v>1</v>
      </c>
      <c r="AI239" s="4511"/>
      <c r="AJ239" s="2920" t="s">
        <v>9020</v>
      </c>
      <c r="AK239" s="2920"/>
      <c r="AL239" s="2920"/>
      <c r="AM239" s="2920" t="b">
        <f t="array" ref="AM239">MAX(I234:I240,O234:O240,U234:U240,AA234:AA240,AG234:AG240,RIGHT(S226:S228,1))&gt;P217</f>
        <v>0</v>
      </c>
      <c r="AN239" s="2920"/>
      <c r="AO239" s="2920"/>
      <c r="AP239" s="2920"/>
      <c r="AQ239" s="2921"/>
      <c r="AR239" s="2922"/>
      <c r="AS239" s="2922"/>
      <c r="AT239" s="2922"/>
      <c r="AU239" s="2922"/>
      <c r="AV239" s="2922"/>
      <c r="AW239" s="2922"/>
      <c r="AX239" s="2922"/>
      <c r="AY239" s="2920"/>
    </row>
    <row r="240" spans="1:51" ht="12.2" customHeight="1" x14ac:dyDescent="0.2">
      <c r="A240" s="2360"/>
      <c r="B240" s="2252">
        <f t="shared" si="53"/>
        <v>7</v>
      </c>
      <c r="C240" s="4508"/>
      <c r="D240" s="4401"/>
      <c r="E240" s="4402"/>
      <c r="F240" s="4402"/>
      <c r="G240" s="4402"/>
      <c r="H240" s="4402"/>
      <c r="I240" s="2097" t="str">
        <f>IF(OR(D230="",D240=""),"",MAX(1,SUMPRODUCT(--(INDEX('Tablas Técnicas'!$C$10:$L$643,,1)=D230),--(INDEX('Tablas Técnicas'!$C$10:$L$643,,2)=D240),INDEX('Tablas Técnicas'!$C$10:$L$643,,9))))</f>
        <v/>
      </c>
      <c r="J240" s="4401"/>
      <c r="K240" s="4402"/>
      <c r="L240" s="4402"/>
      <c r="M240" s="4402"/>
      <c r="N240" s="4402"/>
      <c r="O240" s="2097" t="str">
        <f>IF(OR(J230="",J240=""),"",MAX(1,SUMPRODUCT(--(INDEX('Tablas Técnicas'!$C$10:$L$643,,1)=J230),--(INDEX('Tablas Técnicas'!$C$10:$L$643,,2)=J240),INDEX('Tablas Técnicas'!$C$10:$L$643,,9))))</f>
        <v/>
      </c>
      <c r="P240" s="4401"/>
      <c r="Q240" s="4402"/>
      <c r="R240" s="4402"/>
      <c r="S240" s="4402"/>
      <c r="T240" s="4402"/>
      <c r="U240" s="2097" t="str">
        <f>IF(OR(P230="",P240=""),"",MAX(1,SUMPRODUCT(--(INDEX('Tablas Técnicas'!$C$10:$L$643,,1)=P230),--(INDEX('Tablas Técnicas'!$C$10:$L$643,,2)=P240),INDEX('Tablas Técnicas'!$C$10:$L$643,,9))))</f>
        <v/>
      </c>
      <c r="V240" s="4401"/>
      <c r="W240" s="4402"/>
      <c r="X240" s="4402"/>
      <c r="Y240" s="4402"/>
      <c r="Z240" s="4402"/>
      <c r="AA240" s="2097" t="str">
        <f>IF(OR(V230="",V240=""),"",MAX(1,SUMPRODUCT(--(INDEX('Tablas Técnicas'!$C$10:$L$643,,1)=V230),--(INDEX('Tablas Técnicas'!$C$10:$L$643,,2)=V240),INDEX('Tablas Técnicas'!$C$10:$L$643,,9))))</f>
        <v/>
      </c>
      <c r="AB240" s="4401"/>
      <c r="AC240" s="4402"/>
      <c r="AD240" s="4402"/>
      <c r="AE240" s="4402"/>
      <c r="AF240" s="4402"/>
      <c r="AG240" s="2098" t="str">
        <f>IF(OR(AB230="",AB240=""),"",MAX(1,SUMPRODUCT(--(INDEX('Tablas Técnicas'!$C$10:$L$643,,1)=AB230),--(INDEX('Tablas Técnicas'!$C$10:$L$643,,2)=AB240),INDEX('Tablas Técnicas'!$C$10:$L$643,,9))))</f>
        <v/>
      </c>
      <c r="AH240" s="2369">
        <f>P217</f>
        <v>1</v>
      </c>
      <c r="AI240" s="4511"/>
      <c r="AJ240" s="2920" t="s">
        <v>9529</v>
      </c>
      <c r="AK240" s="2920"/>
      <c r="AL240" s="2920"/>
      <c r="AM240" s="2920" t="b">
        <f>AND(COUNTIF(K221:M225,"Mantenido"),OR(COUNTIF(K221:M225,"Sostenimiento Menor"),COUNTIF(K221:M225,"Sostenimiento Mayor")))</f>
        <v>0</v>
      </c>
      <c r="AN240" s="2921"/>
      <c r="AO240" s="2920"/>
      <c r="AP240" s="2920"/>
      <c r="AQ240" s="2920"/>
      <c r="AR240" s="2920"/>
      <c r="AS240" s="2920"/>
      <c r="AT240" s="2920"/>
      <c r="AU240" s="2922"/>
      <c r="AV240" s="2922"/>
      <c r="AW240" s="2922"/>
      <c r="AX240" s="2922"/>
      <c r="AY240" s="2920"/>
    </row>
    <row r="241" spans="1:51" ht="12.2" customHeight="1" x14ac:dyDescent="0.2">
      <c r="A241" s="2360"/>
      <c r="B241" s="2252">
        <f t="shared" si="53"/>
        <v>7</v>
      </c>
      <c r="C241" s="4508"/>
      <c r="D241" s="4386" t="s">
        <v>1553</v>
      </c>
      <c r="E241" s="4387"/>
      <c r="F241" s="4387"/>
      <c r="G241" s="4387"/>
      <c r="H241" s="4387"/>
      <c r="I241" s="4387"/>
      <c r="J241" s="4387"/>
      <c r="K241" s="4387"/>
      <c r="L241" s="4387"/>
      <c r="M241" s="4387"/>
      <c r="N241" s="4387"/>
      <c r="O241" s="4387"/>
      <c r="P241" s="4387"/>
      <c r="Q241" s="4387"/>
      <c r="R241" s="4387"/>
      <c r="S241" s="4387"/>
      <c r="T241" s="4387"/>
      <c r="U241" s="4387"/>
      <c r="V241" s="4387"/>
      <c r="W241" s="4387"/>
      <c r="X241" s="4387"/>
      <c r="Y241" s="4387"/>
      <c r="Z241" s="4387"/>
      <c r="AA241" s="4387"/>
      <c r="AB241" s="4387"/>
      <c r="AC241" s="4387"/>
      <c r="AD241" s="4387"/>
      <c r="AE241" s="4387"/>
      <c r="AF241" s="4387"/>
      <c r="AG241" s="4442"/>
      <c r="AH241" s="2369"/>
      <c r="AI241" s="4511"/>
      <c r="AJ241" s="2920" t="s">
        <v>9528</v>
      </c>
      <c r="AK241" s="2920"/>
      <c r="AL241" s="2920"/>
      <c r="AM241" s="2920"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20"/>
      <c r="AO241" s="2920"/>
      <c r="AP241" s="2920"/>
      <c r="AQ241" s="2921"/>
      <c r="AR241" s="2920"/>
      <c r="AS241" s="2920"/>
      <c r="AT241" s="2920"/>
      <c r="AU241" s="2922"/>
      <c r="AV241" s="2922"/>
      <c r="AW241" s="2922"/>
      <c r="AX241" s="2922"/>
      <c r="AY241" s="2920"/>
    </row>
    <row r="242" spans="1:51" ht="12.2" customHeight="1" x14ac:dyDescent="0.2">
      <c r="A242" s="2360"/>
      <c r="B242" s="2252">
        <f t="shared" si="53"/>
        <v>7</v>
      </c>
      <c r="C242" s="4508"/>
      <c r="D242" s="4443"/>
      <c r="E242" s="4444"/>
      <c r="F242" s="4444"/>
      <c r="G242" s="4444"/>
      <c r="H242" s="4444"/>
      <c r="I242" s="4444"/>
      <c r="J242" s="4444"/>
      <c r="K242" s="4444"/>
      <c r="L242" s="4444"/>
      <c r="M242" s="4444"/>
      <c r="N242" s="4444"/>
      <c r="O242" s="4444"/>
      <c r="P242" s="4444"/>
      <c r="Q242" s="4444"/>
      <c r="R242" s="4444"/>
      <c r="S242" s="4444"/>
      <c r="T242" s="4444"/>
      <c r="U242" s="4444"/>
      <c r="V242" s="4444"/>
      <c r="W242" s="4444"/>
      <c r="X242" s="4444"/>
      <c r="Y242" s="4444"/>
      <c r="Z242" s="4444"/>
      <c r="AA242" s="4444"/>
      <c r="AB242" s="4444"/>
      <c r="AC242" s="4444"/>
      <c r="AD242" s="4444"/>
      <c r="AE242" s="4444"/>
      <c r="AF242" s="4444"/>
      <c r="AG242" s="4445"/>
      <c r="AH242" s="2369"/>
      <c r="AI242" s="4511"/>
      <c r="AJ242" s="2920" t="s">
        <v>9536</v>
      </c>
      <c r="AK242" s="2920"/>
      <c r="AL242" s="2920"/>
      <c r="AM242" s="2920"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20"/>
      <c r="AO242" s="2920"/>
      <c r="AP242" s="2920"/>
      <c r="AQ242" s="2921"/>
      <c r="AR242" s="2920"/>
      <c r="AS242" s="2920"/>
      <c r="AT242" s="2920"/>
      <c r="AU242" s="2922"/>
      <c r="AV242" s="2922"/>
      <c r="AW242" s="2922"/>
      <c r="AX242" s="2922"/>
      <c r="AY242" s="2920"/>
    </row>
    <row r="243" spans="1:51" ht="12.2" customHeight="1" x14ac:dyDescent="0.2">
      <c r="A243" s="2360"/>
      <c r="B243" s="2252">
        <f t="shared" si="53"/>
        <v>7</v>
      </c>
      <c r="C243" s="4508"/>
      <c r="D243" s="4443"/>
      <c r="E243" s="4444"/>
      <c r="F243" s="4444"/>
      <c r="G243" s="4444"/>
      <c r="H243" s="4444"/>
      <c r="I243" s="4444"/>
      <c r="J243" s="4444"/>
      <c r="K243" s="4444"/>
      <c r="L243" s="4444"/>
      <c r="M243" s="4444"/>
      <c r="N243" s="4444"/>
      <c r="O243" s="4444"/>
      <c r="P243" s="4444"/>
      <c r="Q243" s="4444"/>
      <c r="R243" s="4444"/>
      <c r="S243" s="4444"/>
      <c r="T243" s="4444"/>
      <c r="U243" s="4444"/>
      <c r="V243" s="4444"/>
      <c r="W243" s="4444"/>
      <c r="X243" s="4444"/>
      <c r="Y243" s="4444"/>
      <c r="Z243" s="4444"/>
      <c r="AA243" s="4444"/>
      <c r="AB243" s="4444"/>
      <c r="AC243" s="4444"/>
      <c r="AD243" s="4444"/>
      <c r="AE243" s="4444"/>
      <c r="AF243" s="4444"/>
      <c r="AG243" s="4445"/>
      <c r="AH243" s="2369"/>
      <c r="AI243" s="4511"/>
      <c r="AJ243" s="2920" t="s">
        <v>9515</v>
      </c>
      <c r="AK243" s="2920"/>
      <c r="AL243" s="2920"/>
      <c r="AM243" s="2920" t="b">
        <f>AND((IF(SUM(V221:V225)&gt;0,1,0)+IF(SUM(X221:X225)&gt;0,1,0)+IF(SUM(Z221:Z225)&gt;0,1,0)+IF(SUM(AB221:AB225)&gt;0,1,0)+IF(SUM(AD221:AD225,)&gt;0,1,0)+IF(SUM(AF221:AF225)&gt;0,1,0))&lt;3,OR(V228&lt;0,X228&lt;0,Z228&lt;0,AB228&lt;0,AD228&lt;0,AF228&lt;0,Y226&lt;0))</f>
        <v>0</v>
      </c>
      <c r="AN243" s="2920"/>
      <c r="AO243" s="2920"/>
      <c r="AP243" s="2920"/>
      <c r="AQ243" s="2921"/>
      <c r="AR243" s="2920"/>
      <c r="AS243" s="2920"/>
      <c r="AT243" s="2920"/>
      <c r="AU243" s="2922"/>
      <c r="AV243" s="2922"/>
      <c r="AW243" s="2922"/>
      <c r="AX243" s="2922"/>
      <c r="AY243" s="2920"/>
    </row>
    <row r="244" spans="1:51" ht="12.2" customHeight="1" x14ac:dyDescent="0.2">
      <c r="A244" s="2360"/>
      <c r="B244" s="2252">
        <f t="shared" si="53"/>
        <v>7</v>
      </c>
      <c r="C244" s="4508"/>
      <c r="D244" s="4443"/>
      <c r="E244" s="4444"/>
      <c r="F244" s="4444"/>
      <c r="G244" s="4444"/>
      <c r="H244" s="4444"/>
      <c r="I244" s="4444"/>
      <c r="J244" s="4444"/>
      <c r="K244" s="4444"/>
      <c r="L244" s="4444"/>
      <c r="M244" s="4444"/>
      <c r="N244" s="4444"/>
      <c r="O244" s="4444"/>
      <c r="P244" s="4444"/>
      <c r="Q244" s="4444"/>
      <c r="R244" s="4444"/>
      <c r="S244" s="4444"/>
      <c r="T244" s="4444"/>
      <c r="U244" s="4444"/>
      <c r="V244" s="4444"/>
      <c r="W244" s="4444"/>
      <c r="X244" s="4444"/>
      <c r="Y244" s="4444"/>
      <c r="Z244" s="4444"/>
      <c r="AA244" s="4444"/>
      <c r="AB244" s="4444"/>
      <c r="AC244" s="4444"/>
      <c r="AD244" s="4444"/>
      <c r="AE244" s="4444"/>
      <c r="AF244" s="4444"/>
      <c r="AG244" s="4445"/>
      <c r="AH244" s="2369"/>
      <c r="AI244" s="4511"/>
      <c r="AJ244" s="2920" t="s">
        <v>9530</v>
      </c>
      <c r="AK244" s="2920"/>
      <c r="AL244" s="2920"/>
      <c r="AM244" s="2920" t="b">
        <f>OR(-V228&gt;TRUNC(SUM(V221:V225)/2),-X228&gt;TRUNC(SUM(X221:X225)/2),-Z228&gt;TRUNC(SUM(Z221:Z225)/2),-AB228&gt;TRUNC(SUM(AB221:AB225)/2),-AD228&gt;TRUNC(SUM(AD221:AD225)/2),-AF228&gt;TRUNC(SUM(AF221:AF225)/2))</f>
        <v>0</v>
      </c>
      <c r="AN244" s="2920"/>
      <c r="AO244" s="2920"/>
      <c r="AP244" s="2920"/>
      <c r="AQ244" s="2921"/>
      <c r="AR244" s="2920"/>
      <c r="AS244" s="2920"/>
      <c r="AT244" s="2920"/>
      <c r="AU244" s="2922"/>
      <c r="AV244" s="2922"/>
      <c r="AW244" s="2922"/>
      <c r="AX244" s="2922"/>
      <c r="AY244" s="2920"/>
    </row>
    <row r="245" spans="1:51" ht="12.2" customHeight="1" x14ac:dyDescent="0.2">
      <c r="A245" s="2360"/>
      <c r="B245" s="2252">
        <f t="shared" si="53"/>
        <v>7</v>
      </c>
      <c r="C245" s="4508"/>
      <c r="D245" s="4443"/>
      <c r="E245" s="4444"/>
      <c r="F245" s="4444"/>
      <c r="G245" s="4444"/>
      <c r="H245" s="4444"/>
      <c r="I245" s="4444"/>
      <c r="J245" s="4444"/>
      <c r="K245" s="4444"/>
      <c r="L245" s="4444"/>
      <c r="M245" s="4444"/>
      <c r="N245" s="4444"/>
      <c r="O245" s="4444"/>
      <c r="P245" s="4444"/>
      <c r="Q245" s="4444"/>
      <c r="R245" s="4444"/>
      <c r="S245" s="4444"/>
      <c r="T245" s="4444"/>
      <c r="U245" s="4444"/>
      <c r="V245" s="4444"/>
      <c r="W245" s="4444"/>
      <c r="X245" s="4444"/>
      <c r="Y245" s="4444"/>
      <c r="Z245" s="4444"/>
      <c r="AA245" s="4444"/>
      <c r="AB245" s="4444"/>
      <c r="AC245" s="4444"/>
      <c r="AD245" s="4444"/>
      <c r="AE245" s="4444"/>
      <c r="AF245" s="4444"/>
      <c r="AG245" s="4445"/>
      <c r="AH245" s="2369"/>
      <c r="AI245" s="4511"/>
      <c r="AJ245" s="2920" t="s">
        <v>9531</v>
      </c>
      <c r="AK245" s="2920"/>
      <c r="AL245" s="2920"/>
      <c r="AM245" s="2920" t="b">
        <f>COUNTIF(D221:E225,"Primario")&gt;1</f>
        <v>0</v>
      </c>
      <c r="AN245" s="2920"/>
      <c r="AO245" s="2920"/>
      <c r="AP245" s="2920"/>
      <c r="AQ245" s="2921"/>
      <c r="AR245" s="2921"/>
      <c r="AS245" s="2921"/>
      <c r="AT245" s="2921"/>
      <c r="AU245" s="2922"/>
      <c r="AV245" s="2922"/>
      <c r="AW245" s="2922"/>
      <c r="AX245" s="2920"/>
      <c r="AY245" s="2920"/>
    </row>
    <row r="246" spans="1:51" ht="12.2" customHeight="1" x14ac:dyDescent="0.2">
      <c r="A246" s="2360"/>
      <c r="B246" s="2252">
        <f t="shared" si="53"/>
        <v>7</v>
      </c>
      <c r="C246" s="4508"/>
      <c r="D246" s="4443"/>
      <c r="E246" s="4444"/>
      <c r="F246" s="4444"/>
      <c r="G246" s="4444"/>
      <c r="H246" s="4444"/>
      <c r="I246" s="4444"/>
      <c r="J246" s="4444"/>
      <c r="K246" s="4444"/>
      <c r="L246" s="4444"/>
      <c r="M246" s="4444"/>
      <c r="N246" s="4444"/>
      <c r="O246" s="4444"/>
      <c r="P246" s="4444"/>
      <c r="Q246" s="4444"/>
      <c r="R246" s="4444"/>
      <c r="S246" s="4444"/>
      <c r="T246" s="4444"/>
      <c r="U246" s="4444"/>
      <c r="V246" s="4444"/>
      <c r="W246" s="4444"/>
      <c r="X246" s="4444"/>
      <c r="Y246" s="4444"/>
      <c r="Z246" s="4444"/>
      <c r="AA246" s="4444"/>
      <c r="AB246" s="4444"/>
      <c r="AC246" s="4444"/>
      <c r="AD246" s="4444"/>
      <c r="AE246" s="4444"/>
      <c r="AF246" s="4444"/>
      <c r="AG246" s="4445"/>
      <c r="AH246" s="2369"/>
      <c r="AI246" s="4511"/>
      <c r="AJ246" s="2920" t="s">
        <v>9514</v>
      </c>
      <c r="AK246" s="2920"/>
      <c r="AL246" s="2920"/>
      <c r="AM246" s="2920" t="b">
        <f>SUM(V228:AG228)&lt;&gt;Y226+ABS(AC226)*2/5+IF(S217="Si",3*P217,0)</f>
        <v>0</v>
      </c>
      <c r="AN246" s="2920"/>
      <c r="AO246" s="2920"/>
      <c r="AP246" s="2920"/>
      <c r="AQ246" s="2921"/>
      <c r="AR246" s="2921"/>
      <c r="AS246" s="2921"/>
      <c r="AT246" s="2921"/>
      <c r="AU246" s="2922"/>
      <c r="AV246" s="2922"/>
      <c r="AW246" s="2922"/>
      <c r="AX246" s="2920"/>
      <c r="AY246" s="2920"/>
    </row>
    <row r="247" spans="1:51" ht="12.2" customHeight="1" x14ac:dyDescent="0.2">
      <c r="A247" s="2360"/>
      <c r="B247" s="2252">
        <f t="shared" si="53"/>
        <v>7</v>
      </c>
      <c r="C247" s="4508"/>
      <c r="D247" s="4443"/>
      <c r="E247" s="4444"/>
      <c r="F247" s="4444"/>
      <c r="G247" s="4444"/>
      <c r="H247" s="4444"/>
      <c r="I247" s="4444"/>
      <c r="J247" s="4444"/>
      <c r="K247" s="4444"/>
      <c r="L247" s="4444"/>
      <c r="M247" s="4444"/>
      <c r="N247" s="4444"/>
      <c r="O247" s="4444"/>
      <c r="P247" s="4444"/>
      <c r="Q247" s="4444"/>
      <c r="R247" s="4444"/>
      <c r="S247" s="4444"/>
      <c r="T247" s="4444"/>
      <c r="U247" s="4444"/>
      <c r="V247" s="4444"/>
      <c r="W247" s="4444"/>
      <c r="X247" s="4444"/>
      <c r="Y247" s="4444"/>
      <c r="Z247" s="4444"/>
      <c r="AA247" s="4444"/>
      <c r="AB247" s="4444"/>
      <c r="AC247" s="4444"/>
      <c r="AD247" s="4444"/>
      <c r="AE247" s="4444"/>
      <c r="AF247" s="4444"/>
      <c r="AG247" s="4445"/>
      <c r="AH247" s="2369"/>
      <c r="AI247" s="4511"/>
      <c r="AJ247" s="2920" t="s">
        <v>9513</v>
      </c>
      <c r="AK247" s="2920"/>
      <c r="AL247" s="2920"/>
      <c r="AM247" s="2920" t="b">
        <f>AL234-AL235+AM234-AM235&lt;&gt;0</f>
        <v>0</v>
      </c>
      <c r="AN247" s="2922"/>
      <c r="AO247" s="2922"/>
      <c r="AP247" s="2922"/>
      <c r="AQ247" s="2922"/>
      <c r="AR247" s="2921"/>
      <c r="AS247" s="2921"/>
      <c r="AT247" s="2921"/>
      <c r="AU247" s="2922"/>
      <c r="AV247" s="2922"/>
      <c r="AW247" s="2922"/>
      <c r="AX247" s="2920"/>
      <c r="AY247" s="2920"/>
    </row>
    <row r="248" spans="1:51" ht="12.2" customHeight="1" thickBot="1" x14ac:dyDescent="0.25">
      <c r="A248" s="2360"/>
      <c r="B248" s="2252"/>
      <c r="C248" s="4509"/>
      <c r="D248" s="451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13"/>
      <c r="F248" s="4513"/>
      <c r="G248" s="4513"/>
      <c r="H248" s="4513"/>
      <c r="I248" s="4513"/>
      <c r="J248" s="4513"/>
      <c r="K248" s="4513"/>
      <c r="L248" s="4513"/>
      <c r="M248" s="4513"/>
      <c r="N248" s="4513"/>
      <c r="O248" s="4513"/>
      <c r="P248" s="4513"/>
      <c r="Q248" s="4513"/>
      <c r="R248" s="4513"/>
      <c r="S248" s="4513"/>
      <c r="T248" s="4513"/>
      <c r="U248" s="4513"/>
      <c r="V248" s="4513"/>
      <c r="W248" s="4513"/>
      <c r="X248" s="4513"/>
      <c r="Y248" s="4513"/>
      <c r="Z248" s="4513"/>
      <c r="AA248" s="4513"/>
      <c r="AB248" s="4513"/>
      <c r="AC248" s="4513"/>
      <c r="AD248" s="4513"/>
      <c r="AE248" s="4513"/>
      <c r="AF248" s="4513"/>
      <c r="AG248" s="4514"/>
      <c r="AH248" s="2369"/>
      <c r="AI248" s="4511"/>
      <c r="AJ248" s="2920" t="s">
        <v>9550</v>
      </c>
      <c r="AK248" s="2922"/>
      <c r="AL248" s="2922"/>
      <c r="AM248" s="2922" t="b">
        <f>ABS(SUM(N226:N228))&gt;(SUM(N221:N225)-10*Y226+AC226+IF(S217="Si",10*P217,0)+IF(COUNTIF(K221:M225,"Mantenido")&gt;0,P217*10)+MAX(IF(COUNTIF(K221:M225,"Sostenimiento Menor")&gt;0,P217*20)+IF(COUNTIF(K221:M225,"Sostenimiento Mayor")&gt;0,P217*30)))/2</f>
        <v>0</v>
      </c>
      <c r="AN248" s="2920"/>
      <c r="AO248" s="2920"/>
      <c r="AP248" s="2920"/>
      <c r="AQ248" s="2920"/>
      <c r="AR248" s="2921"/>
      <c r="AS248" s="2921"/>
      <c r="AT248" s="2921"/>
      <c r="AU248" s="2922"/>
      <c r="AV248" s="2922"/>
      <c r="AW248" s="2922"/>
      <c r="AX248" s="2920"/>
      <c r="AY248" s="2920"/>
    </row>
    <row r="249" spans="1:51" ht="12.2" customHeight="1" x14ac:dyDescent="0.2">
      <c r="A249" s="2360"/>
      <c r="B249" s="2252"/>
      <c r="C249" s="4403"/>
      <c r="D249" s="4403" t="str">
        <f>IFERROR(VLOOKUP(D230,'Tablas Técnicas'!$O$9:$T$88,2,FALSE),"")</f>
        <v/>
      </c>
      <c r="E249" s="4403"/>
      <c r="F249" s="4403"/>
      <c r="G249" s="4403"/>
      <c r="H249" s="4403"/>
      <c r="I249" s="4403"/>
      <c r="J249" s="4403" t="str">
        <f>IFERROR(VLOOKUP(J230,'Tablas Técnicas'!$O$9:$T$88,2,FALSE),"")</f>
        <v/>
      </c>
      <c r="K249" s="4403"/>
      <c r="L249" s="4403"/>
      <c r="M249" s="4403"/>
      <c r="N249" s="4403"/>
      <c r="O249" s="4403"/>
      <c r="P249" s="4403" t="str">
        <f>IFERROR(VLOOKUP(P230,'Tablas Técnicas'!$O$9:$T$88,2,FALSE),"")</f>
        <v/>
      </c>
      <c r="Q249" s="4403"/>
      <c r="R249" s="4403"/>
      <c r="S249" s="4403"/>
      <c r="T249" s="4403"/>
      <c r="U249" s="4403"/>
      <c r="V249" s="4403" t="str">
        <f>IFERROR(VLOOKUP(V230,'Tablas Técnicas'!$O$9:$T$88,2,FALSE),"")</f>
        <v/>
      </c>
      <c r="W249" s="4403"/>
      <c r="X249" s="4403"/>
      <c r="Y249" s="4403"/>
      <c r="Z249" s="4403"/>
      <c r="AA249" s="4403"/>
      <c r="AB249" s="4403" t="str">
        <f>IFERROR(VLOOKUP(AB230,'Tablas Técnicas'!$O$9:$T$88,2,FALSE),"")</f>
        <v/>
      </c>
      <c r="AC249" s="4403"/>
      <c r="AD249" s="4403"/>
      <c r="AE249" s="4403"/>
      <c r="AF249" s="4403"/>
      <c r="AG249" s="4403"/>
      <c r="AH249" s="2369"/>
      <c r="AI249" s="2073"/>
      <c r="AJ249" s="2920"/>
      <c r="AK249" s="2920"/>
      <c r="AL249" s="2920"/>
      <c r="AM249" s="2920"/>
      <c r="AN249" s="2920"/>
      <c r="AO249" s="2920"/>
      <c r="AP249" s="2920"/>
      <c r="AQ249" s="2920"/>
      <c r="AR249" s="2921"/>
      <c r="AS249" s="2921"/>
      <c r="AT249" s="2921"/>
      <c r="AU249" s="2922"/>
      <c r="AV249" s="2922"/>
      <c r="AW249" s="2922"/>
      <c r="AX249" s="2922"/>
      <c r="AY249" s="2920"/>
    </row>
    <row r="250" spans="1:51" ht="12.2" customHeight="1" thickBot="1" x14ac:dyDescent="0.25">
      <c r="A250" s="2360"/>
      <c r="B250" s="2252"/>
      <c r="C250" s="4403"/>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28"/>
      <c r="AK250" s="2928"/>
      <c r="AL250" s="2928"/>
      <c r="AM250" s="2928"/>
      <c r="AN250" s="2928"/>
      <c r="AO250" s="2928"/>
      <c r="AP250" s="2920"/>
      <c r="AQ250" s="2921"/>
      <c r="AR250" s="2922"/>
      <c r="AS250" s="2922"/>
      <c r="AT250" s="2922"/>
      <c r="AU250" s="2922"/>
      <c r="AV250" s="2922"/>
      <c r="AW250" s="2922"/>
      <c r="AX250" s="2922"/>
      <c r="AY250" s="2929"/>
    </row>
    <row r="251" spans="1:51" ht="12.2" customHeight="1" x14ac:dyDescent="0.2">
      <c r="A251" s="2360"/>
      <c r="B251" s="2252">
        <f t="shared" ref="B251:B281" si="62">1+B217</f>
        <v>8</v>
      </c>
      <c r="C251" s="4507" t="str">
        <f>"Técnica "&amp;B251</f>
        <v>Técnica 8</v>
      </c>
      <c r="D251" s="4497" t="s">
        <v>8918</v>
      </c>
      <c r="E251" s="4498"/>
      <c r="F251" s="4498"/>
      <c r="G251" s="4498"/>
      <c r="H251" s="4498"/>
      <c r="I251" s="4498"/>
      <c r="J251" s="4498"/>
      <c r="K251" s="4498"/>
      <c r="L251" s="4498"/>
      <c r="M251" s="4498"/>
      <c r="N251" s="4499"/>
      <c r="O251" s="4458" t="s">
        <v>1328</v>
      </c>
      <c r="P251" s="4460">
        <v>1</v>
      </c>
      <c r="Q251" s="4377" t="s">
        <v>9002</v>
      </c>
      <c r="R251" s="4453"/>
      <c r="S251" s="4455" t="s">
        <v>1384</v>
      </c>
      <c r="T251" s="4378" t="s">
        <v>1509</v>
      </c>
      <c r="U251" s="4440">
        <f>MAX(IF(P251=3,60,IF(P251=2,40,20)),MIN(SUM(N255:N262)-10*Y260+AC260+IF(S251="Si",10*P251,0)+IF(COUNTIF(K255:M259,"Mantenido")&gt;0,P251*10)+MAX(IF(COUNTIF(K255:M259,"Sostenimiento Menor")&gt;0,P251*20)+IF(COUNTIF(K255:M259,"Sostenimiento Mayor")&gt;0,P251*30))))</f>
        <v>20</v>
      </c>
      <c r="V251" s="4377" t="s">
        <v>9003</v>
      </c>
      <c r="W251" s="4378"/>
      <c r="X251" s="4381" t="str">
        <f>IFERROR(LEFT(AK267&amp;AL267&amp;AM267&amp;AN267&amp;AO267&amp;AP267,LEN(AK267&amp;AL267&amp;AM267&amp;AN267&amp;AO267&amp;AP267)-2),"")</f>
        <v/>
      </c>
      <c r="Y251" s="4381"/>
      <c r="Z251" s="4381"/>
      <c r="AA251" s="4381"/>
      <c r="AB251" s="4381"/>
      <c r="AC251" s="4381"/>
      <c r="AD251" s="4381"/>
      <c r="AE251" s="4381"/>
      <c r="AF251" s="4381"/>
      <c r="AG251" s="4382"/>
      <c r="AH251" s="2369"/>
      <c r="AI251" s="4511"/>
      <c r="AJ251" s="2925" t="s">
        <v>9547</v>
      </c>
      <c r="AK251" s="2925"/>
      <c r="AL251" s="2925"/>
      <c r="AM251" s="2925"/>
      <c r="AN251" s="2925"/>
      <c r="AO251" s="2925"/>
      <c r="AP251" s="2925"/>
      <c r="AQ251" s="2925"/>
      <c r="AR251" s="2925"/>
      <c r="AS251" s="2920"/>
      <c r="AT251" s="2920"/>
      <c r="AU251" s="2920"/>
      <c r="AV251" s="2920"/>
      <c r="AW251" s="2922"/>
      <c r="AX251" s="2922"/>
      <c r="AY251" s="2920"/>
    </row>
    <row r="252" spans="1:51" ht="12.2" customHeight="1" x14ac:dyDescent="0.2">
      <c r="A252" s="2360"/>
      <c r="B252" s="2252">
        <f t="shared" si="62"/>
        <v>8</v>
      </c>
      <c r="C252" s="4508"/>
      <c r="D252" s="4500"/>
      <c r="E252" s="4520"/>
      <c r="F252" s="4520"/>
      <c r="G252" s="4520"/>
      <c r="H252" s="4520"/>
      <c r="I252" s="4520"/>
      <c r="J252" s="4520"/>
      <c r="K252" s="4520"/>
      <c r="L252" s="4520"/>
      <c r="M252" s="4520"/>
      <c r="N252" s="4521"/>
      <c r="O252" s="4459"/>
      <c r="P252" s="4456"/>
      <c r="Q252" s="4379"/>
      <c r="R252" s="4454"/>
      <c r="S252" s="4456"/>
      <c r="T252" s="4457"/>
      <c r="U252" s="4441"/>
      <c r="V252" s="4379"/>
      <c r="W252" s="4457"/>
      <c r="X252" s="4522"/>
      <c r="Y252" s="4522"/>
      <c r="Z252" s="4522"/>
      <c r="AA252" s="4522"/>
      <c r="AB252" s="4522"/>
      <c r="AC252" s="4522"/>
      <c r="AD252" s="4522"/>
      <c r="AE252" s="4522"/>
      <c r="AF252" s="4522"/>
      <c r="AG252" s="4384"/>
      <c r="AH252" s="2369"/>
      <c r="AI252" s="4511"/>
      <c r="AJ252" s="2925"/>
      <c r="AK252" s="2925" t="s">
        <v>9548</v>
      </c>
      <c r="AL252" s="2925" t="s">
        <v>10268</v>
      </c>
      <c r="AM252" s="2926"/>
      <c r="AN252" s="2926"/>
      <c r="AO252" s="2926"/>
      <c r="AP252" s="2926"/>
      <c r="AQ252" s="2926"/>
      <c r="AR252" s="2925"/>
      <c r="AS252" s="2920"/>
      <c r="AT252" s="2920"/>
      <c r="AU252" s="2920"/>
      <c r="AV252" s="2920"/>
      <c r="AW252" s="2922"/>
      <c r="AX252" s="4510" t="s">
        <v>9517</v>
      </c>
      <c r="AY252" s="4510"/>
    </row>
    <row r="253" spans="1:51" ht="12.2" customHeight="1" x14ac:dyDescent="0.2">
      <c r="A253" s="2360"/>
      <c r="B253" s="2252">
        <f t="shared" si="62"/>
        <v>8</v>
      </c>
      <c r="C253" s="4508"/>
      <c r="D253" s="4386" t="s">
        <v>2858</v>
      </c>
      <c r="E253" s="4387"/>
      <c r="F253" s="4387"/>
      <c r="G253" s="4387"/>
      <c r="H253" s="4387"/>
      <c r="I253" s="4387"/>
      <c r="J253" s="4387"/>
      <c r="K253" s="4467" t="s">
        <v>9847</v>
      </c>
      <c r="L253" s="4467"/>
      <c r="M253" s="4467"/>
      <c r="N253" s="4387" t="s">
        <v>1503</v>
      </c>
      <c r="O253" s="4467" t="s">
        <v>2856</v>
      </c>
      <c r="P253" s="4467" t="s">
        <v>9004</v>
      </c>
      <c r="Q253" s="4387" t="s">
        <v>1367</v>
      </c>
      <c r="R253" s="4387"/>
      <c r="S253" s="4387"/>
      <c r="T253" s="4387"/>
      <c r="U253" s="4387"/>
      <c r="V253" s="4376" t="s">
        <v>1376</v>
      </c>
      <c r="W253" s="4354"/>
      <c r="X253" s="4376" t="s">
        <v>1501</v>
      </c>
      <c r="Y253" s="4464"/>
      <c r="Z253" s="4354" t="s">
        <v>1381</v>
      </c>
      <c r="AA253" s="4354"/>
      <c r="AB253" s="4376" t="s">
        <v>1386</v>
      </c>
      <c r="AC253" s="4464"/>
      <c r="AD253" s="4354" t="s">
        <v>1394</v>
      </c>
      <c r="AE253" s="4354"/>
      <c r="AF253" s="4376" t="s">
        <v>1395</v>
      </c>
      <c r="AG253" s="4355"/>
      <c r="AH253" s="2369"/>
      <c r="AI253" s="4511"/>
      <c r="AJ253" s="2920"/>
      <c r="AK253" s="2920"/>
      <c r="AL253" s="2920" t="s">
        <v>9825</v>
      </c>
      <c r="AM253" s="2920"/>
      <c r="AN253" s="2920"/>
      <c r="AO253" s="2920"/>
      <c r="AP253" s="2920"/>
      <c r="AQ253" s="2920"/>
      <c r="AR253" s="2922"/>
      <c r="AS253" s="2922" t="s">
        <v>9537</v>
      </c>
      <c r="AT253" s="2922" t="s">
        <v>9538</v>
      </c>
      <c r="AU253" s="2920" t="s">
        <v>9526</v>
      </c>
      <c r="AV253" s="2920" t="s">
        <v>9527</v>
      </c>
      <c r="AW253" s="2922" t="s">
        <v>1503</v>
      </c>
      <c r="AX253" s="2922" t="s">
        <v>9006</v>
      </c>
      <c r="AY253" s="2920" t="s">
        <v>9007</v>
      </c>
    </row>
    <row r="254" spans="1:51" ht="12.2" customHeight="1" x14ac:dyDescent="0.2">
      <c r="A254" s="2360"/>
      <c r="B254" s="2252">
        <f t="shared" si="62"/>
        <v>8</v>
      </c>
      <c r="C254" s="4508"/>
      <c r="D254" s="4515"/>
      <c r="E254" s="4516"/>
      <c r="F254" s="4516"/>
      <c r="G254" s="4516"/>
      <c r="H254" s="4516"/>
      <c r="I254" s="4516"/>
      <c r="J254" s="4516"/>
      <c r="K254" s="4517"/>
      <c r="L254" s="4517"/>
      <c r="M254" s="4517"/>
      <c r="N254" s="4518"/>
      <c r="O254" s="4517"/>
      <c r="P254" s="4519"/>
      <c r="Q254" s="4518"/>
      <c r="R254" s="4518"/>
      <c r="S254" s="4518"/>
      <c r="T254" s="4518"/>
      <c r="U254" s="4518"/>
      <c r="V254" s="2257" t="s">
        <v>9516</v>
      </c>
      <c r="W254" s="2361" t="s">
        <v>2862</v>
      </c>
      <c r="X254" s="2257" t="s">
        <v>9516</v>
      </c>
      <c r="Y254" s="2361" t="s">
        <v>2862</v>
      </c>
      <c r="Z254" s="2257" t="s">
        <v>9516</v>
      </c>
      <c r="AA254" s="2361" t="s">
        <v>2862</v>
      </c>
      <c r="AB254" s="2257" t="s">
        <v>9516</v>
      </c>
      <c r="AC254" s="2361" t="s">
        <v>2862</v>
      </c>
      <c r="AD254" s="2257" t="s">
        <v>9516</v>
      </c>
      <c r="AE254" s="2361" t="s">
        <v>2862</v>
      </c>
      <c r="AF254" s="2257" t="s">
        <v>9516</v>
      </c>
      <c r="AG254" s="2080" t="s">
        <v>2862</v>
      </c>
      <c r="AH254" s="2369"/>
      <c r="AI254" s="4511"/>
      <c r="AJ254" s="2920"/>
      <c r="AK254" s="2920" t="s">
        <v>9518</v>
      </c>
      <c r="AL254" s="2920">
        <v>1</v>
      </c>
      <c r="AM254" s="2920">
        <v>2</v>
      </c>
      <c r="AN254" s="2920">
        <v>3</v>
      </c>
      <c r="AO254" s="2920">
        <v>4</v>
      </c>
      <c r="AP254" s="2920">
        <v>5</v>
      </c>
      <c r="AQ254" s="2920">
        <v>6</v>
      </c>
      <c r="AR254" s="2920">
        <v>7</v>
      </c>
      <c r="AS254" s="2922"/>
      <c r="AT254" s="2920" t="s">
        <v>9549</v>
      </c>
      <c r="AU254" s="2922"/>
      <c r="AV254" s="2922"/>
      <c r="AW254" s="2922" t="s">
        <v>9549</v>
      </c>
      <c r="AX254" s="2922"/>
      <c r="AY254" s="2920"/>
    </row>
    <row r="255" spans="1:51" ht="12.2" customHeight="1" x14ac:dyDescent="0.2">
      <c r="A255" s="2360"/>
      <c r="B255" s="2252">
        <f t="shared" si="62"/>
        <v>8</v>
      </c>
      <c r="C255" s="4508"/>
      <c r="D255" s="4486" t="s">
        <v>9008</v>
      </c>
      <c r="E255" s="4487"/>
      <c r="F255" s="4488"/>
      <c r="G255" s="4489"/>
      <c r="H255" s="4489"/>
      <c r="I255" s="4489"/>
      <c r="J255" s="4411"/>
      <c r="K255" s="4490" t="s">
        <v>1459</v>
      </c>
      <c r="L255" s="4491"/>
      <c r="M255" s="4492"/>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93" t="str">
        <f>IFERROR(VLOOKUP(F255,'Tablas Técnicas'!$O$9:$T$88,5,FALSE),"")</f>
        <v/>
      </c>
      <c r="R255" s="4493"/>
      <c r="S255" s="4493"/>
      <c r="T255" s="4493"/>
      <c r="U255" s="4493"/>
      <c r="V255" s="2208"/>
      <c r="W255" s="2209"/>
      <c r="X255" s="2208"/>
      <c r="Y255" s="2210"/>
      <c r="Z255" s="2211"/>
      <c r="AA255" s="2209"/>
      <c r="AB255" s="2208"/>
      <c r="AC255" s="2210"/>
      <c r="AD255" s="2211"/>
      <c r="AE255" s="2209"/>
      <c r="AF255" s="2208"/>
      <c r="AG255" s="2212"/>
      <c r="AH255" s="2369"/>
      <c r="AI255" s="4511"/>
      <c r="AJ255" s="2920">
        <v>1</v>
      </c>
      <c r="AK255" s="2920">
        <f>P251</f>
        <v>1</v>
      </c>
      <c r="AL255" s="2920" t="str">
        <f>IF(AND(ISNUMBER(MATCH($F255,'Tablas Técnicas'!$L$10:$L$643,0)),INDEX($D268:$D274,Tablas!A$1)="",COUNTIF(AM255:$AS255,$F255)=0),$F255,IF(INDEX($D268:$D274,Tablas!A$1)="","",$F255&amp;INDEX($D268:$D274,Tablas!A$1)))</f>
        <v/>
      </c>
      <c r="AM255" s="2920" t="str">
        <f>IF(AND(ISNUMBER(MATCH($F255,'Tablas Técnicas'!$L$10:$L$643,0)),INDEX($D268:$D274,Tablas!B$1)="",COUNTIF(AN255:$AS255,$F255)=0),$F255,IF(INDEX($D268:$D274,Tablas!B$1)="","",$F255&amp;INDEX($D268:$D274,Tablas!B$1)))</f>
        <v/>
      </c>
      <c r="AN255" s="2920" t="str">
        <f>IF(AND(ISNUMBER(MATCH($F255,'Tablas Técnicas'!$L$10:$L$643,0)),INDEX($D268:$D274,Tablas!C$1)="",COUNTIF(AO255:$AS255,$F255)=0),$F255,IF(INDEX($D268:$D274,Tablas!C$1)="","",$F255&amp;INDEX($D268:$D274,Tablas!C$1)))</f>
        <v/>
      </c>
      <c r="AO255" s="2920" t="str">
        <f>IF(AND(ISNUMBER(MATCH($F255,'Tablas Técnicas'!$L$10:$L$643,0)),INDEX($D268:$D274,Tablas!D$1)="",COUNTIF(AP255:$AS255,$F255)=0),$F255,IF(INDEX($D268:$D274,Tablas!D$1)="","",$F255&amp;INDEX($D268:$D274,Tablas!D$1)))</f>
        <v/>
      </c>
      <c r="AP255" s="2920" t="str">
        <f>IF(AND(ISNUMBER(MATCH($F255,'Tablas Técnicas'!$L$10:$L$643,0)),INDEX($D268:$D274,Tablas!E$1)="",COUNTIF(AQ255:$AS255,$F255)=0),$F255,IF(INDEX($D268:$D274,Tablas!E$1)="","",$F255&amp;INDEX($D268:$D274,Tablas!E$1)))</f>
        <v/>
      </c>
      <c r="AQ255" s="2920" t="str">
        <f>IF(AND(ISNUMBER(MATCH($F255,'Tablas Técnicas'!$L$10:$L$643,0)),INDEX($D268:$D274,Tablas!F$1)="",COUNTIF(AR255:$AS255,$F255)=0),$F255,IF(INDEX($D268:$D274,Tablas!F$1)="","",$F255&amp;INDEX($D268:$D274,Tablas!F$1)))</f>
        <v/>
      </c>
      <c r="AR255" s="2920" t="str">
        <f>IF(AND(ISNUMBER(MATCH($F255,'Tablas Técnicas'!$L$10:$L$643,0)),INDEX($D268:$D274,Tablas!G$1)="",COUNTIF(AS255:$AS255,$F255)=0),$F255,IF(INDEX($D268:$D274,Tablas!G$1)="","",$F255&amp;INDEX($D268:$D274,Tablas!G$1)))</f>
        <v/>
      </c>
      <c r="AS255" s="2922">
        <f>V255+X255+Z255+AB255+AD255+AF255</f>
        <v>0</v>
      </c>
      <c r="AT255" s="2922">
        <f t="array" ref="AT255">SUM(IF($AL255:$AR255='Tablas Técnicas'!$L$10:$L$643,IF(D255="Primario",'Tablas Técnicas'!$E$10:$E$643,'Tablas Técnicas'!$F$10:$F$643)+IF(K255="Sostenimiento menor",'Tablas Técnicas'!$I$10:$I$643,IF(K255="sostenimiento mayor",'Tablas Técnicas'!$J$10:$J$643,0)),0),0)+VALUE(RIGHT(P255,2))+AU255+AV255</f>
        <v>0</v>
      </c>
      <c r="AU255" s="292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22">
        <f>(COUNTIF(AL255:AR255,"*Estado añadido:*")-1)*COUNTIF(AL255:AR255,"*Estado añadido:*")</f>
        <v>0</v>
      </c>
      <c r="AW255" s="2922">
        <f t="array" ref="AW255">SUM(IF($AL255:$AR255='Tablas Técnicas'!$L$10:$L$643,'Tablas Técnicas'!$G$10:$G$643,0))</f>
        <v>0</v>
      </c>
      <c r="AX255" s="2920"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20" t="str">
        <f t="shared" ref="AY255:AY257" si="63">IFERROR(LEFT(AX255,LEN(AX255)-2)&amp;"), ","")</f>
        <v/>
      </c>
    </row>
    <row r="256" spans="1:51" ht="12.2" customHeight="1" x14ac:dyDescent="0.2">
      <c r="A256" s="2360"/>
      <c r="B256" s="2252">
        <f t="shared" si="62"/>
        <v>8</v>
      </c>
      <c r="C256" s="4508"/>
      <c r="D256" s="4392" t="s">
        <v>526</v>
      </c>
      <c r="E256" s="4393"/>
      <c r="F256" s="4473"/>
      <c r="G256" s="4474"/>
      <c r="H256" s="4474"/>
      <c r="I256" s="4474"/>
      <c r="J256" s="4420"/>
      <c r="K256" s="4475" t="s">
        <v>1459</v>
      </c>
      <c r="L256" s="4476"/>
      <c r="M256" s="4477"/>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39" t="str">
        <f>IFERROR(VLOOKUP(F256,'Tablas Técnicas'!$O$9:$T$88,5,FALSE),"")</f>
        <v/>
      </c>
      <c r="R256" s="4439"/>
      <c r="S256" s="4439"/>
      <c r="T256" s="4439"/>
      <c r="U256" s="4439"/>
      <c r="V256" s="2213"/>
      <c r="W256" s="2214"/>
      <c r="X256" s="2213"/>
      <c r="Y256" s="2215"/>
      <c r="Z256" s="2216"/>
      <c r="AA256" s="2214"/>
      <c r="AB256" s="2213"/>
      <c r="AC256" s="2215"/>
      <c r="AD256" s="2216"/>
      <c r="AE256" s="2214"/>
      <c r="AF256" s="2213"/>
      <c r="AG256" s="2217"/>
      <c r="AH256" s="2369"/>
      <c r="AI256" s="4511"/>
      <c r="AJ256" s="2920">
        <v>2</v>
      </c>
      <c r="AK256" s="2920">
        <f>P251</f>
        <v>1</v>
      </c>
      <c r="AL256" s="2920" t="str">
        <f>IF(AND(ISNUMBER(MATCH($F256,'Tablas Técnicas'!$L$10:$L$643,0)),INDEX($J268:$J274,Tablas!A$1)="",COUNTIF(AM256:$AS256,$F256)=0),$F256,IF(INDEX($J268:$J274,Tablas!A$1)="","",$F256&amp;INDEX($J268:$J274,Tablas!A$1)))</f>
        <v/>
      </c>
      <c r="AM256" s="2920" t="str">
        <f>IF(AND(ISNUMBER(MATCH($F256,'Tablas Técnicas'!$L$10:$L$643,0)),INDEX($J268:$J274,Tablas!B$1)="",COUNTIF(AN256:$AS256,$F256)=0),$F256,IF(INDEX($J268:$J274,Tablas!B$1)="","",$F256&amp;INDEX($J268:$J274,Tablas!B$1)))</f>
        <v/>
      </c>
      <c r="AN256" s="2920" t="str">
        <f>IF(AND(ISNUMBER(MATCH($F256,'Tablas Técnicas'!$L$10:$L$643,0)),INDEX($J268:$J274,Tablas!C$1)="",COUNTIF(AO256:$AS256,$F256)=0),$F256,IF(INDEX($J268:$J274,Tablas!C$1)="","",$F256&amp;INDEX($J268:$J274,Tablas!C$1)))</f>
        <v/>
      </c>
      <c r="AO256" s="2920" t="str">
        <f>IF(AND(ISNUMBER(MATCH($F256,'Tablas Técnicas'!$L$10:$L$643,0)),INDEX($J268:$J274,Tablas!D$1)="",COUNTIF(AP256:$AS256,$F256)=0),$F256,IF(INDEX($J268:$J274,Tablas!D$1)="","",$F256&amp;INDEX($J268:$J274,Tablas!D$1)))</f>
        <v/>
      </c>
      <c r="AP256" s="2920" t="str">
        <f>IF(AND(ISNUMBER(MATCH($F256,'Tablas Técnicas'!$L$10:$L$643,0)),INDEX($J268:$J274,Tablas!E$1)="",COUNTIF(AQ256:$AS256,$F256)=0),$F256,IF(INDEX($J268:$J274,Tablas!E$1)="","",$F256&amp;INDEX($J268:$J274,Tablas!E$1)))</f>
        <v/>
      </c>
      <c r="AQ256" s="2920" t="str">
        <f>IF(AND(ISNUMBER(MATCH($F256,'Tablas Técnicas'!$L$10:$L$643,0)),INDEX($J268:$J274,Tablas!F$1)="",COUNTIF(AR256:$AS256,$F256)=0),$F256,IF(INDEX($J268:$J274,Tablas!F$1)="","",$F256&amp;INDEX($J268:$J274,Tablas!F$1)))</f>
        <v/>
      </c>
      <c r="AR256" s="2920" t="str">
        <f>IF(AND(ISNUMBER(MATCH($F256,'Tablas Técnicas'!$L$10:$L$643,0)),INDEX($J268:$J274,Tablas!G$1)="",COUNTIF(AS256:$AS256,$F256)=0),$F256,IF(INDEX($J268:$J274,Tablas!G$1)="","",$F256&amp;INDEX($J268:$J274,Tablas!G$1)))</f>
        <v/>
      </c>
      <c r="AS256" s="2922">
        <f>V256+X256+Z256+AB256+AD256+AF256</f>
        <v>0</v>
      </c>
      <c r="AT256" s="2922">
        <f t="array" ref="AT256">SUM(IF($AL256:$AR256='Tablas Técnicas'!$L$10:$L$643,IF(D256="Primario",'Tablas Técnicas'!$E$10:$E$643,'Tablas Técnicas'!$F$10:$F$643)+IF(K256="Sostenimiento menor",'Tablas Técnicas'!$I$10:$I$643,IF(K256="sostenimiento mayor",'Tablas Técnicas'!$J$10:$J$643,0)),0),0)+VALUE(RIGHT(P256,2))+AU256+AV256</f>
        <v>0</v>
      </c>
      <c r="AU256" s="292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22">
        <f>(COUNTIF(AL256:AR256,"*Estado añadido:*")-1)*COUNTIF(AL256:AR256,"*Estado añadido:*")</f>
        <v>0</v>
      </c>
      <c r="AW256" s="2922">
        <f t="array" ref="AW256">SUM(IF($AL256:$AR256='Tablas Técnicas'!$L$10:$L$643,'Tablas Técnicas'!$G$10:$G$643,0))</f>
        <v>0</v>
      </c>
      <c r="AX256" s="2920"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20" t="str">
        <f t="shared" si="63"/>
        <v/>
      </c>
    </row>
    <row r="257" spans="1:51" ht="12.2" customHeight="1" x14ac:dyDescent="0.2">
      <c r="A257" s="2360"/>
      <c r="B257" s="2252">
        <f t="shared" si="62"/>
        <v>8</v>
      </c>
      <c r="C257" s="4508"/>
      <c r="D257" s="4481" t="s">
        <v>526</v>
      </c>
      <c r="E257" s="4482"/>
      <c r="F257" s="4398"/>
      <c r="G257" s="4399"/>
      <c r="H257" s="4399"/>
      <c r="I257" s="4399"/>
      <c r="J257" s="4400"/>
      <c r="K257" s="4478" t="s">
        <v>1459</v>
      </c>
      <c r="L257" s="4479"/>
      <c r="M257" s="4480"/>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523" t="str">
        <f>IFERROR(VLOOKUP(F257,'Tablas Técnicas'!$O$9:$T$88,5,FALSE),"")</f>
        <v/>
      </c>
      <c r="R257" s="4523"/>
      <c r="S257" s="4523"/>
      <c r="T257" s="4523"/>
      <c r="U257" s="4523"/>
      <c r="V257" s="2218"/>
      <c r="W257" s="2219"/>
      <c r="X257" s="2218"/>
      <c r="Y257" s="2220"/>
      <c r="Z257" s="2221"/>
      <c r="AA257" s="2219"/>
      <c r="AB257" s="2218"/>
      <c r="AC257" s="2220"/>
      <c r="AD257" s="2221"/>
      <c r="AE257" s="2219"/>
      <c r="AF257" s="2218"/>
      <c r="AG257" s="2222"/>
      <c r="AH257" s="2369"/>
      <c r="AI257" s="4511"/>
      <c r="AJ257" s="2920">
        <v>3</v>
      </c>
      <c r="AK257" s="2920">
        <f>P251</f>
        <v>1</v>
      </c>
      <c r="AL257" s="2920" t="str">
        <f>IF(AND(ISNUMBER(MATCH($F257,'Tablas Técnicas'!$L$10:$L$643,0)),INDEX($P268:$P274,Tablas!A$1)="",COUNTIF(AM257:$AS257,$F257)=0),$F257,IF(INDEX($P268:$P274,Tablas!A$1)="","",$F257&amp;INDEX($P268:$P274,Tablas!A$1)))</f>
        <v/>
      </c>
      <c r="AM257" s="2920" t="str">
        <f>IF(AND(ISNUMBER(MATCH($F257,'Tablas Técnicas'!$L$10:$L$643,0)),INDEX($P268:$P274,Tablas!B$1)="",COUNTIF(AN257:$AS257,$F257)=0),$F257,IF(INDEX($P268:$P274,Tablas!B$1)="","",$F257&amp;INDEX($P268:$P274,Tablas!B$1)))</f>
        <v/>
      </c>
      <c r="AN257" s="2920" t="str">
        <f>IF(AND(ISNUMBER(MATCH($F257,'Tablas Técnicas'!$L$10:$L$643,0)),INDEX($P268:$P274,Tablas!C$1)="",COUNTIF(AO257:$AS257,$F257)=0),$F257,IF(INDEX($P268:$P274,Tablas!C$1)="","",$F257&amp;INDEX($P268:$P274,Tablas!C$1)))</f>
        <v/>
      </c>
      <c r="AO257" s="2920" t="str">
        <f>IF(AND(ISNUMBER(MATCH($F257,'Tablas Técnicas'!$L$10:$L$643,0)),INDEX($P268:$P274,Tablas!D$1)="",COUNTIF(AP257:$AS257,$F257)=0),$F257,IF(INDEX($P268:$P274,Tablas!D$1)="","",$F257&amp;INDEX($P268:$P274,Tablas!D$1)))</f>
        <v/>
      </c>
      <c r="AP257" s="2920" t="str">
        <f>IF(AND(ISNUMBER(MATCH($F257,'Tablas Técnicas'!$L$10:$L$643,0)),INDEX($P268:$P274,Tablas!E$1)="",COUNTIF(AQ257:$AS257,$F257)=0),$F257,IF(INDEX($P268:$P274,Tablas!E$1)="","",$F257&amp;INDEX($P268:$P274,Tablas!E$1)))</f>
        <v/>
      </c>
      <c r="AQ257" s="2920" t="str">
        <f>IF(AND(ISNUMBER(MATCH($F257,'Tablas Técnicas'!$L$10:$L$643,0)),INDEX($P268:$P274,Tablas!F$1)="",COUNTIF(AR257:$AS257,$F257)=0),$F257,IF(INDEX($P268:$P274,Tablas!F$1)="","",$F257&amp;INDEX($P268:$P274,Tablas!F$1)))</f>
        <v/>
      </c>
      <c r="AR257" s="2920" t="str">
        <f>IF(AND(ISNUMBER(MATCH($F257,'Tablas Técnicas'!$L$10:$L$643,0)),INDEX($P268:$P274,Tablas!G$1)="",COUNTIF(AS257:$AS257,$F257)=0),$F257,IF(INDEX($P268:$P274,Tablas!G$1)="","",$F257&amp;INDEX($P268:$P274,Tablas!G$1)))</f>
        <v/>
      </c>
      <c r="AS257" s="2922">
        <f>V257+X257+Z257+AB257+AD257+AF257</f>
        <v>0</v>
      </c>
      <c r="AT257" s="2922">
        <f t="array" ref="AT257">SUM(IF($AL257:$AR257='Tablas Técnicas'!$L$10:$L$643,IF(D257="Primario",'Tablas Técnicas'!$E$10:$E$643,'Tablas Técnicas'!$F$10:$F$643)+IF(K257="Sostenimiento menor",'Tablas Técnicas'!$I$10:$I$643,IF(K257="sostenimiento mayor",'Tablas Técnicas'!$J$10:$J$643,0)),0),0)+VALUE(RIGHT(P257,2))+AU257+AV257</f>
        <v>0</v>
      </c>
      <c r="AU257" s="292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22">
        <f>(COUNTIF(AL257:AR257,"*Estado añadido:*")-1)*COUNTIF(AL257:AR257,"*Estado añadido:*")</f>
        <v>0</v>
      </c>
      <c r="AW257" s="2922">
        <f t="array" ref="AW257">SUM(IF($AL257:$AR257='Tablas Técnicas'!$L$10:$L$643,'Tablas Técnicas'!$G$10:$G$643,0))</f>
        <v>0</v>
      </c>
      <c r="AX257" s="2920" t="str">
        <f t="shared" si="64"/>
        <v/>
      </c>
      <c r="AY257" s="2920" t="str">
        <f t="shared" si="63"/>
        <v/>
      </c>
    </row>
    <row r="258" spans="1:51" ht="12.2" customHeight="1" x14ac:dyDescent="0.2">
      <c r="A258" s="2360"/>
      <c r="B258" s="2252">
        <f t="shared" si="62"/>
        <v>8</v>
      </c>
      <c r="C258" s="4508"/>
      <c r="D258" s="4392" t="s">
        <v>526</v>
      </c>
      <c r="E258" s="4393"/>
      <c r="F258" s="4473"/>
      <c r="G258" s="4474"/>
      <c r="H258" s="4474"/>
      <c r="I258" s="4474"/>
      <c r="J258" s="4420"/>
      <c r="K258" s="4475" t="s">
        <v>1459</v>
      </c>
      <c r="L258" s="4476"/>
      <c r="M258" s="4477"/>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39" t="str">
        <f>IFERROR(VLOOKUP(F258,'Tablas Técnicas'!$O$9:$T$88,5,FALSE),"")</f>
        <v/>
      </c>
      <c r="R258" s="4439"/>
      <c r="S258" s="4439"/>
      <c r="T258" s="4439"/>
      <c r="U258" s="4439"/>
      <c r="V258" s="2213"/>
      <c r="W258" s="2214"/>
      <c r="X258" s="2213"/>
      <c r="Y258" s="2215"/>
      <c r="Z258" s="2216"/>
      <c r="AA258" s="2214"/>
      <c r="AB258" s="2213"/>
      <c r="AC258" s="2215"/>
      <c r="AD258" s="2216"/>
      <c r="AE258" s="2214"/>
      <c r="AF258" s="2213"/>
      <c r="AG258" s="2217"/>
      <c r="AH258" s="2369"/>
      <c r="AI258" s="4511"/>
      <c r="AJ258" s="2920">
        <v>4</v>
      </c>
      <c r="AK258" s="2920">
        <f>P251</f>
        <v>1</v>
      </c>
      <c r="AL258" s="2920" t="str">
        <f>IF(AND(ISNUMBER(MATCH($F258,'Tablas Técnicas'!$L$10:$L$643,0)),INDEX($V268:$V274,Tablas!A$1)="",COUNTIF(AM258:$AS258,$F258)=0),$F258,IF(INDEX($V268:$V274,Tablas!A$1)="","",$F258&amp;INDEX($V268:$V274,Tablas!A$1)))</f>
        <v/>
      </c>
      <c r="AM258" s="2920" t="str">
        <f>IF(AND(ISNUMBER(MATCH($F258,'Tablas Técnicas'!$L$10:$L$643,0)),INDEX($V268:$V274,Tablas!B$1)="",COUNTIF(AN258:$AS258,$F258)=0),$F258,IF(INDEX($V268:$V274,Tablas!B$1)="","",$F258&amp;INDEX($V268:$V274,Tablas!B$1)))</f>
        <v/>
      </c>
      <c r="AN258" s="2920" t="str">
        <f>IF(AND(ISNUMBER(MATCH($F258,'Tablas Técnicas'!$L$10:$L$643,0)),INDEX($V268:$V274,Tablas!C$1)="",COUNTIF(AO258:$AS258,$F258)=0),$F258,IF(INDEX($V268:$V274,Tablas!C$1)="","",$F258&amp;INDEX($V268:$V274,Tablas!C$1)))</f>
        <v/>
      </c>
      <c r="AO258" s="2920" t="str">
        <f>IF(AND(ISNUMBER(MATCH($F258,'Tablas Técnicas'!$L$10:$L$643,0)),INDEX($V268:$V274,Tablas!D$1)="",COUNTIF(AP258:$AS258,$F258)=0),$F258,IF(INDEX($V268:$V274,Tablas!D$1)="","",$F258&amp;INDEX($V268:$V274,Tablas!D$1)))</f>
        <v/>
      </c>
      <c r="AP258" s="2920" t="str">
        <f>IF(AND(ISNUMBER(MATCH($F258,'Tablas Técnicas'!$L$10:$L$643,0)),INDEX($V268:$V274,Tablas!E$1)="",COUNTIF(AQ258:$AS258,$F258)=0),$F258,IF(INDEX($V268:$V274,Tablas!E$1)="","",$F258&amp;INDEX($V268:$V274,Tablas!E$1)))</f>
        <v/>
      </c>
      <c r="AQ258" s="2920" t="str">
        <f>IF(AND(ISNUMBER(MATCH($F258,'Tablas Técnicas'!$L$10:$L$643,0)),INDEX($V268:$V274,Tablas!F$1)="",COUNTIF(AR258:$AS258,$F258)=0),$F258,IF(INDEX($V268:$V274,Tablas!F$1)="","",$F258&amp;INDEX($V268:$V274,Tablas!F$1)))</f>
        <v/>
      </c>
      <c r="AR258" s="2920" t="str">
        <f>IF(AND(ISNUMBER(MATCH($F258,'Tablas Técnicas'!$L$10:$L$643,0)),INDEX($V268:$V274,Tablas!G$1)="",COUNTIF(AS258:$AS258,$F258)=0),$F258,IF(INDEX($V268:$V274,Tablas!G$1)="","",$F258&amp;INDEX($V268:$V274,Tablas!G$1)))</f>
        <v/>
      </c>
      <c r="AS258" s="2922">
        <f>V258+X258+Z258+AB258+AD258+AF258</f>
        <v>0</v>
      </c>
      <c r="AT258" s="2922">
        <f t="array" ref="AT258">SUM(IF($AL258:$AR258='Tablas Técnicas'!$L$10:$L$643,IF(D258="Primario",'Tablas Técnicas'!$E$10:$E$643,'Tablas Técnicas'!$F$10:$F$643)+IF(K258="Sostenimiento menor",'Tablas Técnicas'!$I$10:$I$643,IF(K258="sostenimiento mayor",'Tablas Técnicas'!$J$10:$J$643,0)),0),0)+VALUE(RIGHT(P258,2))+AU258+AV258</f>
        <v>0</v>
      </c>
      <c r="AU258" s="292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22">
        <f>(COUNTIF(AL258:AR258,"*Estado añadido:*")-1)*COUNTIF(AL258:AR258,"*Estado añadido:*")</f>
        <v>0</v>
      </c>
      <c r="AW258" s="2922">
        <f t="array" ref="AW258">SUM(IF($AL258:$AR258='Tablas Técnicas'!$L$10:$L$643,'Tablas Técnicas'!$G$10:$G$643,0))</f>
        <v>0</v>
      </c>
      <c r="AX258" s="2920" t="str">
        <f t="shared" si="64"/>
        <v/>
      </c>
      <c r="AY258" s="2920" t="str">
        <f>IFERROR(LEFT(AX258,LEN(AX258)-2)&amp;"), ","")</f>
        <v/>
      </c>
    </row>
    <row r="259" spans="1:51" ht="12.2" customHeight="1" thickBot="1" x14ac:dyDescent="0.25">
      <c r="A259" s="2360"/>
      <c r="B259" s="2252">
        <f t="shared" si="62"/>
        <v>8</v>
      </c>
      <c r="C259" s="4508"/>
      <c r="D259" s="4395" t="s">
        <v>526</v>
      </c>
      <c r="E259" s="4396"/>
      <c r="F259" s="4494"/>
      <c r="G259" s="4495"/>
      <c r="H259" s="4495"/>
      <c r="I259" s="4495"/>
      <c r="J259" s="4496"/>
      <c r="K259" s="4470" t="s">
        <v>1459</v>
      </c>
      <c r="L259" s="4471"/>
      <c r="M259" s="4472"/>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46" t="str">
        <f>IFERROR(VLOOKUP(F259,'Tablas Técnicas'!$O$9:$T$88,5,FALSE),"")</f>
        <v/>
      </c>
      <c r="R259" s="4446"/>
      <c r="S259" s="4446"/>
      <c r="T259" s="4446"/>
      <c r="U259" s="4446"/>
      <c r="V259" s="2223"/>
      <c r="W259" s="2224"/>
      <c r="X259" s="2223"/>
      <c r="Y259" s="2225"/>
      <c r="Z259" s="2226"/>
      <c r="AA259" s="2224"/>
      <c r="AB259" s="2223"/>
      <c r="AC259" s="2225"/>
      <c r="AD259" s="2226"/>
      <c r="AE259" s="2224"/>
      <c r="AF259" s="2223"/>
      <c r="AG259" s="2227"/>
      <c r="AH259" s="2369"/>
      <c r="AI259" s="4511"/>
      <c r="AJ259" s="2920">
        <v>5</v>
      </c>
      <c r="AK259" s="2920">
        <f>P251</f>
        <v>1</v>
      </c>
      <c r="AL259" s="2920" t="str">
        <f>IF(AND(ISNUMBER(MATCH($F259,'Tablas Técnicas'!$L$10:$L$643,0)),INDEX($AB268:$AB274,Tablas!A$1)="",COUNTIF(AM259:$AS259,$F259)=0),$F259,IF(INDEX($AB268:$AB274,Tablas!A$1)="","",$F259&amp;INDEX($AB268:$AB274,Tablas!A$1)))</f>
        <v/>
      </c>
      <c r="AM259" s="2920" t="str">
        <f>IF(AND(ISNUMBER(MATCH($F259,'Tablas Técnicas'!$L$10:$L$643,0)),INDEX($AB268:$AB274,Tablas!B$1)="",COUNTIF(AN259:$AS259,$F259)=0),$F259,IF(INDEX($AB268:$AB274,Tablas!B$1)="","",$F259&amp;INDEX($AB268:$AB274,Tablas!B$1)))</f>
        <v/>
      </c>
      <c r="AN259" s="2920" t="str">
        <f>IF(AND(ISNUMBER(MATCH($F259,'Tablas Técnicas'!$L$10:$L$643,0)),INDEX($AB268:$AB274,Tablas!C$1)="",COUNTIF(AO259:$AS259,$F259)=0),$F259,IF(INDEX($AB268:$AB274,Tablas!C$1)="","",$F259&amp;INDEX($AB268:$AB274,Tablas!C$1)))</f>
        <v/>
      </c>
      <c r="AO259" s="2920" t="str">
        <f>IF(AND(ISNUMBER(MATCH($F259,'Tablas Técnicas'!$L$10:$L$643,0)),INDEX($AB268:$AB274,Tablas!D$1)="",COUNTIF(AP259:$AS259,$F259)=0),$F259,IF(INDEX($AB268:$AB274,Tablas!D$1)="","",$F259&amp;INDEX($AB268:$AB274,Tablas!D$1)))</f>
        <v/>
      </c>
      <c r="AP259" s="2920" t="str">
        <f>IF(AND(ISNUMBER(MATCH($F259,'Tablas Técnicas'!$L$10:$L$643,0)),INDEX($AB268:$AB274,Tablas!E$1)="",COUNTIF(AQ259:$AS259,$F259)=0),$F259,IF(INDEX($AB268:$AB274,Tablas!E$1)="","",$F259&amp;INDEX($AB268:$AB274,Tablas!E$1)))</f>
        <v/>
      </c>
      <c r="AQ259" s="2920" t="str">
        <f>IF(AND(ISNUMBER(MATCH($F259,'Tablas Técnicas'!$L$10:$L$643,0)),INDEX($AB268:$AB274,Tablas!F$1)="",COUNTIF(AR259:$AS259,$F259)=0),$F259,IF(INDEX($AB268:$AB274,Tablas!F$1)="","",$F259&amp;INDEX($AB268:$AB274,Tablas!F$1)))</f>
        <v/>
      </c>
      <c r="AR259" s="2920" t="str">
        <f>IF(AND(ISNUMBER(MATCH($F259,'Tablas Técnicas'!$L$10:$L$643,0)),INDEX($AB268:$AB274,Tablas!G$1)="",COUNTIF(AS259:$AS259,$F259)=0),$F259,IF(INDEX($AB268:$AB274,Tablas!G$1)="","",$F259&amp;INDEX($AB268:$AB274,Tablas!G$1)))</f>
        <v/>
      </c>
      <c r="AS259" s="2922">
        <f>V259+X259+Z259+AB259+AD259+AF259</f>
        <v>0</v>
      </c>
      <c r="AT259" s="2922">
        <f t="array" ref="AT259">SUM(IF($AL259:$AR259='Tablas Técnicas'!$L$10:$L$643,IF(D259="Primario",'Tablas Técnicas'!$E$10:$E$643,'Tablas Técnicas'!$F$10:$F$643)+IF(K259="Sostenimiento menor",'Tablas Técnicas'!$I$10:$I$643,IF(K259="sostenimiento mayor",'Tablas Técnicas'!$J$10:$J$643,0)),0),0)+VALUE(RIGHT(P259,2))+AU259+AV259</f>
        <v>0</v>
      </c>
      <c r="AU259" s="292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22">
        <f>(COUNTIF(AL259:AR259,"*Estado añadido:*")-1)*COUNTIF(AL259:AR259,"*Estado añadido:*")</f>
        <v>0</v>
      </c>
      <c r="AW259" s="2922">
        <f t="array" ref="AW259">SUM(IF($AL259:$AR259='Tablas Técnicas'!$L$10:$L$643,'Tablas Técnicas'!$G$10:$G$643,0))</f>
        <v>0</v>
      </c>
      <c r="AX259" s="2920" t="str">
        <f t="shared" si="64"/>
        <v/>
      </c>
      <c r="AY259" s="2920" t="str">
        <f t="shared" ref="AY259" si="65">IFERROR(LEFT(AX259,LEN(AX259)-2)&amp;"), ","")</f>
        <v/>
      </c>
    </row>
    <row r="260" spans="1:51" ht="12.2" customHeight="1" x14ac:dyDescent="0.2">
      <c r="A260" s="2360"/>
      <c r="B260" s="2252">
        <f t="shared" si="62"/>
        <v>8</v>
      </c>
      <c r="C260" s="4508"/>
      <c r="D260" s="4447" t="s">
        <v>2853</v>
      </c>
      <c r="E260" s="4448"/>
      <c r="F260" s="4435"/>
      <c r="G260" s="4436"/>
      <c r="H260" s="4436"/>
      <c r="I260" s="4436"/>
      <c r="J260" s="4437"/>
      <c r="K260" s="4411"/>
      <c r="L260" s="4412"/>
      <c r="M260" s="4413"/>
      <c r="N260" s="2081" t="str">
        <f>IFERROR(INDEX('Tablas Técnicas'!$Q$200:$Q$299,MATCH(F260&amp;K260,'Tablas Técnicas'!$S$200:$S$299,0)),"")</f>
        <v/>
      </c>
      <c r="O260" s="4414"/>
      <c r="P260" s="4415"/>
      <c r="Q260" s="4416"/>
      <c r="R260" s="4415"/>
      <c r="S260" s="2258" t="str">
        <f>IFERROR("Nivel: "&amp;MAX(1,INDEX('Tablas Técnicas'!$R$200:$R$299,MATCH(F260&amp;K260,'Tablas Técnicas'!$S$200:$S$299,0))),"")</f>
        <v/>
      </c>
      <c r="T260" s="2082"/>
      <c r="U260" s="2083" t="str">
        <f>IFERROR("("&amp;VLOOKUP(F260,'Tablas Técnicas'!$V$199:$X$225,3,FALSE)&amp;")","")</f>
        <v/>
      </c>
      <c r="V260" s="4356" t="s">
        <v>9836</v>
      </c>
      <c r="W260" s="4357"/>
      <c r="X260" s="4358"/>
      <c r="Y260" s="2528">
        <v>0</v>
      </c>
      <c r="Z260" s="4359" t="s">
        <v>9013</v>
      </c>
      <c r="AA260" s="4360"/>
      <c r="AB260" s="4361"/>
      <c r="AC260" s="2528">
        <v>0</v>
      </c>
      <c r="AD260" s="4362" t="str">
        <f>"Ki sin repartir: "&amp;AL268-AL269&amp;IF(AM268=0,""," ("&amp;AM268-AM269&amp;")")</f>
        <v>Ki sin repartir: 0</v>
      </c>
      <c r="AE260" s="4363"/>
      <c r="AF260" s="4363"/>
      <c r="AG260" s="4364"/>
      <c r="AH260" s="2369"/>
      <c r="AI260" s="4511"/>
      <c r="AJ260" s="2920">
        <v>1</v>
      </c>
      <c r="AK260" s="2920">
        <f>P251</f>
        <v>1</v>
      </c>
      <c r="AL260" s="2920" t="e">
        <f>VLOOKUP(F260,'Tablas Técnicas'!$V$199:$X$221,2,FALSE)</f>
        <v>#N/A</v>
      </c>
      <c r="AM260" s="2920"/>
      <c r="AN260" s="2921"/>
      <c r="AO260" s="2920"/>
      <c r="AP260" s="2920"/>
      <c r="AQ260" s="2921"/>
      <c r="AR260" s="2920"/>
      <c r="AS260" s="2920"/>
      <c r="AT260" s="2920"/>
      <c r="AU260" s="2920"/>
      <c r="AV260" s="2920"/>
      <c r="AW260" s="2922"/>
      <c r="AX260" s="2922"/>
      <c r="AY260" s="2920" t="str">
        <f>IF(F260="","",F260&amp;IF(K260="",""," ("&amp;IF(F260="Atadura Elemental",O260&amp;IF(Q260="","",", "&amp;Q260),K260)&amp;")")&amp;", ")</f>
        <v/>
      </c>
    </row>
    <row r="261" spans="1:51" ht="12.2" customHeight="1" x14ac:dyDescent="0.2">
      <c r="A261" s="2360"/>
      <c r="B261" s="2252">
        <f t="shared" si="62"/>
        <v>8</v>
      </c>
      <c r="C261" s="4508"/>
      <c r="D261" s="4449"/>
      <c r="E261" s="4450"/>
      <c r="F261" s="4417"/>
      <c r="G261" s="4418"/>
      <c r="H261" s="4418"/>
      <c r="I261" s="4418"/>
      <c r="J261" s="4419"/>
      <c r="K261" s="4420"/>
      <c r="L261" s="4421"/>
      <c r="M261" s="4422"/>
      <c r="N261" s="2084" t="str">
        <f>IFERROR(INDEX('Tablas Técnicas'!$Q$200:$Q$299,MATCH(F261&amp;K261,'Tablas Técnicas'!$S$200:$S$299,0)),"")</f>
        <v/>
      </c>
      <c r="O261" s="4423"/>
      <c r="P261" s="4424"/>
      <c r="Q261" s="4425"/>
      <c r="R261" s="4424"/>
      <c r="S261" s="2077" t="str">
        <f>IFERROR("Nivel: "&amp;MAX(1,INDEX('Tablas Técnicas'!$R$200:$R$299,MATCH(F261&amp;K261,'Tablas Técnicas'!$S$200:$S$299,0))),"")</f>
        <v/>
      </c>
      <c r="T261" s="2187"/>
      <c r="U261" s="2076" t="str">
        <f>IFERROR("("&amp;VLOOKUP(F261,'Tablas Técnicas'!$V$199:$X$225,3,FALSE)&amp;")","")</f>
        <v/>
      </c>
      <c r="V261" s="4353" t="str">
        <f>"Mod. "&amp;V253</f>
        <v>Mod. AGI</v>
      </c>
      <c r="W261" s="4354"/>
      <c r="X261" s="4353" t="str">
        <f t="shared" ref="X261" si="66">"Mod. "&amp;X253</f>
        <v>Mod. CON</v>
      </c>
      <c r="Y261" s="4354"/>
      <c r="Z261" s="4353" t="str">
        <f t="shared" ref="Z261" si="67">"Mod. "&amp;Z253</f>
        <v>Mod. DES</v>
      </c>
      <c r="AA261" s="4354"/>
      <c r="AB261" s="4353" t="str">
        <f t="shared" ref="AB261" si="68">"Mod. "&amp;AB253</f>
        <v>Mod. FUE</v>
      </c>
      <c r="AC261" s="4354"/>
      <c r="AD261" s="4353" t="str">
        <f t="shared" ref="AD261" si="69">"Mod. "&amp;AD253</f>
        <v>Mod. POD</v>
      </c>
      <c r="AE261" s="4354"/>
      <c r="AF261" s="4353" t="str">
        <f t="shared" ref="AF261" si="70">"Mod. "&amp;AF253</f>
        <v>Mod. VOL</v>
      </c>
      <c r="AG261" s="4355"/>
      <c r="AH261" s="2369"/>
      <c r="AI261" s="4511"/>
      <c r="AJ261" s="2920">
        <v>2</v>
      </c>
      <c r="AK261" s="2920">
        <f>P251</f>
        <v>1</v>
      </c>
      <c r="AL261" s="2920" t="e">
        <f>VLOOKUP(F261,'Tablas Técnicas'!$V$199:$X$221,2,FALSE)</f>
        <v>#N/A</v>
      </c>
      <c r="AM261" s="2920"/>
      <c r="AN261" s="2921"/>
      <c r="AO261" s="2920"/>
      <c r="AP261" s="2920"/>
      <c r="AQ261" s="2921"/>
      <c r="AR261" s="2920"/>
      <c r="AS261" s="2920"/>
      <c r="AT261" s="2920"/>
      <c r="AU261" s="2920"/>
      <c r="AV261" s="2920"/>
      <c r="AW261" s="2922"/>
      <c r="AX261" s="2922"/>
      <c r="AY261" s="2920" t="str">
        <f>IF(F261="","",F261&amp;IF(K261="",""," ("&amp;IF(F261="Atadura Elemental",O261&amp;IF(Q261="","",", "&amp;Q261),K261)&amp;")")&amp;", ")</f>
        <v/>
      </c>
    </row>
    <row r="262" spans="1:51" ht="12.2" customHeight="1" thickBot="1" x14ac:dyDescent="0.25">
      <c r="A262" s="2360"/>
      <c r="B262" s="2252">
        <f t="shared" si="62"/>
        <v>8</v>
      </c>
      <c r="C262" s="4508"/>
      <c r="D262" s="4451"/>
      <c r="E262" s="4452"/>
      <c r="F262" s="4426"/>
      <c r="G262" s="4427"/>
      <c r="H262" s="4427"/>
      <c r="I262" s="4427"/>
      <c r="J262" s="4428"/>
      <c r="K262" s="4429"/>
      <c r="L262" s="4430"/>
      <c r="M262" s="4431"/>
      <c r="N262" s="2085" t="str">
        <f>IFERROR(INDEX('Tablas Técnicas'!$Q$200:$Q$299,MATCH(F262&amp;K262,'Tablas Técnicas'!$S$200:$S$299,0)),"")</f>
        <v/>
      </c>
      <c r="O262" s="4432"/>
      <c r="P262" s="4433"/>
      <c r="Q262" s="4434"/>
      <c r="R262" s="4433"/>
      <c r="S262" s="2362" t="str">
        <f>IFERROR("Nivel: "&amp;MAX(1,INDEX('Tablas Técnicas'!$R$200:$R$299,MATCH(F262&amp;K262,'Tablas Técnicas'!$S$200:$S$299,0))),"")</f>
        <v/>
      </c>
      <c r="T262" s="2363"/>
      <c r="U262" s="2188" t="str">
        <f>IFERROR("("&amp;VLOOKUP(F262,'Tablas Técnicas'!$V$199:$X$225,3,FALSE)&amp;")","")</f>
        <v/>
      </c>
      <c r="V262" s="4368"/>
      <c r="W262" s="4367"/>
      <c r="X262" s="4367"/>
      <c r="Y262" s="4367"/>
      <c r="Z262" s="4367"/>
      <c r="AA262" s="4367"/>
      <c r="AB262" s="4367"/>
      <c r="AC262" s="4367"/>
      <c r="AD262" s="4367"/>
      <c r="AE262" s="4367"/>
      <c r="AF262" s="4367"/>
      <c r="AG262" s="4438"/>
      <c r="AH262" s="2369"/>
      <c r="AI262" s="4511"/>
      <c r="AJ262" s="2920">
        <v>3</v>
      </c>
      <c r="AK262" s="2920">
        <f>P251</f>
        <v>1</v>
      </c>
      <c r="AL262" s="2920" t="e">
        <f>VLOOKUP(F262,'Tablas Técnicas'!$V$199:$X$221,2,FALSE)</f>
        <v>#N/A</v>
      </c>
      <c r="AM262" s="2920"/>
      <c r="AN262" s="2921"/>
      <c r="AO262" s="2920"/>
      <c r="AP262" s="2920"/>
      <c r="AQ262" s="2921"/>
      <c r="AR262" s="2922"/>
      <c r="AS262" s="2922"/>
      <c r="AT262" s="2922"/>
      <c r="AU262" s="2922"/>
      <c r="AV262" s="2922"/>
      <c r="AW262" s="2922"/>
      <c r="AX262" s="2922"/>
      <c r="AY262" s="2920" t="str">
        <f>IF(F262="","",F262&amp;IF(K262="",""," ("&amp;IF(F262="Atadura Elemental",O262&amp;IF(Q262="","",", "&amp;Q262),K262)&amp;")")&amp;", ")</f>
        <v/>
      </c>
    </row>
    <row r="263" spans="1:51" ht="12.2" customHeight="1" x14ac:dyDescent="0.2">
      <c r="A263" s="2360"/>
      <c r="B263" s="2252">
        <f t="shared" si="62"/>
        <v>8</v>
      </c>
      <c r="C263" s="4508"/>
      <c r="D263" s="4386" t="s">
        <v>9511</v>
      </c>
      <c r="E263" s="4387"/>
      <c r="F263" s="4387"/>
      <c r="G263" s="4387"/>
      <c r="H263" s="4387"/>
      <c r="I263" s="4387"/>
      <c r="J263" s="4387"/>
      <c r="K263" s="4387"/>
      <c r="L263" s="4387"/>
      <c r="M263" s="4387"/>
      <c r="N263" s="4387"/>
      <c r="O263" s="4387"/>
      <c r="P263" s="4387"/>
      <c r="Q263" s="4387"/>
      <c r="R263" s="4387"/>
      <c r="S263" s="4387"/>
      <c r="T263" s="4387"/>
      <c r="U263" s="4387"/>
      <c r="V263" s="4518"/>
      <c r="W263" s="4518"/>
      <c r="X263" s="4518"/>
      <c r="Y263" s="4518"/>
      <c r="Z263" s="4518"/>
      <c r="AA263" s="4518"/>
      <c r="AB263" s="4518"/>
      <c r="AC263" s="4518"/>
      <c r="AD263" s="4518"/>
      <c r="AE263" s="4518"/>
      <c r="AF263" s="4518"/>
      <c r="AG263" s="4389"/>
      <c r="AH263" s="2369"/>
      <c r="AI263" s="4511"/>
      <c r="AJ263" s="2920"/>
      <c r="AK263" s="2920"/>
      <c r="AL263" s="2920"/>
      <c r="AM263" s="2920"/>
      <c r="AN263" s="2921" t="s">
        <v>9014</v>
      </c>
      <c r="AO263" s="2920" t="e">
        <f>LEFT(AY255&amp;AY256&amp;AY257&amp;AY258&amp;AY259,LEN(AY255&amp;AY256&amp;AY257&amp;AY258&amp;AY259)-2)</f>
        <v>#VALUE!</v>
      </c>
      <c r="AP263" s="2920"/>
      <c r="AQ263" s="2921"/>
      <c r="AR263" s="2922"/>
      <c r="AS263" s="2922"/>
      <c r="AT263" s="2922"/>
      <c r="AU263" s="2921"/>
      <c r="AV263" s="2921"/>
      <c r="AW263" s="2922"/>
      <c r="AX263" s="2922"/>
      <c r="AY263" s="2920"/>
    </row>
    <row r="264" spans="1:51" ht="12.2" customHeight="1" x14ac:dyDescent="0.2">
      <c r="A264" s="2360"/>
      <c r="B264" s="2252">
        <f t="shared" si="62"/>
        <v>8</v>
      </c>
      <c r="C264" s="4508"/>
      <c r="D264" s="4369" t="str">
        <f>IF(F255="","",F255)</f>
        <v/>
      </c>
      <c r="E264" s="4370"/>
      <c r="F264" s="4370"/>
      <c r="G264" s="4370"/>
      <c r="H264" s="4370"/>
      <c r="I264" s="4371"/>
      <c r="J264" s="4369" t="str">
        <f>IF(F256="","",F256)</f>
        <v/>
      </c>
      <c r="K264" s="4370"/>
      <c r="L264" s="4370"/>
      <c r="M264" s="4370"/>
      <c r="N264" s="4370"/>
      <c r="O264" s="4371"/>
      <c r="P264" s="4370" t="str">
        <f>IF(F257="","",F257)</f>
        <v/>
      </c>
      <c r="Q264" s="4370"/>
      <c r="R264" s="4370"/>
      <c r="S264" s="4370"/>
      <c r="T264" s="4370"/>
      <c r="U264" s="4371"/>
      <c r="V264" s="4369" t="str">
        <f>IF(F258="","",F258)</f>
        <v/>
      </c>
      <c r="W264" s="4370"/>
      <c r="X264" s="4370"/>
      <c r="Y264" s="4370"/>
      <c r="Z264" s="4370"/>
      <c r="AA264" s="4371"/>
      <c r="AB264" s="4370" t="str">
        <f>IF(F259="","",F259)</f>
        <v/>
      </c>
      <c r="AC264" s="4370"/>
      <c r="AD264" s="4370"/>
      <c r="AE264" s="4370"/>
      <c r="AF264" s="4370"/>
      <c r="AG264" s="4385"/>
      <c r="AH264" s="2369"/>
      <c r="AI264" s="4511"/>
      <c r="AJ264" s="2920"/>
      <c r="AK264" s="2920"/>
      <c r="AL264" s="2920"/>
      <c r="AM264" s="2920"/>
      <c r="AN264" s="2921" t="s">
        <v>9015</v>
      </c>
      <c r="AO264" s="2920" t="e">
        <f>LEFT(AY260&amp;AY261&amp;AY262,LEN(AY260&amp;AY261&amp;AY262)-2)</f>
        <v>#VALUE!</v>
      </c>
      <c r="AP264" s="2920"/>
      <c r="AQ264" s="2921"/>
      <c r="AR264" s="2922"/>
      <c r="AS264" s="2922"/>
      <c r="AT264" s="2922"/>
      <c r="AU264" s="2921"/>
      <c r="AV264" s="2921"/>
      <c r="AW264" s="2922"/>
      <c r="AX264" s="2922"/>
      <c r="AY264" s="2920"/>
    </row>
    <row r="265" spans="1:51" ht="12.2" customHeight="1" x14ac:dyDescent="0.2">
      <c r="A265" s="2360"/>
      <c r="B265" s="2252">
        <f t="shared" si="62"/>
        <v>8</v>
      </c>
      <c r="C265" s="4508"/>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511"/>
      <c r="AJ265" s="2920"/>
      <c r="AK265" s="2920"/>
      <c r="AL265" s="2920"/>
      <c r="AM265" s="2920"/>
      <c r="AN265" s="2921"/>
      <c r="AO265" s="2920"/>
      <c r="AP265" s="2920"/>
      <c r="AQ265" s="2921"/>
      <c r="AR265" s="2922"/>
      <c r="AS265" s="2922"/>
      <c r="AT265" s="2922"/>
      <c r="AU265" s="2922"/>
      <c r="AV265" s="2922"/>
      <c r="AW265" s="2922"/>
      <c r="AX265" s="2922"/>
      <c r="AY265" s="2920"/>
    </row>
    <row r="266" spans="1:51" ht="12.2" customHeight="1" x14ac:dyDescent="0.2">
      <c r="A266" s="2360"/>
      <c r="B266" s="2252">
        <f t="shared" si="62"/>
        <v>8</v>
      </c>
      <c r="C266" s="4508"/>
      <c r="D266" s="2198" t="s">
        <v>9016</v>
      </c>
      <c r="E266" s="2189"/>
      <c r="F266" s="2190"/>
      <c r="G266" s="2191"/>
      <c r="H266" s="2191"/>
      <c r="I266" s="2188" t="str">
        <f>IFERROR(IF(D264="Ataque Elemental",IF(NOT(ISNA(VLOOKUP(D268,'Tablas Técnicas'!$Z$25:$Z$30,1,0))),D268,"Variable"),VLOOKUP(D264,'Tablas Técnicas'!$O$9:$W$88,9,FALSE)),"")</f>
        <v/>
      </c>
      <c r="J266" s="2088" t="s">
        <v>9016</v>
      </c>
      <c r="K266" s="2364"/>
      <c r="L266" s="2365"/>
      <c r="M266" s="2366"/>
      <c r="N266" s="2366"/>
      <c r="O266" s="2089" t="str">
        <f>IFERROR(IF(J264="Ataque Elemental",IF(NOT(ISNA(VLOOKUP(J268,'Tablas Técnicas'!$Z$25:$Z$30,1,0))),J268,"Variable"),VLOOKUP(J264,'Tablas Técnicas'!$O$9:$W$88,9,FALSE)),"")</f>
        <v/>
      </c>
      <c r="P266" s="2367" t="s">
        <v>9016</v>
      </c>
      <c r="Q266" s="2364"/>
      <c r="R266" s="2365"/>
      <c r="S266" s="2366"/>
      <c r="T266" s="2366"/>
      <c r="U266" s="2188" t="str">
        <f>IFERROR(IF(P264="Ataque Elemental",IF(NOT(ISNA(VLOOKUP(P268,'Tablas Técnicas'!$Z$25:$Z$30,1,0))),P268,"Variable"),VLOOKUP(P264,'Tablas Técnicas'!$O$9:$W$88,9,FALSE)),"")</f>
        <v/>
      </c>
      <c r="V266" s="2088" t="s">
        <v>9016</v>
      </c>
      <c r="W266" s="2364"/>
      <c r="X266" s="2365"/>
      <c r="Y266" s="2366"/>
      <c r="Z266" s="2366"/>
      <c r="AA266" s="2089" t="str">
        <f>IFERROR(IF(V264="Ataque Elemental",IF(NOT(ISNA(VLOOKUP(V268,'Tablas Técnicas'!$Z$25:$Z$30,1,0))),V268,"Variable"),VLOOKUP(V264,'Tablas Técnicas'!$O$9:$W$88,9,FALSE)),"")</f>
        <v/>
      </c>
      <c r="AB266" s="2367" t="s">
        <v>9016</v>
      </c>
      <c r="AC266" s="2364"/>
      <c r="AD266" s="2365"/>
      <c r="AE266" s="2366"/>
      <c r="AF266" s="2366"/>
      <c r="AG266" s="2203" t="str">
        <f>IFERROR(IF(AB264="Ataque Elemental",IF(NOT(ISNA(VLOOKUP(AB268,'Tablas Técnicas'!$Z$25:$Z$30,1,0))),AB268,"Variable"),VLOOKUP(AB264,'Tablas Técnicas'!$O$9:$W$88,9,FALSE)),"")</f>
        <v/>
      </c>
      <c r="AH266" s="2369"/>
      <c r="AI266" s="4511"/>
      <c r="AJ266" s="2920"/>
      <c r="AK266" s="2922" t="s">
        <v>1376</v>
      </c>
      <c r="AL266" s="2922" t="s">
        <v>1501</v>
      </c>
      <c r="AM266" s="2922" t="s">
        <v>1381</v>
      </c>
      <c r="AN266" s="2922" t="s">
        <v>1386</v>
      </c>
      <c r="AO266" s="2922" t="s">
        <v>1394</v>
      </c>
      <c r="AP266" s="2922" t="s">
        <v>1395</v>
      </c>
      <c r="AQ266" s="2921"/>
      <c r="AR266" s="2922"/>
      <c r="AS266" s="2922"/>
      <c r="AT266" s="2922"/>
      <c r="AU266" s="2922"/>
      <c r="AV266" s="2922"/>
      <c r="AW266" s="2922"/>
      <c r="AX266" s="2922"/>
      <c r="AY266" s="2920"/>
    </row>
    <row r="267" spans="1:51" ht="12.2" customHeight="1" x14ac:dyDescent="0.2">
      <c r="A267" s="2360"/>
      <c r="B267" s="2252">
        <f t="shared" si="62"/>
        <v>8</v>
      </c>
      <c r="C267" s="4508"/>
      <c r="D267" s="4369" t="s">
        <v>2861</v>
      </c>
      <c r="E267" s="4370"/>
      <c r="F267" s="4370"/>
      <c r="G267" s="4370"/>
      <c r="H267" s="4371"/>
      <c r="I267" s="2090" t="s">
        <v>1406</v>
      </c>
      <c r="J267" s="4369" t="s">
        <v>2861</v>
      </c>
      <c r="K267" s="4370"/>
      <c r="L267" s="4370"/>
      <c r="M267" s="4370"/>
      <c r="N267" s="4371"/>
      <c r="O267" s="2091" t="s">
        <v>1406</v>
      </c>
      <c r="P267" s="4369" t="s">
        <v>2861</v>
      </c>
      <c r="Q267" s="4370"/>
      <c r="R267" s="4370"/>
      <c r="S267" s="4370"/>
      <c r="T267" s="4371"/>
      <c r="U267" s="2091" t="s">
        <v>1406</v>
      </c>
      <c r="V267" s="4369"/>
      <c r="W267" s="4370"/>
      <c r="X267" s="4370"/>
      <c r="Y267" s="4370"/>
      <c r="Z267" s="4371"/>
      <c r="AA267" s="2091" t="s">
        <v>1406</v>
      </c>
      <c r="AB267" s="4369" t="s">
        <v>2861</v>
      </c>
      <c r="AC267" s="4370"/>
      <c r="AD267" s="4370"/>
      <c r="AE267" s="4370"/>
      <c r="AF267" s="4371"/>
      <c r="AG267" s="2092" t="s">
        <v>1406</v>
      </c>
      <c r="AH267" s="2369"/>
      <c r="AI267" s="4511"/>
      <c r="AJ267" s="2925" t="s">
        <v>9548</v>
      </c>
      <c r="AK267" s="2920" t="str">
        <f>IF(V253="","",IF(SUM(V255:V259)=0,"",V253&amp;" "&amp;SUM(V255:V259)+V262&amp;IF(SUM(W255:W259)=0,""," ("&amp;SUM(W255:W259)&amp;")")&amp;", "))</f>
        <v/>
      </c>
      <c r="AL267" s="2920" t="str">
        <f>IF(X253="","",IF(SUM(X255:X259)=0,"",X253&amp;" "&amp;SUM(X255:X259)+X262&amp;IF(SUM(Y255:Y259)=0,""," ("&amp;SUM(Y255:Y259)&amp;")")&amp;", "))</f>
        <v/>
      </c>
      <c r="AM267" s="2920" t="str">
        <f>IF(Z253="","",IF(SUM(Z255:Z259)=0,"",Z253&amp;" "&amp;SUM(Z255:Z259)+Z262&amp;IF(SUM(AA255:AA259)=0,""," ("&amp;SUM(AA255:AA259)&amp;")")&amp;", "))</f>
        <v/>
      </c>
      <c r="AN267" s="2920" t="str">
        <f>IF(AB253="","",IF(SUM(AB255:AB259)=0,"",AB253&amp;" "&amp;SUM(AB255:AB259)+AB262&amp;IF(SUM(AC255:AC259)=0,""," ("&amp;SUM(AC255:AC259)&amp;")")&amp;", "))</f>
        <v/>
      </c>
      <c r="AO267" s="2920" t="str">
        <f>IF(AD253="","",IF(SUM(AD255:AD259)=0,"",AD253&amp;" "&amp;SUM(AD255:AD259)+AD262&amp;IF(SUM(AE255:AE259)=0,""," ("&amp;SUM(AE255:AE259)&amp;")")&amp;", "))</f>
        <v/>
      </c>
      <c r="AP267" s="2920" t="str">
        <f>IF(AF253="","",IF(SUM(AF255:AF259)=0,"",AF253&amp;" "&amp;SUM(AF255:AF259)+AF262&amp;IF(SUM(AG255:AG259)=0,""," ("&amp;SUM(AG255:AG259)&amp;")")&amp;", "))</f>
        <v/>
      </c>
      <c r="AQ267" s="2920"/>
      <c r="AR267" s="2920"/>
      <c r="AS267" s="2920"/>
      <c r="AT267" s="2920"/>
      <c r="AU267" s="2920"/>
      <c r="AV267" s="2920"/>
      <c r="AW267" s="2920"/>
      <c r="AX267" s="2920"/>
      <c r="AY267" s="2920"/>
    </row>
    <row r="268" spans="1:51" ht="12.2" customHeight="1" x14ac:dyDescent="0.2">
      <c r="A268" s="2360"/>
      <c r="B268" s="2252">
        <f t="shared" si="62"/>
        <v>8</v>
      </c>
      <c r="C268" s="4508"/>
      <c r="D268" s="4390"/>
      <c r="E268" s="4366"/>
      <c r="F268" s="4366"/>
      <c r="G268" s="4366"/>
      <c r="H268" s="4366"/>
      <c r="I268" s="2093" t="str">
        <f>IF(OR(D264="",D268=""),"",MAX(1,SUMPRODUCT(--(INDEX('Tablas Técnicas'!$C$10:$L$643,,1)=D264),--(INDEX('Tablas Técnicas'!$C$10:$L$643,,2)=D268),INDEX('Tablas Técnicas'!$C$10:$L$643,,9))))</f>
        <v/>
      </c>
      <c r="J268" s="4365"/>
      <c r="K268" s="4366"/>
      <c r="L268" s="4366"/>
      <c r="M268" s="4366"/>
      <c r="N268" s="4366"/>
      <c r="O268" s="2093" t="str">
        <f>IF(OR(J264="",J268=""),"",MAX(1,SUMPRODUCT(--(INDEX('Tablas Técnicas'!$C$10:$L$643,,1)=J264),--(INDEX('Tablas Técnicas'!$C$10:$L$643,,2)=J268),INDEX('Tablas Técnicas'!$C$10:$L$643,,9))))</f>
        <v/>
      </c>
      <c r="P268" s="4365"/>
      <c r="Q268" s="4366"/>
      <c r="R268" s="4366"/>
      <c r="S268" s="4366"/>
      <c r="T268" s="4366"/>
      <c r="U268" s="2093" t="str">
        <f>IF(OR(P264="",P268=""),"",MAX(1,SUMPRODUCT(--(INDEX('Tablas Técnicas'!$C$10:$L$643,,1)=P264),--(INDEX('Tablas Técnicas'!$C$10:$L$643,,2)=P268),INDEX('Tablas Técnicas'!$C$10:$L$643,,9))))</f>
        <v/>
      </c>
      <c r="V268" s="4365"/>
      <c r="W268" s="4366"/>
      <c r="X268" s="4366"/>
      <c r="Y268" s="4366"/>
      <c r="Z268" s="4366"/>
      <c r="AA268" s="2093" t="str">
        <f>IF(OR(V264="",V268=""),"",MAX(1,SUMPRODUCT(--(INDEX('Tablas Técnicas'!$C$10:$L$643,,1)=V264),--(INDEX('Tablas Técnicas'!$C$10:$L$643,,2)=V268),INDEX('Tablas Técnicas'!$C$10:$L$643,,9))))</f>
        <v/>
      </c>
      <c r="AB268" s="4365"/>
      <c r="AC268" s="4366"/>
      <c r="AD268" s="4366"/>
      <c r="AE268" s="4366"/>
      <c r="AF268" s="4366"/>
      <c r="AG268" s="2094" t="str">
        <f>IF(OR(AB264="",AB268=""),"",MAX(1,SUMPRODUCT(--(INDEX('Tablas Técnicas'!$C$10:$L$643,,1)=AB264),--(INDEX('Tablas Técnicas'!$C$10:$L$643,,2)=AB268),INDEX('Tablas Técnicas'!$C$10:$L$643,,9))))</f>
        <v/>
      </c>
      <c r="AH268" s="2369">
        <f>P251</f>
        <v>1</v>
      </c>
      <c r="AI268" s="4511"/>
      <c r="AJ268" s="2920" t="s">
        <v>9512</v>
      </c>
      <c r="AK268" s="2920"/>
      <c r="AL268" s="2920">
        <f>MAX(0,SUM(AT255:AT259)+ABS($AC260*2/5))+IF(AM277,0,Y260)+IF(S251="Si",3*P251,0)</f>
        <v>0</v>
      </c>
      <c r="AM268" s="2920">
        <f t="array" ref="AM268">IF(ISNUMBER(SEARCH("Mantenido",K255&amp;K256&amp;K257&amp;K258&amp;K259)),MAX(0,SUM(VALUE(RIGHT($P255:$P259,2)))),0)</f>
        <v>0</v>
      </c>
      <c r="AN268" s="2922"/>
      <c r="AO268" s="2922"/>
      <c r="AP268" s="2927"/>
      <c r="AQ268" s="2927"/>
      <c r="AR268" s="2927"/>
      <c r="AS268" s="2927"/>
      <c r="AT268" s="2927"/>
      <c r="AU268" s="2927"/>
      <c r="AV268" s="2927"/>
      <c r="AW268" s="2927"/>
      <c r="AX268" s="2927"/>
      <c r="AY268" s="2920"/>
    </row>
    <row r="269" spans="1:51" ht="12.2" customHeight="1" x14ac:dyDescent="0.2">
      <c r="A269" s="2360"/>
      <c r="B269" s="2252">
        <f t="shared" si="62"/>
        <v>8</v>
      </c>
      <c r="C269" s="4508"/>
      <c r="D269" s="4374"/>
      <c r="E269" s="4375"/>
      <c r="F269" s="4375"/>
      <c r="G269" s="4375"/>
      <c r="H269" s="4375"/>
      <c r="I269" s="2095" t="str">
        <f>IF(OR(D264="",D269=""),"",MAX(1,SUMPRODUCT(--(INDEX('Tablas Técnicas'!$C$10:$L$643,,1)=D264),--(INDEX('Tablas Técnicas'!$C$10:$L$643,,2)=D269),INDEX('Tablas Técnicas'!$C$10:$L$643,,9))))</f>
        <v/>
      </c>
      <c r="J269" s="4374"/>
      <c r="K269" s="4375"/>
      <c r="L269" s="4375"/>
      <c r="M269" s="4375"/>
      <c r="N269" s="4375"/>
      <c r="O269" s="2095" t="str">
        <f>IF(OR(J264="",J269=""),"",MAX(1,SUMPRODUCT(--(INDEX('Tablas Técnicas'!$C$10:$L$643,,1)=J264),--(INDEX('Tablas Técnicas'!$C$10:$L$643,,2)=J269),INDEX('Tablas Técnicas'!$C$10:$L$643,,9))))</f>
        <v/>
      </c>
      <c r="P269" s="4374"/>
      <c r="Q269" s="4375"/>
      <c r="R269" s="4375"/>
      <c r="S269" s="4375"/>
      <c r="T269" s="4375"/>
      <c r="U269" s="2095" t="str">
        <f>IF(OR(P264="",P269=""),"",MAX(1,SUMPRODUCT(--(INDEX('Tablas Técnicas'!$C$10:$L$643,,1)=P264),--(INDEX('Tablas Técnicas'!$C$10:$L$643,,2)=P269),INDEX('Tablas Técnicas'!$C$10:$L$643,,9))))</f>
        <v/>
      </c>
      <c r="V269" s="4374"/>
      <c r="W269" s="4375"/>
      <c r="X269" s="4375"/>
      <c r="Y269" s="4375"/>
      <c r="Z269" s="4375"/>
      <c r="AA269" s="2095" t="str">
        <f>IF(OR(V264="",V269=""),"",MAX(1,SUMPRODUCT(--(INDEX('Tablas Técnicas'!$C$10:$L$643,,1)=V264),--(INDEX('Tablas Técnicas'!$C$10:$L$643,,2)=V269),INDEX('Tablas Técnicas'!$C$10:$L$643,,9))))</f>
        <v/>
      </c>
      <c r="AB269" s="4374"/>
      <c r="AC269" s="4375"/>
      <c r="AD269" s="4375"/>
      <c r="AE269" s="4375"/>
      <c r="AF269" s="4375"/>
      <c r="AG269" s="2096" t="str">
        <f>IF(OR(AB264="",AB269=""),"",MAX(1,SUMPRODUCT(--(INDEX('Tablas Técnicas'!$C$10:$L$643,,1)=AB264),--(INDEX('Tablas Técnicas'!$C$10:$L$643,,2)=AB269),INDEX('Tablas Técnicas'!$C$10:$L$643,,9))))</f>
        <v/>
      </c>
      <c r="AH269" s="2369">
        <f>P251</f>
        <v>1</v>
      </c>
      <c r="AI269" s="4511"/>
      <c r="AJ269" s="2920" t="s">
        <v>9018</v>
      </c>
      <c r="AK269" s="2920"/>
      <c r="AL269" s="2920">
        <f>SUM(V255:V259,X255:X259,Z255:Z259,AB255:AB259,AD255:AD259,AF255:AF259)+SUM(V262:AG262)</f>
        <v>0</v>
      </c>
      <c r="AM269" s="2920">
        <f>SUM(W255:W259,Y255:Y259,AA255:AA259,AC255:AC259,AE255:AE259,AG255:AG259)</f>
        <v>0</v>
      </c>
      <c r="AN269" s="2920"/>
      <c r="AO269" s="2920"/>
      <c r="AP269" s="2920"/>
      <c r="AQ269" s="2920"/>
      <c r="AR269" s="2920"/>
      <c r="AS269" s="2920"/>
      <c r="AT269" s="2920"/>
      <c r="AU269" s="2920"/>
      <c r="AV269" s="2920"/>
      <c r="AW269" s="2922"/>
      <c r="AX269" s="2920"/>
      <c r="AY269" s="2920"/>
    </row>
    <row r="270" spans="1:51" ht="12.2" customHeight="1" x14ac:dyDescent="0.2">
      <c r="A270" s="2360"/>
      <c r="B270" s="2252">
        <f t="shared" si="62"/>
        <v>8</v>
      </c>
      <c r="C270" s="4508"/>
      <c r="D270" s="4374"/>
      <c r="E270" s="4375"/>
      <c r="F270" s="4375"/>
      <c r="G270" s="4375"/>
      <c r="H270" s="4375"/>
      <c r="I270" s="2095" t="str">
        <f>IF(OR(D264="",D270=""),"",MAX(1,SUMPRODUCT(--(INDEX('Tablas Técnicas'!$C$10:$L$643,,1)=D264),--(INDEX('Tablas Técnicas'!$C$10:$L$643,,2)=D270),INDEX('Tablas Técnicas'!$C$10:$L$643,,9))))</f>
        <v/>
      </c>
      <c r="J270" s="4374"/>
      <c r="K270" s="4375"/>
      <c r="L270" s="4375"/>
      <c r="M270" s="4375"/>
      <c r="N270" s="4375"/>
      <c r="O270" s="2095" t="str">
        <f>IF(OR(J264="",J270=""),"",MAX(1,SUMPRODUCT(--(INDEX('Tablas Técnicas'!$C$10:$L$643,,1)=J264),--(INDEX('Tablas Técnicas'!$C$10:$L$643,,2)=J270),INDEX('Tablas Técnicas'!$C$10:$L$643,,9))))</f>
        <v/>
      </c>
      <c r="P270" s="4374"/>
      <c r="Q270" s="4375"/>
      <c r="R270" s="4375"/>
      <c r="S270" s="4375"/>
      <c r="T270" s="4375"/>
      <c r="U270" s="2095" t="str">
        <f>IF(OR(P264="",P270=""),"",MAX(1,SUMPRODUCT(--(INDEX('Tablas Técnicas'!$C$10:$L$643,,1)=P264),--(INDEX('Tablas Técnicas'!$C$10:$L$643,,2)=P270),INDEX('Tablas Técnicas'!$C$10:$L$643,,9))))</f>
        <v/>
      </c>
      <c r="V270" s="4374"/>
      <c r="W270" s="4375"/>
      <c r="X270" s="4375"/>
      <c r="Y270" s="4375"/>
      <c r="Z270" s="4375"/>
      <c r="AA270" s="2095" t="str">
        <f>IF(OR(V264="",V270=""),"",MAX(1,SUMPRODUCT(--(INDEX('Tablas Técnicas'!$C$10:$L$643,,1)=V264),--(INDEX('Tablas Técnicas'!$C$10:$L$643,,2)=V270),INDEX('Tablas Técnicas'!$C$10:$L$643,,9))))</f>
        <v/>
      </c>
      <c r="AB270" s="4374"/>
      <c r="AC270" s="4375"/>
      <c r="AD270" s="4375"/>
      <c r="AE270" s="4375"/>
      <c r="AF270" s="4375"/>
      <c r="AG270" s="2096" t="str">
        <f>IF(OR(AB264="",AB270=""),"",MAX(1,SUMPRODUCT(--(INDEX('Tablas Técnicas'!$C$10:$L$643,,1)=AB264),--(INDEX('Tablas Técnicas'!$C$10:$L$643,,2)=AB270),INDEX('Tablas Técnicas'!$C$10:$L$643,,9))))</f>
        <v/>
      </c>
      <c r="AH270" s="2369">
        <f>P251</f>
        <v>1</v>
      </c>
      <c r="AI270" s="4511"/>
      <c r="AJ270" s="2920"/>
      <c r="AK270" s="2920"/>
      <c r="AL270" s="2920"/>
      <c r="AM270" s="2920"/>
      <c r="AN270" s="2920"/>
      <c r="AO270" s="2920"/>
      <c r="AP270" s="2920"/>
      <c r="AQ270" s="2920"/>
      <c r="AR270" s="2920"/>
      <c r="AS270" s="2920"/>
      <c r="AT270" s="2920"/>
      <c r="AU270" s="2920"/>
      <c r="AV270" s="2920"/>
      <c r="AW270" s="2922"/>
      <c r="AX270" s="2922"/>
      <c r="AY270" s="2920"/>
    </row>
    <row r="271" spans="1:51" ht="12.2" customHeight="1" x14ac:dyDescent="0.2">
      <c r="A271" s="2360"/>
      <c r="B271" s="2252">
        <f t="shared" si="62"/>
        <v>8</v>
      </c>
      <c r="C271" s="4508"/>
      <c r="D271" s="4374"/>
      <c r="E271" s="4375"/>
      <c r="F271" s="4375"/>
      <c r="G271" s="4375"/>
      <c r="H271" s="4375"/>
      <c r="I271" s="2095" t="str">
        <f>IF(OR(D264="",D271=""),"",MAX(1,SUMPRODUCT(--(INDEX('Tablas Técnicas'!$C$10:$L$643,,1)=D264),--(INDEX('Tablas Técnicas'!$C$10:$L$643,,2)=D271),INDEX('Tablas Técnicas'!$C$10:$L$643,,9))))</f>
        <v/>
      </c>
      <c r="J271" s="4374"/>
      <c r="K271" s="4375"/>
      <c r="L271" s="4375"/>
      <c r="M271" s="4375"/>
      <c r="N271" s="4375"/>
      <c r="O271" s="2095" t="str">
        <f>IF(OR(J264="",J271=""),"",MAX(1,SUMPRODUCT(--(INDEX('Tablas Técnicas'!$C$10:$L$643,,1)=J264),--(INDEX('Tablas Técnicas'!$C$10:$L$643,,2)=J271),INDEX('Tablas Técnicas'!$C$10:$L$643,,9))))</f>
        <v/>
      </c>
      <c r="P271" s="4374"/>
      <c r="Q271" s="4375"/>
      <c r="R271" s="4375"/>
      <c r="S271" s="4375"/>
      <c r="T271" s="4375"/>
      <c r="U271" s="2095" t="str">
        <f>IF(OR(P264="",P271=""),"",MAX(1,SUMPRODUCT(--(INDEX('Tablas Técnicas'!$C$10:$L$643,,1)=P264),--(INDEX('Tablas Técnicas'!$C$10:$L$643,,2)=P271),INDEX('Tablas Técnicas'!$C$10:$L$643,,9))))</f>
        <v/>
      </c>
      <c r="V271" s="4374"/>
      <c r="W271" s="4375"/>
      <c r="X271" s="4375"/>
      <c r="Y271" s="4375"/>
      <c r="Z271" s="4375"/>
      <c r="AA271" s="2095" t="str">
        <f>IF(OR(V264="",V271=""),"",MAX(1,SUMPRODUCT(--(INDEX('Tablas Técnicas'!$C$10:$L$643,,1)=V264),--(INDEX('Tablas Técnicas'!$C$10:$L$643,,2)=V271),INDEX('Tablas Técnicas'!$C$10:$L$643,,9))))</f>
        <v/>
      </c>
      <c r="AB271" s="4374"/>
      <c r="AC271" s="4375"/>
      <c r="AD271" s="4375"/>
      <c r="AE271" s="4375"/>
      <c r="AF271" s="4375"/>
      <c r="AG271" s="2096" t="str">
        <f>IF(OR(AB264="",AB271=""),"",MAX(1,SUMPRODUCT(--(INDEX('Tablas Técnicas'!$C$10:$L$643,,1)=AB264),--(INDEX('Tablas Técnicas'!$C$10:$L$643,,2)=AB271),INDEX('Tablas Técnicas'!$C$10:$L$643,,9))))</f>
        <v/>
      </c>
      <c r="AH271" s="2369">
        <f>P251</f>
        <v>1</v>
      </c>
      <c r="AI271" s="4511"/>
      <c r="AJ271" s="2920" t="s">
        <v>9019</v>
      </c>
      <c r="AK271" s="2920"/>
      <c r="AL271" s="2920"/>
      <c r="AM271" s="2920"/>
      <c r="AN271" s="2920"/>
      <c r="AO271" s="2920"/>
      <c r="AP271" s="2920"/>
      <c r="AQ271" s="2921"/>
      <c r="AR271" s="2922"/>
      <c r="AS271" s="2922"/>
      <c r="AT271" s="2922"/>
      <c r="AU271" s="2922"/>
      <c r="AV271" s="2922"/>
      <c r="AW271" s="2922"/>
      <c r="AX271" s="2922"/>
      <c r="AY271" s="2920"/>
    </row>
    <row r="272" spans="1:51" ht="12.2" customHeight="1" x14ac:dyDescent="0.2">
      <c r="A272" s="2360"/>
      <c r="B272" s="2252">
        <f t="shared" si="62"/>
        <v>8</v>
      </c>
      <c r="C272" s="4508"/>
      <c r="D272" s="4374"/>
      <c r="E272" s="4375"/>
      <c r="F272" s="4375"/>
      <c r="G272" s="4375"/>
      <c r="H272" s="4375"/>
      <c r="I272" s="2095" t="str">
        <f>IF(OR(D264="",D272=""),"",MAX(1,SUMPRODUCT(--(INDEX('Tablas Técnicas'!$C$10:$L$643,,1)=D264),--(INDEX('Tablas Técnicas'!$C$10:$L$643,,2)=D272),INDEX('Tablas Técnicas'!$C$10:$L$643,,9))))</f>
        <v/>
      </c>
      <c r="J272" s="4374"/>
      <c r="K272" s="4375"/>
      <c r="L272" s="4375"/>
      <c r="M272" s="4375"/>
      <c r="N272" s="4375"/>
      <c r="O272" s="2095" t="str">
        <f>IF(OR(J264="",J272=""),"",MAX(1,SUMPRODUCT(--(INDEX('Tablas Técnicas'!$C$10:$L$643,,1)=J264),--(INDEX('Tablas Técnicas'!$C$10:$L$643,,2)=J272),INDEX('Tablas Técnicas'!$C$10:$L$643,,9))))</f>
        <v/>
      </c>
      <c r="P272" s="4374"/>
      <c r="Q272" s="4375"/>
      <c r="R272" s="4375"/>
      <c r="S272" s="4375"/>
      <c r="T272" s="4375"/>
      <c r="U272" s="2095" t="str">
        <f>IF(OR(P264="",P272=""),"",MAX(1,SUMPRODUCT(--(INDEX('Tablas Técnicas'!$C$10:$L$643,,1)=P264),--(INDEX('Tablas Técnicas'!$C$10:$L$643,,2)=P272),INDEX('Tablas Técnicas'!$C$10:$L$643,,9))))</f>
        <v/>
      </c>
      <c r="V272" s="4374"/>
      <c r="W272" s="4375"/>
      <c r="X272" s="4375"/>
      <c r="Y272" s="4375"/>
      <c r="Z272" s="4375"/>
      <c r="AA272" s="2095" t="str">
        <f>IF(OR(V264="",V272=""),"",MAX(1,SUMPRODUCT(--(INDEX('Tablas Técnicas'!$C$10:$L$643,,1)=V264),--(INDEX('Tablas Técnicas'!$C$10:$L$643,,2)=V272),INDEX('Tablas Técnicas'!$C$10:$L$643,,9))))</f>
        <v/>
      </c>
      <c r="AB272" s="4374"/>
      <c r="AC272" s="4375"/>
      <c r="AD272" s="4375"/>
      <c r="AE272" s="4375"/>
      <c r="AF272" s="4375"/>
      <c r="AG272" s="2096" t="str">
        <f>IF(OR(AB264="",AB272=""),"",MAX(1,SUMPRODUCT(--(INDEX('Tablas Técnicas'!$C$10:$L$643,,1)=AB264),--(INDEX('Tablas Técnicas'!$C$10:$L$643,,2)=AB272),INDEX('Tablas Técnicas'!$C$10:$L$643,,9))))</f>
        <v/>
      </c>
      <c r="AH272" s="2369">
        <f>P251</f>
        <v>1</v>
      </c>
      <c r="AI272" s="4511"/>
      <c r="AJ272" s="2920" t="s">
        <v>10184</v>
      </c>
      <c r="AK272" s="2920"/>
      <c r="AL272" s="2920"/>
      <c r="AM272" s="2920" t="b">
        <f>U251&gt;IF(P251=3,200,IF(P251=2,100,50))</f>
        <v>0</v>
      </c>
      <c r="AN272" s="2920"/>
      <c r="AO272" s="2920"/>
      <c r="AP272" s="2920"/>
      <c r="AQ272" s="2920"/>
      <c r="AR272" s="2922"/>
      <c r="AS272" s="2922"/>
      <c r="AT272" s="2922"/>
      <c r="AU272" s="2922"/>
      <c r="AV272" s="2922"/>
      <c r="AW272" s="2922"/>
      <c r="AX272" s="2922"/>
      <c r="AY272" s="2920"/>
    </row>
    <row r="273" spans="1:51" ht="12.2" customHeight="1" x14ac:dyDescent="0.2">
      <c r="A273" s="2360"/>
      <c r="B273" s="2252">
        <f t="shared" si="62"/>
        <v>8</v>
      </c>
      <c r="C273" s="4508"/>
      <c r="D273" s="4374"/>
      <c r="E273" s="4375"/>
      <c r="F273" s="4375"/>
      <c r="G273" s="4375"/>
      <c r="H273" s="4375"/>
      <c r="I273" s="2095" t="str">
        <f>IF(OR(D264="",D273=""),"",MAX(1,SUMPRODUCT(--(INDEX('Tablas Técnicas'!$C$10:$L$643,,1)=D264),--(INDEX('Tablas Técnicas'!$C$10:$L$643,,2)=D273),INDEX('Tablas Técnicas'!$C$10:$L$643,,9))))</f>
        <v/>
      </c>
      <c r="J273" s="4374"/>
      <c r="K273" s="4375"/>
      <c r="L273" s="4375"/>
      <c r="M273" s="4375"/>
      <c r="N273" s="4375"/>
      <c r="O273" s="2095" t="str">
        <f>IF(OR(J264="",J273=""),"",MAX(1,SUMPRODUCT(--(INDEX('Tablas Técnicas'!$C$10:$L$643,,1)=J264),--(INDEX('Tablas Técnicas'!$C$10:$L$643,,2)=J273),INDEX('Tablas Técnicas'!$C$10:$L$643,,9))))</f>
        <v/>
      </c>
      <c r="P273" s="4374"/>
      <c r="Q273" s="4375"/>
      <c r="R273" s="4375"/>
      <c r="S273" s="4375"/>
      <c r="T273" s="4375"/>
      <c r="U273" s="2095" t="str">
        <f>IF(OR(P264="",P273=""),"",MAX(1,SUMPRODUCT(--(INDEX('Tablas Técnicas'!$C$10:$L$643,,1)=P264),--(INDEX('Tablas Técnicas'!$C$10:$L$643,,2)=P273),INDEX('Tablas Técnicas'!$C$10:$L$643,,9))))</f>
        <v/>
      </c>
      <c r="V273" s="4374"/>
      <c r="W273" s="4375"/>
      <c r="X273" s="4375"/>
      <c r="Y273" s="4375"/>
      <c r="Z273" s="4375"/>
      <c r="AA273" s="2095" t="str">
        <f>IF(OR(V264="",V273=""),"",MAX(1,SUMPRODUCT(--(INDEX('Tablas Técnicas'!$C$10:$L$643,,1)=V264),--(INDEX('Tablas Técnicas'!$C$10:$L$643,,2)=V273),INDEX('Tablas Técnicas'!$C$10:$L$643,,9))))</f>
        <v/>
      </c>
      <c r="AB273" s="4374"/>
      <c r="AC273" s="4375"/>
      <c r="AD273" s="4375"/>
      <c r="AE273" s="4375"/>
      <c r="AF273" s="4375"/>
      <c r="AG273" s="2096" t="str">
        <f>IF(OR(AB264="",AB273=""),"",MAX(1,SUMPRODUCT(--(INDEX('Tablas Técnicas'!$C$10:$L$643,,1)=AB264),--(INDEX('Tablas Técnicas'!$C$10:$L$643,,2)=AB273),INDEX('Tablas Técnicas'!$C$10:$L$643,,9))))</f>
        <v/>
      </c>
      <c r="AH273" s="2369">
        <f>P251</f>
        <v>1</v>
      </c>
      <c r="AI273" s="4511"/>
      <c r="AJ273" s="2920" t="s">
        <v>9020</v>
      </c>
      <c r="AK273" s="2920"/>
      <c r="AL273" s="2920"/>
      <c r="AM273" s="2920" t="b">
        <f t="array" ref="AM273">MAX(I268:I274,O268:O274,U268:U274,AA268:AA274,AG268:AG274,RIGHT(S260:S262,1))&gt;P251</f>
        <v>0</v>
      </c>
      <c r="AN273" s="2920"/>
      <c r="AO273" s="2920"/>
      <c r="AP273" s="2920"/>
      <c r="AQ273" s="2921"/>
      <c r="AR273" s="2922"/>
      <c r="AS273" s="2922"/>
      <c r="AT273" s="2922"/>
      <c r="AU273" s="2922"/>
      <c r="AV273" s="2922"/>
      <c r="AW273" s="2922"/>
      <c r="AX273" s="2922"/>
      <c r="AY273" s="2920"/>
    </row>
    <row r="274" spans="1:51" ht="12.2" customHeight="1" x14ac:dyDescent="0.2">
      <c r="A274" s="2360"/>
      <c r="B274" s="2252">
        <f t="shared" si="62"/>
        <v>8</v>
      </c>
      <c r="C274" s="4508"/>
      <c r="D274" s="4401"/>
      <c r="E274" s="4402"/>
      <c r="F274" s="4402"/>
      <c r="G274" s="4402"/>
      <c r="H274" s="4402"/>
      <c r="I274" s="2097" t="str">
        <f>IF(OR(D264="",D274=""),"",MAX(1,SUMPRODUCT(--(INDEX('Tablas Técnicas'!$C$10:$L$643,,1)=D264),--(INDEX('Tablas Técnicas'!$C$10:$L$643,,2)=D274),INDEX('Tablas Técnicas'!$C$10:$L$643,,9))))</f>
        <v/>
      </c>
      <c r="J274" s="4401"/>
      <c r="K274" s="4402"/>
      <c r="L274" s="4402"/>
      <c r="M274" s="4402"/>
      <c r="N274" s="4402"/>
      <c r="O274" s="2097" t="str">
        <f>IF(OR(J264="",J274=""),"",MAX(1,SUMPRODUCT(--(INDEX('Tablas Técnicas'!$C$10:$L$643,,1)=J264),--(INDEX('Tablas Técnicas'!$C$10:$L$643,,2)=J274),INDEX('Tablas Técnicas'!$C$10:$L$643,,9))))</f>
        <v/>
      </c>
      <c r="P274" s="4401"/>
      <c r="Q274" s="4402"/>
      <c r="R274" s="4402"/>
      <c r="S274" s="4402"/>
      <c r="T274" s="4402"/>
      <c r="U274" s="2097" t="str">
        <f>IF(OR(P264="",P274=""),"",MAX(1,SUMPRODUCT(--(INDEX('Tablas Técnicas'!$C$10:$L$643,,1)=P264),--(INDEX('Tablas Técnicas'!$C$10:$L$643,,2)=P274),INDEX('Tablas Técnicas'!$C$10:$L$643,,9))))</f>
        <v/>
      </c>
      <c r="V274" s="4401"/>
      <c r="W274" s="4402"/>
      <c r="X274" s="4402"/>
      <c r="Y274" s="4402"/>
      <c r="Z274" s="4402"/>
      <c r="AA274" s="2097" t="str">
        <f>IF(OR(V264="",V274=""),"",MAX(1,SUMPRODUCT(--(INDEX('Tablas Técnicas'!$C$10:$L$643,,1)=V264),--(INDEX('Tablas Técnicas'!$C$10:$L$643,,2)=V274),INDEX('Tablas Técnicas'!$C$10:$L$643,,9))))</f>
        <v/>
      </c>
      <c r="AB274" s="4401"/>
      <c r="AC274" s="4402"/>
      <c r="AD274" s="4402"/>
      <c r="AE274" s="4402"/>
      <c r="AF274" s="4402"/>
      <c r="AG274" s="2098" t="str">
        <f>IF(OR(AB264="",AB274=""),"",MAX(1,SUMPRODUCT(--(INDEX('Tablas Técnicas'!$C$10:$L$643,,1)=AB264),--(INDEX('Tablas Técnicas'!$C$10:$L$643,,2)=AB274),INDEX('Tablas Técnicas'!$C$10:$L$643,,9))))</f>
        <v/>
      </c>
      <c r="AH274" s="2369">
        <f>P251</f>
        <v>1</v>
      </c>
      <c r="AI274" s="4511"/>
      <c r="AJ274" s="2920" t="s">
        <v>9529</v>
      </c>
      <c r="AK274" s="2920"/>
      <c r="AL274" s="2920"/>
      <c r="AM274" s="2920" t="b">
        <f>AND(COUNTIF(K255:M259,"Mantenido"),OR(COUNTIF(K255:M259,"Sostenimiento Menor"),COUNTIF(K255:M259,"Sostenimiento Mayor")))</f>
        <v>0</v>
      </c>
      <c r="AN274" s="2921"/>
      <c r="AO274" s="2920"/>
      <c r="AP274" s="2920"/>
      <c r="AQ274" s="2920"/>
      <c r="AR274" s="2920"/>
      <c r="AS274" s="2920"/>
      <c r="AT274" s="2920"/>
      <c r="AU274" s="2922"/>
      <c r="AV274" s="2922"/>
      <c r="AW274" s="2922"/>
      <c r="AX274" s="2922"/>
      <c r="AY274" s="2920"/>
    </row>
    <row r="275" spans="1:51" ht="12.2" customHeight="1" x14ac:dyDescent="0.2">
      <c r="A275" s="2360"/>
      <c r="B275" s="2252">
        <f t="shared" si="62"/>
        <v>8</v>
      </c>
      <c r="C275" s="4508"/>
      <c r="D275" s="4386" t="s">
        <v>1553</v>
      </c>
      <c r="E275" s="4387"/>
      <c r="F275" s="4387"/>
      <c r="G275" s="4387"/>
      <c r="H275" s="4387"/>
      <c r="I275" s="4387"/>
      <c r="J275" s="4387"/>
      <c r="K275" s="4387"/>
      <c r="L275" s="4387"/>
      <c r="M275" s="4387"/>
      <c r="N275" s="4387"/>
      <c r="O275" s="4387"/>
      <c r="P275" s="4387"/>
      <c r="Q275" s="4387"/>
      <c r="R275" s="4387"/>
      <c r="S275" s="4387"/>
      <c r="T275" s="4387"/>
      <c r="U275" s="4387"/>
      <c r="V275" s="4387"/>
      <c r="W275" s="4387"/>
      <c r="X275" s="4387"/>
      <c r="Y275" s="4387"/>
      <c r="Z275" s="4387"/>
      <c r="AA275" s="4387"/>
      <c r="AB275" s="4387"/>
      <c r="AC275" s="4387"/>
      <c r="AD275" s="4387"/>
      <c r="AE275" s="4387"/>
      <c r="AF275" s="4387"/>
      <c r="AG275" s="4442"/>
      <c r="AH275" s="2369"/>
      <c r="AI275" s="4511"/>
      <c r="AJ275" s="2920" t="s">
        <v>9528</v>
      </c>
      <c r="AK275" s="2920"/>
      <c r="AL275" s="2920"/>
      <c r="AM275" s="2920"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20"/>
      <c r="AO275" s="2920"/>
      <c r="AP275" s="2920"/>
      <c r="AQ275" s="2921"/>
      <c r="AR275" s="2920"/>
      <c r="AS275" s="2920"/>
      <c r="AT275" s="2920"/>
      <c r="AU275" s="2922"/>
      <c r="AV275" s="2922"/>
      <c r="AW275" s="2922"/>
      <c r="AX275" s="2922"/>
      <c r="AY275" s="2920"/>
    </row>
    <row r="276" spans="1:51" ht="12.2" customHeight="1" x14ac:dyDescent="0.2">
      <c r="A276" s="2360"/>
      <c r="B276" s="2252">
        <f t="shared" si="62"/>
        <v>8</v>
      </c>
      <c r="C276" s="4508"/>
      <c r="D276" s="4443"/>
      <c r="E276" s="4444"/>
      <c r="F276" s="4444"/>
      <c r="G276" s="4444"/>
      <c r="H276" s="4444"/>
      <c r="I276" s="4444"/>
      <c r="J276" s="4444"/>
      <c r="K276" s="4444"/>
      <c r="L276" s="4444"/>
      <c r="M276" s="4444"/>
      <c r="N276" s="4444"/>
      <c r="O276" s="4444"/>
      <c r="P276" s="4444"/>
      <c r="Q276" s="4444"/>
      <c r="R276" s="4444"/>
      <c r="S276" s="4444"/>
      <c r="T276" s="4444"/>
      <c r="U276" s="4444"/>
      <c r="V276" s="4444"/>
      <c r="W276" s="4444"/>
      <c r="X276" s="4444"/>
      <c r="Y276" s="4444"/>
      <c r="Z276" s="4444"/>
      <c r="AA276" s="4444"/>
      <c r="AB276" s="4444"/>
      <c r="AC276" s="4444"/>
      <c r="AD276" s="4444"/>
      <c r="AE276" s="4444"/>
      <c r="AF276" s="4444"/>
      <c r="AG276" s="4445"/>
      <c r="AH276" s="2369"/>
      <c r="AI276" s="4511"/>
      <c r="AJ276" s="2920" t="s">
        <v>9536</v>
      </c>
      <c r="AK276" s="2920"/>
      <c r="AL276" s="2920"/>
      <c r="AM276" s="2920"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20"/>
      <c r="AO276" s="2920"/>
      <c r="AP276" s="2920"/>
      <c r="AQ276" s="2921"/>
      <c r="AR276" s="2920"/>
      <c r="AS276" s="2920"/>
      <c r="AT276" s="2920"/>
      <c r="AU276" s="2922"/>
      <c r="AV276" s="2922"/>
      <c r="AW276" s="2922"/>
      <c r="AX276" s="2922"/>
      <c r="AY276" s="2920"/>
    </row>
    <row r="277" spans="1:51" ht="12.2" customHeight="1" x14ac:dyDescent="0.2">
      <c r="A277" s="2360"/>
      <c r="B277" s="2252">
        <f t="shared" si="62"/>
        <v>8</v>
      </c>
      <c r="C277" s="4508"/>
      <c r="D277" s="4443"/>
      <c r="E277" s="4444"/>
      <c r="F277" s="4444"/>
      <c r="G277" s="4444"/>
      <c r="H277" s="4444"/>
      <c r="I277" s="4444"/>
      <c r="J277" s="4444"/>
      <c r="K277" s="4444"/>
      <c r="L277" s="4444"/>
      <c r="M277" s="4444"/>
      <c r="N277" s="4444"/>
      <c r="O277" s="4444"/>
      <c r="P277" s="4444"/>
      <c r="Q277" s="4444"/>
      <c r="R277" s="4444"/>
      <c r="S277" s="4444"/>
      <c r="T277" s="4444"/>
      <c r="U277" s="4444"/>
      <c r="V277" s="4444"/>
      <c r="W277" s="4444"/>
      <c r="X277" s="4444"/>
      <c r="Y277" s="4444"/>
      <c r="Z277" s="4444"/>
      <c r="AA277" s="4444"/>
      <c r="AB277" s="4444"/>
      <c r="AC277" s="4444"/>
      <c r="AD277" s="4444"/>
      <c r="AE277" s="4444"/>
      <c r="AF277" s="4444"/>
      <c r="AG277" s="4445"/>
      <c r="AH277" s="2369"/>
      <c r="AI277" s="4511"/>
      <c r="AJ277" s="2920" t="s">
        <v>9515</v>
      </c>
      <c r="AK277" s="2920"/>
      <c r="AL277" s="2920"/>
      <c r="AM277" s="2920" t="b">
        <f>AND((IF(SUM(V255:V259)&gt;0,1,0)+IF(SUM(X255:X259)&gt;0,1,0)+IF(SUM(Z255:Z259)&gt;0,1,0)+IF(SUM(AB255:AB259)&gt;0,1,0)+IF(SUM(AD255:AD259,)&gt;0,1,0)+IF(SUM(AF255:AF259)&gt;0,1,0))&lt;3,OR(V262&lt;0,X262&lt;0,Z262&lt;0,AB262&lt;0,AD262&lt;0,AF262&lt;0,Y260&lt;0))</f>
        <v>0</v>
      </c>
      <c r="AN277" s="2920"/>
      <c r="AO277" s="2920"/>
      <c r="AP277" s="2920"/>
      <c r="AQ277" s="2921"/>
      <c r="AR277" s="2920"/>
      <c r="AS277" s="2920"/>
      <c r="AT277" s="2920"/>
      <c r="AU277" s="2922"/>
      <c r="AV277" s="2922"/>
      <c r="AW277" s="2922"/>
      <c r="AX277" s="2922"/>
      <c r="AY277" s="2920"/>
    </row>
    <row r="278" spans="1:51" ht="12.2" customHeight="1" x14ac:dyDescent="0.2">
      <c r="A278" s="2360"/>
      <c r="B278" s="2252">
        <f t="shared" si="62"/>
        <v>8</v>
      </c>
      <c r="C278" s="4508"/>
      <c r="D278" s="4443"/>
      <c r="E278" s="4444"/>
      <c r="F278" s="4444"/>
      <c r="G278" s="4444"/>
      <c r="H278" s="4444"/>
      <c r="I278" s="4444"/>
      <c r="J278" s="4444"/>
      <c r="K278" s="4444"/>
      <c r="L278" s="4444"/>
      <c r="M278" s="4444"/>
      <c r="N278" s="4444"/>
      <c r="O278" s="4444"/>
      <c r="P278" s="4444"/>
      <c r="Q278" s="4444"/>
      <c r="R278" s="4444"/>
      <c r="S278" s="4444"/>
      <c r="T278" s="4444"/>
      <c r="U278" s="4444"/>
      <c r="V278" s="4444"/>
      <c r="W278" s="4444"/>
      <c r="X278" s="4444"/>
      <c r="Y278" s="4444"/>
      <c r="Z278" s="4444"/>
      <c r="AA278" s="4444"/>
      <c r="AB278" s="4444"/>
      <c r="AC278" s="4444"/>
      <c r="AD278" s="4444"/>
      <c r="AE278" s="4444"/>
      <c r="AF278" s="4444"/>
      <c r="AG278" s="4445"/>
      <c r="AH278" s="2369"/>
      <c r="AI278" s="4511"/>
      <c r="AJ278" s="2920" t="s">
        <v>9530</v>
      </c>
      <c r="AK278" s="2920"/>
      <c r="AL278" s="2920"/>
      <c r="AM278" s="2920" t="b">
        <f>OR(-V262&gt;TRUNC(SUM(V255:V259)/2),-X262&gt;TRUNC(SUM(X255:X259)/2),-Z262&gt;TRUNC(SUM(Z255:Z259)/2),-AB262&gt;TRUNC(SUM(AB255:AB259)/2),-AD262&gt;TRUNC(SUM(AD255:AD259)/2),-AF262&gt;TRUNC(SUM(AF255:AF259)/2))</f>
        <v>0</v>
      </c>
      <c r="AN278" s="2920"/>
      <c r="AO278" s="2920"/>
      <c r="AP278" s="2920"/>
      <c r="AQ278" s="2921"/>
      <c r="AR278" s="2920"/>
      <c r="AS278" s="2920"/>
      <c r="AT278" s="2920"/>
      <c r="AU278" s="2922"/>
      <c r="AV278" s="2922"/>
      <c r="AW278" s="2922"/>
      <c r="AX278" s="2922"/>
      <c r="AY278" s="2920"/>
    </row>
    <row r="279" spans="1:51" ht="12.2" customHeight="1" x14ac:dyDescent="0.2">
      <c r="A279" s="2360"/>
      <c r="B279" s="2252">
        <f t="shared" si="62"/>
        <v>8</v>
      </c>
      <c r="C279" s="4508"/>
      <c r="D279" s="4443"/>
      <c r="E279" s="4444"/>
      <c r="F279" s="4444"/>
      <c r="G279" s="4444"/>
      <c r="H279" s="4444"/>
      <c r="I279" s="4444"/>
      <c r="J279" s="4444"/>
      <c r="K279" s="4444"/>
      <c r="L279" s="4444"/>
      <c r="M279" s="4444"/>
      <c r="N279" s="4444"/>
      <c r="O279" s="4444"/>
      <c r="P279" s="4444"/>
      <c r="Q279" s="4444"/>
      <c r="R279" s="4444"/>
      <c r="S279" s="4444"/>
      <c r="T279" s="4444"/>
      <c r="U279" s="4444"/>
      <c r="V279" s="4444"/>
      <c r="W279" s="4444"/>
      <c r="X279" s="4444"/>
      <c r="Y279" s="4444"/>
      <c r="Z279" s="4444"/>
      <c r="AA279" s="4444"/>
      <c r="AB279" s="4444"/>
      <c r="AC279" s="4444"/>
      <c r="AD279" s="4444"/>
      <c r="AE279" s="4444"/>
      <c r="AF279" s="4444"/>
      <c r="AG279" s="4445"/>
      <c r="AH279" s="2369"/>
      <c r="AI279" s="4511"/>
      <c r="AJ279" s="2920" t="s">
        <v>9531</v>
      </c>
      <c r="AK279" s="2920"/>
      <c r="AL279" s="2920"/>
      <c r="AM279" s="2920" t="b">
        <f>COUNTIF(D255:E259,"Primario")&gt;1</f>
        <v>0</v>
      </c>
      <c r="AN279" s="2920"/>
      <c r="AO279" s="2920"/>
      <c r="AP279" s="2920"/>
      <c r="AQ279" s="2921"/>
      <c r="AR279" s="2921"/>
      <c r="AS279" s="2921"/>
      <c r="AT279" s="2921"/>
      <c r="AU279" s="2922"/>
      <c r="AV279" s="2922"/>
      <c r="AW279" s="2922"/>
      <c r="AX279" s="2920"/>
      <c r="AY279" s="2920"/>
    </row>
    <row r="280" spans="1:51" ht="12.2" customHeight="1" x14ac:dyDescent="0.2">
      <c r="A280" s="2360"/>
      <c r="B280" s="2252">
        <f t="shared" si="62"/>
        <v>8</v>
      </c>
      <c r="C280" s="4508"/>
      <c r="D280" s="4443"/>
      <c r="E280" s="4444"/>
      <c r="F280" s="4444"/>
      <c r="G280" s="4444"/>
      <c r="H280" s="4444"/>
      <c r="I280" s="4444"/>
      <c r="J280" s="4444"/>
      <c r="K280" s="4444"/>
      <c r="L280" s="4444"/>
      <c r="M280" s="4444"/>
      <c r="N280" s="4444"/>
      <c r="O280" s="4444"/>
      <c r="P280" s="4444"/>
      <c r="Q280" s="4444"/>
      <c r="R280" s="4444"/>
      <c r="S280" s="4444"/>
      <c r="T280" s="4444"/>
      <c r="U280" s="4444"/>
      <c r="V280" s="4444"/>
      <c r="W280" s="4444"/>
      <c r="X280" s="4444"/>
      <c r="Y280" s="4444"/>
      <c r="Z280" s="4444"/>
      <c r="AA280" s="4444"/>
      <c r="AB280" s="4444"/>
      <c r="AC280" s="4444"/>
      <c r="AD280" s="4444"/>
      <c r="AE280" s="4444"/>
      <c r="AF280" s="4444"/>
      <c r="AG280" s="4445"/>
      <c r="AH280" s="2369"/>
      <c r="AI280" s="4511"/>
      <c r="AJ280" s="2920" t="s">
        <v>9514</v>
      </c>
      <c r="AK280" s="2920"/>
      <c r="AL280" s="2920"/>
      <c r="AM280" s="2920" t="b">
        <f>SUM(V262:AG262)&lt;&gt;Y260+ABS(AC260)*2/5+IF(S251="Si",3*P251,0)</f>
        <v>0</v>
      </c>
      <c r="AN280" s="2920"/>
      <c r="AO280" s="2920"/>
      <c r="AP280" s="2920"/>
      <c r="AQ280" s="2921"/>
      <c r="AR280" s="2921"/>
      <c r="AS280" s="2921"/>
      <c r="AT280" s="2921"/>
      <c r="AU280" s="2922"/>
      <c r="AV280" s="2922"/>
      <c r="AW280" s="2922"/>
      <c r="AX280" s="2920"/>
      <c r="AY280" s="2920"/>
    </row>
    <row r="281" spans="1:51" ht="12.2" customHeight="1" x14ac:dyDescent="0.2">
      <c r="A281" s="2360"/>
      <c r="B281" s="2252">
        <f t="shared" si="62"/>
        <v>8</v>
      </c>
      <c r="C281" s="4508"/>
      <c r="D281" s="4443"/>
      <c r="E281" s="4444"/>
      <c r="F281" s="4444"/>
      <c r="G281" s="4444"/>
      <c r="H281" s="4444"/>
      <c r="I281" s="4444"/>
      <c r="J281" s="4444"/>
      <c r="K281" s="4444"/>
      <c r="L281" s="4444"/>
      <c r="M281" s="4444"/>
      <c r="N281" s="4444"/>
      <c r="O281" s="4444"/>
      <c r="P281" s="4444"/>
      <c r="Q281" s="4444"/>
      <c r="R281" s="4444"/>
      <c r="S281" s="4444"/>
      <c r="T281" s="4444"/>
      <c r="U281" s="4444"/>
      <c r="V281" s="4444"/>
      <c r="W281" s="4444"/>
      <c r="X281" s="4444"/>
      <c r="Y281" s="4444"/>
      <c r="Z281" s="4444"/>
      <c r="AA281" s="4444"/>
      <c r="AB281" s="4444"/>
      <c r="AC281" s="4444"/>
      <c r="AD281" s="4444"/>
      <c r="AE281" s="4444"/>
      <c r="AF281" s="4444"/>
      <c r="AG281" s="4445"/>
      <c r="AH281" s="2369"/>
      <c r="AI281" s="4511"/>
      <c r="AJ281" s="2920" t="s">
        <v>9513</v>
      </c>
      <c r="AK281" s="2920"/>
      <c r="AL281" s="2920"/>
      <c r="AM281" s="2920" t="b">
        <f>AL268-AL269+AM268-AM269&lt;&gt;0</f>
        <v>0</v>
      </c>
      <c r="AN281" s="2922"/>
      <c r="AO281" s="2922"/>
      <c r="AP281" s="2922"/>
      <c r="AQ281" s="2922"/>
      <c r="AR281" s="2921"/>
      <c r="AS281" s="2921"/>
      <c r="AT281" s="2921"/>
      <c r="AU281" s="2922"/>
      <c r="AV281" s="2922"/>
      <c r="AW281" s="2922"/>
      <c r="AX281" s="2920"/>
      <c r="AY281" s="2920"/>
    </row>
    <row r="282" spans="1:51" ht="12.2" customHeight="1" thickBot="1" x14ac:dyDescent="0.25">
      <c r="A282" s="2360"/>
      <c r="B282" s="2252"/>
      <c r="C282" s="4509"/>
      <c r="D282" s="451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13"/>
      <c r="F282" s="4513"/>
      <c r="G282" s="4513"/>
      <c r="H282" s="4513"/>
      <c r="I282" s="4513"/>
      <c r="J282" s="4513"/>
      <c r="K282" s="4513"/>
      <c r="L282" s="4513"/>
      <c r="M282" s="4513"/>
      <c r="N282" s="4513"/>
      <c r="O282" s="4513"/>
      <c r="P282" s="4513"/>
      <c r="Q282" s="4513"/>
      <c r="R282" s="4513"/>
      <c r="S282" s="4513"/>
      <c r="T282" s="4513"/>
      <c r="U282" s="4513"/>
      <c r="V282" s="4513"/>
      <c r="W282" s="4513"/>
      <c r="X282" s="4513"/>
      <c r="Y282" s="4513"/>
      <c r="Z282" s="4513"/>
      <c r="AA282" s="4513"/>
      <c r="AB282" s="4513"/>
      <c r="AC282" s="4513"/>
      <c r="AD282" s="4513"/>
      <c r="AE282" s="4513"/>
      <c r="AF282" s="4513"/>
      <c r="AG282" s="4514"/>
      <c r="AH282" s="2369"/>
      <c r="AI282" s="4511"/>
      <c r="AJ282" s="2920" t="s">
        <v>9550</v>
      </c>
      <c r="AK282" s="2922"/>
      <c r="AL282" s="2922"/>
      <c r="AM282" s="2922" t="b">
        <f>ABS(SUM(N260:N262))&gt;(SUM(N255:N259)-10*Y260+AC260+IF(S251="Si",10*P251,0)+IF(COUNTIF(K255:M259,"Mantenido")&gt;0,P251*10)+MAX(IF(COUNTIF(K255:M259,"Sostenimiento Menor")&gt;0,P251*20)+IF(COUNTIF(K255:M259,"Sostenimiento Mayor")&gt;0,P251*30)))/2</f>
        <v>0</v>
      </c>
      <c r="AN282" s="2920"/>
      <c r="AO282" s="2920"/>
      <c r="AP282" s="2920"/>
      <c r="AQ282" s="2920"/>
      <c r="AR282" s="2921"/>
      <c r="AS282" s="2921"/>
      <c r="AT282" s="2921"/>
      <c r="AU282" s="2922"/>
      <c r="AV282" s="2922"/>
      <c r="AW282" s="2922"/>
      <c r="AX282" s="2920"/>
      <c r="AY282" s="2920"/>
    </row>
    <row r="283" spans="1:51" ht="12.2" customHeight="1" x14ac:dyDescent="0.2">
      <c r="A283" s="2360"/>
      <c r="B283" s="2252"/>
      <c r="C283" s="4403"/>
      <c r="D283" s="4403" t="str">
        <f>IFERROR(VLOOKUP(D264,'Tablas Técnicas'!$O$9:$T$88,2,FALSE),"")</f>
        <v/>
      </c>
      <c r="E283" s="4403"/>
      <c r="F283" s="4403"/>
      <c r="G283" s="4403"/>
      <c r="H283" s="4403"/>
      <c r="I283" s="4403"/>
      <c r="J283" s="4403" t="str">
        <f>IFERROR(VLOOKUP(J264,'Tablas Técnicas'!$O$9:$T$88,2,FALSE),"")</f>
        <v/>
      </c>
      <c r="K283" s="4403"/>
      <c r="L283" s="4403"/>
      <c r="M283" s="4403"/>
      <c r="N283" s="4403"/>
      <c r="O283" s="4403"/>
      <c r="P283" s="4403" t="str">
        <f>IFERROR(VLOOKUP(P264,'Tablas Técnicas'!$O$9:$T$88,2,FALSE),"")</f>
        <v/>
      </c>
      <c r="Q283" s="4403"/>
      <c r="R283" s="4403"/>
      <c r="S283" s="4403"/>
      <c r="T283" s="4403"/>
      <c r="U283" s="4403"/>
      <c r="V283" s="4403" t="str">
        <f>IFERROR(VLOOKUP(V264,'Tablas Técnicas'!$O$9:$T$88,2,FALSE),"")</f>
        <v/>
      </c>
      <c r="W283" s="4403"/>
      <c r="X283" s="4403"/>
      <c r="Y283" s="4403"/>
      <c r="Z283" s="4403"/>
      <c r="AA283" s="4403"/>
      <c r="AB283" s="4403" t="str">
        <f>IFERROR(VLOOKUP(AB264,'Tablas Técnicas'!$O$9:$T$88,2,FALSE),"")</f>
        <v/>
      </c>
      <c r="AC283" s="4403"/>
      <c r="AD283" s="4403"/>
      <c r="AE283" s="4403"/>
      <c r="AF283" s="4403"/>
      <c r="AG283" s="4403"/>
      <c r="AH283" s="2369"/>
      <c r="AI283" s="2073"/>
      <c r="AJ283" s="2920"/>
      <c r="AK283" s="2920"/>
      <c r="AL283" s="2920"/>
      <c r="AM283" s="2920"/>
      <c r="AN283" s="2920"/>
      <c r="AO283" s="2920"/>
      <c r="AP283" s="2920"/>
      <c r="AQ283" s="2920"/>
      <c r="AR283" s="2921"/>
      <c r="AS283" s="2921"/>
      <c r="AT283" s="2921"/>
      <c r="AU283" s="2922"/>
      <c r="AV283" s="2922"/>
      <c r="AW283" s="2922"/>
      <c r="AX283" s="2922"/>
      <c r="AY283" s="2920"/>
    </row>
    <row r="284" spans="1:51" ht="12.2" customHeight="1" thickBot="1" x14ac:dyDescent="0.25">
      <c r="A284" s="2360"/>
      <c r="B284" s="2252"/>
      <c r="C284" s="4403"/>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28"/>
      <c r="AK284" s="2928"/>
      <c r="AL284" s="2928"/>
      <c r="AM284" s="2928"/>
      <c r="AN284" s="2928"/>
      <c r="AO284" s="2928"/>
      <c r="AP284" s="2920"/>
      <c r="AQ284" s="2921"/>
      <c r="AR284" s="2922"/>
      <c r="AS284" s="2922"/>
      <c r="AT284" s="2922"/>
      <c r="AU284" s="2922"/>
      <c r="AV284" s="2922"/>
      <c r="AW284" s="2922"/>
      <c r="AX284" s="2922"/>
      <c r="AY284" s="2929"/>
    </row>
    <row r="285" spans="1:51" ht="12.2" customHeight="1" x14ac:dyDescent="0.2">
      <c r="A285" s="2360"/>
      <c r="B285" s="2252">
        <f t="shared" ref="B285:B315" si="71">1+B251</f>
        <v>9</v>
      </c>
      <c r="C285" s="4507" t="str">
        <f>"Técnica "&amp;B285</f>
        <v>Técnica 9</v>
      </c>
      <c r="D285" s="4497" t="s">
        <v>8918</v>
      </c>
      <c r="E285" s="4498"/>
      <c r="F285" s="4498"/>
      <c r="G285" s="4498"/>
      <c r="H285" s="4498"/>
      <c r="I285" s="4498"/>
      <c r="J285" s="4498"/>
      <c r="K285" s="4498"/>
      <c r="L285" s="4498"/>
      <c r="M285" s="4498"/>
      <c r="N285" s="4499"/>
      <c r="O285" s="4458" t="s">
        <v>1328</v>
      </c>
      <c r="P285" s="4460">
        <v>1</v>
      </c>
      <c r="Q285" s="4377" t="s">
        <v>9002</v>
      </c>
      <c r="R285" s="4453"/>
      <c r="S285" s="4455" t="s">
        <v>1384</v>
      </c>
      <c r="T285" s="4378" t="s">
        <v>1509</v>
      </c>
      <c r="U285" s="4440">
        <f>MAX(IF(P285=3,60,IF(P285=2,40,20)),MIN(SUM(N289:N296)-10*Y294+AC294+IF(S285="Si",10*P285,0)+IF(COUNTIF(K289:M293,"Mantenido")&gt;0,P285*10)+MAX(IF(COUNTIF(K289:M293,"Sostenimiento Menor")&gt;0,P285*20)+IF(COUNTIF(K289:M293,"Sostenimiento Mayor")&gt;0,P285*30))))</f>
        <v>20</v>
      </c>
      <c r="V285" s="4377" t="s">
        <v>9003</v>
      </c>
      <c r="W285" s="4378"/>
      <c r="X285" s="4381" t="str">
        <f>IFERROR(LEFT(AK301&amp;AL301&amp;AM301&amp;AN301&amp;AO301&amp;AP301,LEN(AK301&amp;AL301&amp;AM301&amp;AN301&amp;AO301&amp;AP301)-2),"")</f>
        <v/>
      </c>
      <c r="Y285" s="4381"/>
      <c r="Z285" s="4381"/>
      <c r="AA285" s="4381"/>
      <c r="AB285" s="4381"/>
      <c r="AC285" s="4381"/>
      <c r="AD285" s="4381"/>
      <c r="AE285" s="4381"/>
      <c r="AF285" s="4381"/>
      <c r="AG285" s="4382"/>
      <c r="AH285" s="2369"/>
      <c r="AI285" s="4511"/>
      <c r="AJ285" s="2925" t="s">
        <v>9547</v>
      </c>
      <c r="AK285" s="2925"/>
      <c r="AL285" s="2925"/>
      <c r="AM285" s="2925"/>
      <c r="AN285" s="2925"/>
      <c r="AO285" s="2925"/>
      <c r="AP285" s="2925"/>
      <c r="AQ285" s="2925"/>
      <c r="AR285" s="2925"/>
      <c r="AS285" s="2920"/>
      <c r="AT285" s="2920"/>
      <c r="AU285" s="2920"/>
      <c r="AV285" s="2920"/>
      <c r="AW285" s="2922"/>
      <c r="AX285" s="2922"/>
      <c r="AY285" s="2920"/>
    </row>
    <row r="286" spans="1:51" ht="12.2" customHeight="1" x14ac:dyDescent="0.2">
      <c r="A286" s="2360"/>
      <c r="B286" s="2252">
        <f t="shared" si="71"/>
        <v>9</v>
      </c>
      <c r="C286" s="4508"/>
      <c r="D286" s="4500"/>
      <c r="E286" s="4520"/>
      <c r="F286" s="4520"/>
      <c r="G286" s="4520"/>
      <c r="H286" s="4520"/>
      <c r="I286" s="4520"/>
      <c r="J286" s="4520"/>
      <c r="K286" s="4520"/>
      <c r="L286" s="4520"/>
      <c r="M286" s="4520"/>
      <c r="N286" s="4521"/>
      <c r="O286" s="4459"/>
      <c r="P286" s="4456"/>
      <c r="Q286" s="4379"/>
      <c r="R286" s="4454"/>
      <c r="S286" s="4456"/>
      <c r="T286" s="4457"/>
      <c r="U286" s="4441"/>
      <c r="V286" s="4379"/>
      <c r="W286" s="4457"/>
      <c r="X286" s="4522"/>
      <c r="Y286" s="4522"/>
      <c r="Z286" s="4522"/>
      <c r="AA286" s="4522"/>
      <c r="AB286" s="4522"/>
      <c r="AC286" s="4522"/>
      <c r="AD286" s="4522"/>
      <c r="AE286" s="4522"/>
      <c r="AF286" s="4522"/>
      <c r="AG286" s="4384"/>
      <c r="AH286" s="2369"/>
      <c r="AI286" s="4511"/>
      <c r="AJ286" s="2925"/>
      <c r="AK286" s="2925" t="s">
        <v>9548</v>
      </c>
      <c r="AL286" s="2925" t="s">
        <v>10268</v>
      </c>
      <c r="AM286" s="2926"/>
      <c r="AN286" s="2926"/>
      <c r="AO286" s="2926"/>
      <c r="AP286" s="2926"/>
      <c r="AQ286" s="2926"/>
      <c r="AR286" s="2925"/>
      <c r="AS286" s="2920"/>
      <c r="AT286" s="2920"/>
      <c r="AU286" s="2920"/>
      <c r="AV286" s="2920"/>
      <c r="AW286" s="2922"/>
      <c r="AX286" s="4510" t="s">
        <v>9517</v>
      </c>
      <c r="AY286" s="4510"/>
    </row>
    <row r="287" spans="1:51" ht="12.2" customHeight="1" x14ac:dyDescent="0.2">
      <c r="A287" s="2360"/>
      <c r="B287" s="2252">
        <f t="shared" si="71"/>
        <v>9</v>
      </c>
      <c r="C287" s="4508"/>
      <c r="D287" s="4386" t="s">
        <v>2858</v>
      </c>
      <c r="E287" s="4387"/>
      <c r="F287" s="4387"/>
      <c r="G287" s="4387"/>
      <c r="H287" s="4387"/>
      <c r="I287" s="4387"/>
      <c r="J287" s="4387"/>
      <c r="K287" s="4467" t="s">
        <v>9847</v>
      </c>
      <c r="L287" s="4467"/>
      <c r="M287" s="4467"/>
      <c r="N287" s="4387" t="s">
        <v>1503</v>
      </c>
      <c r="O287" s="4467" t="s">
        <v>2856</v>
      </c>
      <c r="P287" s="4467" t="s">
        <v>9004</v>
      </c>
      <c r="Q287" s="4387" t="s">
        <v>1367</v>
      </c>
      <c r="R287" s="4387"/>
      <c r="S287" s="4387"/>
      <c r="T287" s="4387"/>
      <c r="U287" s="4387"/>
      <c r="V287" s="4376" t="s">
        <v>1376</v>
      </c>
      <c r="W287" s="4354"/>
      <c r="X287" s="4376" t="s">
        <v>1501</v>
      </c>
      <c r="Y287" s="4464"/>
      <c r="Z287" s="4354" t="s">
        <v>1381</v>
      </c>
      <c r="AA287" s="4354"/>
      <c r="AB287" s="4376" t="s">
        <v>1386</v>
      </c>
      <c r="AC287" s="4464"/>
      <c r="AD287" s="4354" t="s">
        <v>1394</v>
      </c>
      <c r="AE287" s="4354"/>
      <c r="AF287" s="4376" t="s">
        <v>1395</v>
      </c>
      <c r="AG287" s="4355"/>
      <c r="AH287" s="2369"/>
      <c r="AI287" s="4511"/>
      <c r="AJ287" s="2920"/>
      <c r="AK287" s="2920"/>
      <c r="AL287" s="2920" t="s">
        <v>9825</v>
      </c>
      <c r="AM287" s="2920"/>
      <c r="AN287" s="2920"/>
      <c r="AO287" s="2920"/>
      <c r="AP287" s="2920"/>
      <c r="AQ287" s="2920"/>
      <c r="AR287" s="2922"/>
      <c r="AS287" s="2922" t="s">
        <v>9537</v>
      </c>
      <c r="AT287" s="2922" t="s">
        <v>9538</v>
      </c>
      <c r="AU287" s="2920" t="s">
        <v>9526</v>
      </c>
      <c r="AV287" s="2920" t="s">
        <v>9527</v>
      </c>
      <c r="AW287" s="2922" t="s">
        <v>1503</v>
      </c>
      <c r="AX287" s="2922" t="s">
        <v>9006</v>
      </c>
      <c r="AY287" s="2920" t="s">
        <v>9007</v>
      </c>
    </row>
    <row r="288" spans="1:51" ht="12.2" customHeight="1" x14ac:dyDescent="0.2">
      <c r="A288" s="2360"/>
      <c r="B288" s="2252">
        <f t="shared" si="71"/>
        <v>9</v>
      </c>
      <c r="C288" s="4508"/>
      <c r="D288" s="4515"/>
      <c r="E288" s="4516"/>
      <c r="F288" s="4516"/>
      <c r="G288" s="4516"/>
      <c r="H288" s="4516"/>
      <c r="I288" s="4516"/>
      <c r="J288" s="4516"/>
      <c r="K288" s="4517"/>
      <c r="L288" s="4517"/>
      <c r="M288" s="4517"/>
      <c r="N288" s="4518"/>
      <c r="O288" s="4517"/>
      <c r="P288" s="4519"/>
      <c r="Q288" s="4518"/>
      <c r="R288" s="4518"/>
      <c r="S288" s="4518"/>
      <c r="T288" s="4518"/>
      <c r="U288" s="4518"/>
      <c r="V288" s="2257" t="s">
        <v>9516</v>
      </c>
      <c r="W288" s="2361" t="s">
        <v>2862</v>
      </c>
      <c r="X288" s="2257" t="s">
        <v>9516</v>
      </c>
      <c r="Y288" s="2361" t="s">
        <v>2862</v>
      </c>
      <c r="Z288" s="2257" t="s">
        <v>9516</v>
      </c>
      <c r="AA288" s="2361" t="s">
        <v>2862</v>
      </c>
      <c r="AB288" s="2257" t="s">
        <v>9516</v>
      </c>
      <c r="AC288" s="2361" t="s">
        <v>2862</v>
      </c>
      <c r="AD288" s="2257" t="s">
        <v>9516</v>
      </c>
      <c r="AE288" s="2361" t="s">
        <v>2862</v>
      </c>
      <c r="AF288" s="2257" t="s">
        <v>9516</v>
      </c>
      <c r="AG288" s="2080" t="s">
        <v>2862</v>
      </c>
      <c r="AH288" s="2369"/>
      <c r="AI288" s="4511"/>
      <c r="AJ288" s="2920"/>
      <c r="AK288" s="2920" t="s">
        <v>9518</v>
      </c>
      <c r="AL288" s="2920">
        <v>1</v>
      </c>
      <c r="AM288" s="2920">
        <v>2</v>
      </c>
      <c r="AN288" s="2920">
        <v>3</v>
      </c>
      <c r="AO288" s="2920">
        <v>4</v>
      </c>
      <c r="AP288" s="2920">
        <v>5</v>
      </c>
      <c r="AQ288" s="2920">
        <v>6</v>
      </c>
      <c r="AR288" s="2920">
        <v>7</v>
      </c>
      <c r="AS288" s="2922"/>
      <c r="AT288" s="2920" t="s">
        <v>9549</v>
      </c>
      <c r="AU288" s="2922"/>
      <c r="AV288" s="2922"/>
      <c r="AW288" s="2922" t="s">
        <v>9549</v>
      </c>
      <c r="AX288" s="2922"/>
      <c r="AY288" s="2920"/>
    </row>
    <row r="289" spans="1:51" ht="12.2" customHeight="1" x14ac:dyDescent="0.2">
      <c r="A289" s="2360"/>
      <c r="B289" s="2252">
        <f t="shared" si="71"/>
        <v>9</v>
      </c>
      <c r="C289" s="4508"/>
      <c r="D289" s="4486" t="s">
        <v>9008</v>
      </c>
      <c r="E289" s="4487"/>
      <c r="F289" s="4488"/>
      <c r="G289" s="4489"/>
      <c r="H289" s="4489"/>
      <c r="I289" s="4489"/>
      <c r="J289" s="4411"/>
      <c r="K289" s="4490" t="s">
        <v>1459</v>
      </c>
      <c r="L289" s="4491"/>
      <c r="M289" s="4492"/>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93" t="str">
        <f>IFERROR(VLOOKUP(F289,'Tablas Técnicas'!$O$9:$T$88,5,FALSE),"")</f>
        <v/>
      </c>
      <c r="R289" s="4493"/>
      <c r="S289" s="4493"/>
      <c r="T289" s="4493"/>
      <c r="U289" s="4493"/>
      <c r="V289" s="2208"/>
      <c r="W289" s="2209"/>
      <c r="X289" s="2208"/>
      <c r="Y289" s="2210"/>
      <c r="Z289" s="2211"/>
      <c r="AA289" s="2209"/>
      <c r="AB289" s="2208"/>
      <c r="AC289" s="2210"/>
      <c r="AD289" s="2211"/>
      <c r="AE289" s="2209"/>
      <c r="AF289" s="2208"/>
      <c r="AG289" s="2212"/>
      <c r="AH289" s="2369"/>
      <c r="AI289" s="4511"/>
      <c r="AJ289" s="2920">
        <v>1</v>
      </c>
      <c r="AK289" s="2920">
        <f>P285</f>
        <v>1</v>
      </c>
      <c r="AL289" s="2920" t="str">
        <f>IF(AND(ISNUMBER(MATCH($F289,'Tablas Técnicas'!$L$10:$L$643,0)),INDEX($D302:$D308,Tablas!A$1)="",COUNTIF(AM289:$AS289,$F289)=0),$F289,IF(INDEX($D302:$D308,Tablas!A$1)="","",$F289&amp;INDEX($D302:$D308,Tablas!A$1)))</f>
        <v/>
      </c>
      <c r="AM289" s="2920" t="str">
        <f>IF(AND(ISNUMBER(MATCH($F289,'Tablas Técnicas'!$L$10:$L$643,0)),INDEX($D302:$D308,Tablas!B$1)="",COUNTIF(AN289:$AS289,$F289)=0),$F289,IF(INDEX($D302:$D308,Tablas!B$1)="","",$F289&amp;INDEX($D302:$D308,Tablas!B$1)))</f>
        <v/>
      </c>
      <c r="AN289" s="2920" t="str">
        <f>IF(AND(ISNUMBER(MATCH($F289,'Tablas Técnicas'!$L$10:$L$643,0)),INDEX($D302:$D308,Tablas!C$1)="",COUNTIF(AO289:$AS289,$F289)=0),$F289,IF(INDEX($D302:$D308,Tablas!C$1)="","",$F289&amp;INDEX($D302:$D308,Tablas!C$1)))</f>
        <v/>
      </c>
      <c r="AO289" s="2920" t="str">
        <f>IF(AND(ISNUMBER(MATCH($F289,'Tablas Técnicas'!$L$10:$L$643,0)),INDEX($D302:$D308,Tablas!D$1)="",COUNTIF(AP289:$AS289,$F289)=0),$F289,IF(INDEX($D302:$D308,Tablas!D$1)="","",$F289&amp;INDEX($D302:$D308,Tablas!D$1)))</f>
        <v/>
      </c>
      <c r="AP289" s="2920" t="str">
        <f>IF(AND(ISNUMBER(MATCH($F289,'Tablas Técnicas'!$L$10:$L$643,0)),INDEX($D302:$D308,Tablas!E$1)="",COUNTIF(AQ289:$AS289,$F289)=0),$F289,IF(INDEX($D302:$D308,Tablas!E$1)="","",$F289&amp;INDEX($D302:$D308,Tablas!E$1)))</f>
        <v/>
      </c>
      <c r="AQ289" s="2920" t="str">
        <f>IF(AND(ISNUMBER(MATCH($F289,'Tablas Técnicas'!$L$10:$L$643,0)),INDEX($D302:$D308,Tablas!F$1)="",COUNTIF(AR289:$AS289,$F289)=0),$F289,IF(INDEX($D302:$D308,Tablas!F$1)="","",$F289&amp;INDEX($D302:$D308,Tablas!F$1)))</f>
        <v/>
      </c>
      <c r="AR289" s="2920" t="str">
        <f>IF(AND(ISNUMBER(MATCH($F289,'Tablas Técnicas'!$L$10:$L$643,0)),INDEX($D302:$D308,Tablas!G$1)="",COUNTIF(AS289:$AS289,$F289)=0),$F289,IF(INDEX($D302:$D308,Tablas!G$1)="","",$F289&amp;INDEX($D302:$D308,Tablas!G$1)))</f>
        <v/>
      </c>
      <c r="AS289" s="2922">
        <f>V289+X289+Z289+AB289+AD289+AF289</f>
        <v>0</v>
      </c>
      <c r="AT289" s="2922">
        <f t="array" ref="AT289">SUM(IF($AL289:$AR289='Tablas Técnicas'!$L$10:$L$643,IF(D289="Primario",'Tablas Técnicas'!$E$10:$E$643,'Tablas Técnicas'!$F$10:$F$643)+IF(K289="Sostenimiento menor",'Tablas Técnicas'!$I$10:$I$643,IF(K289="sostenimiento mayor",'Tablas Técnicas'!$J$10:$J$643,0)),0),0)+VALUE(RIGHT(P289,2))+AU289+AV289</f>
        <v>0</v>
      </c>
      <c r="AU289" s="292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22">
        <f>(COUNTIF(AL289:AR289,"*Estado añadido:*")-1)*COUNTIF(AL289:AR289,"*Estado añadido:*")</f>
        <v>0</v>
      </c>
      <c r="AW289" s="2922">
        <f t="array" ref="AW289">SUM(IF($AL289:$AR289='Tablas Técnicas'!$L$10:$L$643,'Tablas Técnicas'!$G$10:$G$643,0))</f>
        <v>0</v>
      </c>
      <c r="AX289" s="2920"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20" t="str">
        <f t="shared" ref="AY289:AY291" si="72">IFERROR(LEFT(AX289,LEN(AX289)-2)&amp;"), ","")</f>
        <v/>
      </c>
    </row>
    <row r="290" spans="1:51" ht="12.2" customHeight="1" x14ac:dyDescent="0.2">
      <c r="A290" s="2360"/>
      <c r="B290" s="2252">
        <f t="shared" si="71"/>
        <v>9</v>
      </c>
      <c r="C290" s="4508"/>
      <c r="D290" s="4392" t="s">
        <v>526</v>
      </c>
      <c r="E290" s="4393"/>
      <c r="F290" s="4473"/>
      <c r="G290" s="4474"/>
      <c r="H290" s="4474"/>
      <c r="I290" s="4474"/>
      <c r="J290" s="4420"/>
      <c r="K290" s="4475" t="s">
        <v>1459</v>
      </c>
      <c r="L290" s="4476"/>
      <c r="M290" s="4477"/>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39" t="str">
        <f>IFERROR(VLOOKUP(F290,'Tablas Técnicas'!$O$9:$T$88,5,FALSE),"")</f>
        <v/>
      </c>
      <c r="R290" s="4439"/>
      <c r="S290" s="4439"/>
      <c r="T290" s="4439"/>
      <c r="U290" s="4439"/>
      <c r="V290" s="2213"/>
      <c r="W290" s="2214"/>
      <c r="X290" s="2213"/>
      <c r="Y290" s="2215"/>
      <c r="Z290" s="2216"/>
      <c r="AA290" s="2214"/>
      <c r="AB290" s="2213"/>
      <c r="AC290" s="2215"/>
      <c r="AD290" s="2216"/>
      <c r="AE290" s="2214"/>
      <c r="AF290" s="2213"/>
      <c r="AG290" s="2217"/>
      <c r="AH290" s="2369"/>
      <c r="AI290" s="4511"/>
      <c r="AJ290" s="2920">
        <v>2</v>
      </c>
      <c r="AK290" s="2920">
        <f>P285</f>
        <v>1</v>
      </c>
      <c r="AL290" s="2920" t="str">
        <f>IF(AND(ISNUMBER(MATCH($F290,'Tablas Técnicas'!$L$10:$L$643,0)),INDEX($J302:$J308,Tablas!A$1)="",COUNTIF(AM290:$AS290,$F290)=0),$F290,IF(INDEX($J302:$J308,Tablas!A$1)="","",$F290&amp;INDEX($J302:$J308,Tablas!A$1)))</f>
        <v/>
      </c>
      <c r="AM290" s="2920" t="str">
        <f>IF(AND(ISNUMBER(MATCH($F290,'Tablas Técnicas'!$L$10:$L$643,0)),INDEX($J302:$J308,Tablas!B$1)="",COUNTIF(AN290:$AS290,$F290)=0),$F290,IF(INDEX($J302:$J308,Tablas!B$1)="","",$F290&amp;INDEX($J302:$J308,Tablas!B$1)))</f>
        <v/>
      </c>
      <c r="AN290" s="2920" t="str">
        <f>IF(AND(ISNUMBER(MATCH($F290,'Tablas Técnicas'!$L$10:$L$643,0)),INDEX($J302:$J308,Tablas!C$1)="",COUNTIF(AO290:$AS290,$F290)=0),$F290,IF(INDEX($J302:$J308,Tablas!C$1)="","",$F290&amp;INDEX($J302:$J308,Tablas!C$1)))</f>
        <v/>
      </c>
      <c r="AO290" s="2920" t="str">
        <f>IF(AND(ISNUMBER(MATCH($F290,'Tablas Técnicas'!$L$10:$L$643,0)),INDEX($J302:$J308,Tablas!D$1)="",COUNTIF(AP290:$AS290,$F290)=0),$F290,IF(INDEX($J302:$J308,Tablas!D$1)="","",$F290&amp;INDEX($J302:$J308,Tablas!D$1)))</f>
        <v/>
      </c>
      <c r="AP290" s="2920" t="str">
        <f>IF(AND(ISNUMBER(MATCH($F290,'Tablas Técnicas'!$L$10:$L$643,0)),INDEX($J302:$J308,Tablas!E$1)="",COUNTIF(AQ290:$AS290,$F290)=0),$F290,IF(INDEX($J302:$J308,Tablas!E$1)="","",$F290&amp;INDEX($J302:$J308,Tablas!E$1)))</f>
        <v/>
      </c>
      <c r="AQ290" s="2920" t="str">
        <f>IF(AND(ISNUMBER(MATCH($F290,'Tablas Técnicas'!$L$10:$L$643,0)),INDEX($J302:$J308,Tablas!F$1)="",COUNTIF(AR290:$AS290,$F290)=0),$F290,IF(INDEX($J302:$J308,Tablas!F$1)="","",$F290&amp;INDEX($J302:$J308,Tablas!F$1)))</f>
        <v/>
      </c>
      <c r="AR290" s="2920" t="str">
        <f>IF(AND(ISNUMBER(MATCH($F290,'Tablas Técnicas'!$L$10:$L$643,0)),INDEX($J302:$J308,Tablas!G$1)="",COUNTIF(AS290:$AS290,$F290)=0),$F290,IF(INDEX($J302:$J308,Tablas!G$1)="","",$F290&amp;INDEX($J302:$J308,Tablas!G$1)))</f>
        <v/>
      </c>
      <c r="AS290" s="2922">
        <f>V290+X290+Z290+AB290+AD290+AF290</f>
        <v>0</v>
      </c>
      <c r="AT290" s="2922">
        <f t="array" ref="AT290">SUM(IF($AL290:$AR290='Tablas Técnicas'!$L$10:$L$643,IF(D290="Primario",'Tablas Técnicas'!$E$10:$E$643,'Tablas Técnicas'!$F$10:$F$643)+IF(K290="Sostenimiento menor",'Tablas Técnicas'!$I$10:$I$643,IF(K290="sostenimiento mayor",'Tablas Técnicas'!$J$10:$J$643,0)),0),0)+VALUE(RIGHT(P290,2))+AU290+AV290</f>
        <v>0</v>
      </c>
      <c r="AU290" s="292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22">
        <f>(COUNTIF(AL290:AR290,"*Estado añadido:*")-1)*COUNTIF(AL290:AR290,"*Estado añadido:*")</f>
        <v>0</v>
      </c>
      <c r="AW290" s="2922">
        <f t="array" ref="AW290">SUM(IF($AL290:$AR290='Tablas Técnicas'!$L$10:$L$643,'Tablas Técnicas'!$G$10:$G$643,0))</f>
        <v>0</v>
      </c>
      <c r="AX290" s="2920"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20" t="str">
        <f t="shared" si="72"/>
        <v/>
      </c>
    </row>
    <row r="291" spans="1:51" ht="12.2" customHeight="1" x14ac:dyDescent="0.2">
      <c r="A291" s="2360"/>
      <c r="B291" s="2252">
        <f t="shared" si="71"/>
        <v>9</v>
      </c>
      <c r="C291" s="4508"/>
      <c r="D291" s="4481" t="s">
        <v>526</v>
      </c>
      <c r="E291" s="4482"/>
      <c r="F291" s="4398"/>
      <c r="G291" s="4399"/>
      <c r="H291" s="4399"/>
      <c r="I291" s="4399"/>
      <c r="J291" s="4400"/>
      <c r="K291" s="4478" t="s">
        <v>1459</v>
      </c>
      <c r="L291" s="4479"/>
      <c r="M291" s="4480"/>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523" t="str">
        <f>IFERROR(VLOOKUP(F291,'Tablas Técnicas'!$O$9:$T$88,5,FALSE),"")</f>
        <v/>
      </c>
      <c r="R291" s="4523"/>
      <c r="S291" s="4523"/>
      <c r="T291" s="4523"/>
      <c r="U291" s="4523"/>
      <c r="V291" s="2218"/>
      <c r="W291" s="2219"/>
      <c r="X291" s="2218"/>
      <c r="Y291" s="2220"/>
      <c r="Z291" s="2221"/>
      <c r="AA291" s="2219"/>
      <c r="AB291" s="2218"/>
      <c r="AC291" s="2220"/>
      <c r="AD291" s="2221"/>
      <c r="AE291" s="2219"/>
      <c r="AF291" s="2218"/>
      <c r="AG291" s="2222"/>
      <c r="AH291" s="2369"/>
      <c r="AI291" s="4511"/>
      <c r="AJ291" s="2920">
        <v>3</v>
      </c>
      <c r="AK291" s="2920">
        <f>P285</f>
        <v>1</v>
      </c>
      <c r="AL291" s="2920" t="str">
        <f>IF(AND(ISNUMBER(MATCH($F291,'Tablas Técnicas'!$L$10:$L$643,0)),INDEX($P302:$P308,Tablas!A$1)="",COUNTIF(AM291:$AS291,$F291)=0),$F291,IF(INDEX($P302:$P308,Tablas!A$1)="","",$F291&amp;INDEX($P302:$P308,Tablas!A$1)))</f>
        <v/>
      </c>
      <c r="AM291" s="2920" t="str">
        <f>IF(AND(ISNUMBER(MATCH($F291,'Tablas Técnicas'!$L$10:$L$643,0)),INDEX($P302:$P308,Tablas!B$1)="",COUNTIF(AN291:$AS291,$F291)=0),$F291,IF(INDEX($P302:$P308,Tablas!B$1)="","",$F291&amp;INDEX($P302:$P308,Tablas!B$1)))</f>
        <v/>
      </c>
      <c r="AN291" s="2920" t="str">
        <f>IF(AND(ISNUMBER(MATCH($F291,'Tablas Técnicas'!$L$10:$L$643,0)),INDEX($P302:$P308,Tablas!C$1)="",COUNTIF(AO291:$AS291,$F291)=0),$F291,IF(INDEX($P302:$P308,Tablas!C$1)="","",$F291&amp;INDEX($P302:$P308,Tablas!C$1)))</f>
        <v/>
      </c>
      <c r="AO291" s="2920" t="str">
        <f>IF(AND(ISNUMBER(MATCH($F291,'Tablas Técnicas'!$L$10:$L$643,0)),INDEX($P302:$P308,Tablas!D$1)="",COUNTIF(AP291:$AS291,$F291)=0),$F291,IF(INDEX($P302:$P308,Tablas!D$1)="","",$F291&amp;INDEX($P302:$P308,Tablas!D$1)))</f>
        <v/>
      </c>
      <c r="AP291" s="2920" t="str">
        <f>IF(AND(ISNUMBER(MATCH($F291,'Tablas Técnicas'!$L$10:$L$643,0)),INDEX($P302:$P308,Tablas!E$1)="",COUNTIF(AQ291:$AS291,$F291)=0),$F291,IF(INDEX($P302:$P308,Tablas!E$1)="","",$F291&amp;INDEX($P302:$P308,Tablas!E$1)))</f>
        <v/>
      </c>
      <c r="AQ291" s="2920" t="str">
        <f>IF(AND(ISNUMBER(MATCH($F291,'Tablas Técnicas'!$L$10:$L$643,0)),INDEX($P302:$P308,Tablas!F$1)="",COUNTIF(AR291:$AS291,$F291)=0),$F291,IF(INDEX($P302:$P308,Tablas!F$1)="","",$F291&amp;INDEX($P302:$P308,Tablas!F$1)))</f>
        <v/>
      </c>
      <c r="AR291" s="2920" t="str">
        <f>IF(AND(ISNUMBER(MATCH($F291,'Tablas Técnicas'!$L$10:$L$643,0)),INDEX($P302:$P308,Tablas!G$1)="",COUNTIF(AS291:$AS291,$F291)=0),$F291,IF(INDEX($P302:$P308,Tablas!G$1)="","",$F291&amp;INDEX($P302:$P308,Tablas!G$1)))</f>
        <v/>
      </c>
      <c r="AS291" s="2922">
        <f>V291+X291+Z291+AB291+AD291+AF291</f>
        <v>0</v>
      </c>
      <c r="AT291" s="2922">
        <f t="array" ref="AT291">SUM(IF($AL291:$AR291='Tablas Técnicas'!$L$10:$L$643,IF(D291="Primario",'Tablas Técnicas'!$E$10:$E$643,'Tablas Técnicas'!$F$10:$F$643)+IF(K291="Sostenimiento menor",'Tablas Técnicas'!$I$10:$I$643,IF(K291="sostenimiento mayor",'Tablas Técnicas'!$J$10:$J$643,0)),0),0)+VALUE(RIGHT(P291,2))+AU291+AV291</f>
        <v>0</v>
      </c>
      <c r="AU291" s="292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22">
        <f>(COUNTIF(AL291:AR291,"*Estado añadido:*")-1)*COUNTIF(AL291:AR291,"*Estado añadido:*")</f>
        <v>0</v>
      </c>
      <c r="AW291" s="2922">
        <f t="array" ref="AW291">SUM(IF($AL291:$AR291='Tablas Técnicas'!$L$10:$L$643,'Tablas Técnicas'!$G$10:$G$643,0))</f>
        <v>0</v>
      </c>
      <c r="AX291" s="2920" t="str">
        <f t="shared" si="73"/>
        <v/>
      </c>
      <c r="AY291" s="2920" t="str">
        <f t="shared" si="72"/>
        <v/>
      </c>
    </row>
    <row r="292" spans="1:51" ht="12.2" customHeight="1" x14ac:dyDescent="0.2">
      <c r="A292" s="2360"/>
      <c r="B292" s="2252">
        <f t="shared" si="71"/>
        <v>9</v>
      </c>
      <c r="C292" s="4508"/>
      <c r="D292" s="4392" t="s">
        <v>526</v>
      </c>
      <c r="E292" s="4393"/>
      <c r="F292" s="4473"/>
      <c r="G292" s="4474"/>
      <c r="H292" s="4474"/>
      <c r="I292" s="4474"/>
      <c r="J292" s="4420"/>
      <c r="K292" s="4475" t="s">
        <v>1459</v>
      </c>
      <c r="L292" s="4476"/>
      <c r="M292" s="4477"/>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39" t="str">
        <f>IFERROR(VLOOKUP(F292,'Tablas Técnicas'!$O$9:$T$88,5,FALSE),"")</f>
        <v/>
      </c>
      <c r="R292" s="4439"/>
      <c r="S292" s="4439"/>
      <c r="T292" s="4439"/>
      <c r="U292" s="4439"/>
      <c r="V292" s="2213"/>
      <c r="W292" s="2214"/>
      <c r="X292" s="2213"/>
      <c r="Y292" s="2215"/>
      <c r="Z292" s="2216"/>
      <c r="AA292" s="2214"/>
      <c r="AB292" s="2213"/>
      <c r="AC292" s="2215"/>
      <c r="AD292" s="2216"/>
      <c r="AE292" s="2214"/>
      <c r="AF292" s="2213"/>
      <c r="AG292" s="2217"/>
      <c r="AH292" s="2369"/>
      <c r="AI292" s="4511"/>
      <c r="AJ292" s="2920">
        <v>4</v>
      </c>
      <c r="AK292" s="2920">
        <f>P285</f>
        <v>1</v>
      </c>
      <c r="AL292" s="2920" t="str">
        <f>IF(AND(ISNUMBER(MATCH($F292,'Tablas Técnicas'!$L$10:$L$643,0)),INDEX($V302:$V308,Tablas!A$1)="",COUNTIF(AM292:$AS292,$F292)=0),$F292,IF(INDEX($V302:$V308,Tablas!A$1)="","",$F292&amp;INDEX($V302:$V308,Tablas!A$1)))</f>
        <v/>
      </c>
      <c r="AM292" s="2920" t="str">
        <f>IF(AND(ISNUMBER(MATCH($F292,'Tablas Técnicas'!$L$10:$L$643,0)),INDEX($V302:$V308,Tablas!B$1)="",COUNTIF(AN292:$AS292,$F292)=0),$F292,IF(INDEX($V302:$V308,Tablas!B$1)="","",$F292&amp;INDEX($V302:$V308,Tablas!B$1)))</f>
        <v/>
      </c>
      <c r="AN292" s="2920" t="str">
        <f>IF(AND(ISNUMBER(MATCH($F292,'Tablas Técnicas'!$L$10:$L$643,0)),INDEX($V302:$V308,Tablas!C$1)="",COUNTIF(AO292:$AS292,$F292)=0),$F292,IF(INDEX($V302:$V308,Tablas!C$1)="","",$F292&amp;INDEX($V302:$V308,Tablas!C$1)))</f>
        <v/>
      </c>
      <c r="AO292" s="2920" t="str">
        <f>IF(AND(ISNUMBER(MATCH($F292,'Tablas Técnicas'!$L$10:$L$643,0)),INDEX($V302:$V308,Tablas!D$1)="",COUNTIF(AP292:$AS292,$F292)=0),$F292,IF(INDEX($V302:$V308,Tablas!D$1)="","",$F292&amp;INDEX($V302:$V308,Tablas!D$1)))</f>
        <v/>
      </c>
      <c r="AP292" s="2920" t="str">
        <f>IF(AND(ISNUMBER(MATCH($F292,'Tablas Técnicas'!$L$10:$L$643,0)),INDEX($V302:$V308,Tablas!E$1)="",COUNTIF(AQ292:$AS292,$F292)=0),$F292,IF(INDEX($V302:$V308,Tablas!E$1)="","",$F292&amp;INDEX($V302:$V308,Tablas!E$1)))</f>
        <v/>
      </c>
      <c r="AQ292" s="2920" t="str">
        <f>IF(AND(ISNUMBER(MATCH($F292,'Tablas Técnicas'!$L$10:$L$643,0)),INDEX($V302:$V308,Tablas!F$1)="",COUNTIF(AR292:$AS292,$F292)=0),$F292,IF(INDEX($V302:$V308,Tablas!F$1)="","",$F292&amp;INDEX($V302:$V308,Tablas!F$1)))</f>
        <v/>
      </c>
      <c r="AR292" s="2920" t="str">
        <f>IF(AND(ISNUMBER(MATCH($F292,'Tablas Técnicas'!$L$10:$L$643,0)),INDEX($V302:$V308,Tablas!G$1)="",COUNTIF(AS292:$AS292,$F292)=0),$F292,IF(INDEX($V302:$V308,Tablas!G$1)="","",$F292&amp;INDEX($V302:$V308,Tablas!G$1)))</f>
        <v/>
      </c>
      <c r="AS292" s="2922">
        <f>V292+X292+Z292+AB292+AD292+AF292</f>
        <v>0</v>
      </c>
      <c r="AT292" s="2922">
        <f t="array" ref="AT292">SUM(IF($AL292:$AR292='Tablas Técnicas'!$L$10:$L$643,IF(D292="Primario",'Tablas Técnicas'!$E$10:$E$643,'Tablas Técnicas'!$F$10:$F$643)+IF(K292="Sostenimiento menor",'Tablas Técnicas'!$I$10:$I$643,IF(K292="sostenimiento mayor",'Tablas Técnicas'!$J$10:$J$643,0)),0),0)+VALUE(RIGHT(P292,2))+AU292+AV292</f>
        <v>0</v>
      </c>
      <c r="AU292" s="292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22">
        <f>(COUNTIF(AL292:AR292,"*Estado añadido:*")-1)*COUNTIF(AL292:AR292,"*Estado añadido:*")</f>
        <v>0</v>
      </c>
      <c r="AW292" s="2922">
        <f t="array" ref="AW292">SUM(IF($AL292:$AR292='Tablas Técnicas'!$L$10:$L$643,'Tablas Técnicas'!$G$10:$G$643,0))</f>
        <v>0</v>
      </c>
      <c r="AX292" s="2920" t="str">
        <f t="shared" si="73"/>
        <v/>
      </c>
      <c r="AY292" s="2920" t="str">
        <f>IFERROR(LEFT(AX292,LEN(AX292)-2)&amp;"), ","")</f>
        <v/>
      </c>
    </row>
    <row r="293" spans="1:51" ht="12.2" customHeight="1" thickBot="1" x14ac:dyDescent="0.25">
      <c r="A293" s="2360"/>
      <c r="B293" s="2252">
        <f t="shared" si="71"/>
        <v>9</v>
      </c>
      <c r="C293" s="4508"/>
      <c r="D293" s="4395" t="s">
        <v>526</v>
      </c>
      <c r="E293" s="4396"/>
      <c r="F293" s="4494"/>
      <c r="G293" s="4495"/>
      <c r="H293" s="4495"/>
      <c r="I293" s="4495"/>
      <c r="J293" s="4496"/>
      <c r="K293" s="4470" t="s">
        <v>1459</v>
      </c>
      <c r="L293" s="4471"/>
      <c r="M293" s="4472"/>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46" t="str">
        <f>IFERROR(VLOOKUP(F293,'Tablas Técnicas'!$O$9:$T$88,5,FALSE),"")</f>
        <v/>
      </c>
      <c r="R293" s="4446"/>
      <c r="S293" s="4446"/>
      <c r="T293" s="4446"/>
      <c r="U293" s="4446"/>
      <c r="V293" s="2223"/>
      <c r="W293" s="2224"/>
      <c r="X293" s="2223"/>
      <c r="Y293" s="2225"/>
      <c r="Z293" s="2226"/>
      <c r="AA293" s="2224"/>
      <c r="AB293" s="2223"/>
      <c r="AC293" s="2225"/>
      <c r="AD293" s="2226"/>
      <c r="AE293" s="2224"/>
      <c r="AF293" s="2223"/>
      <c r="AG293" s="2227"/>
      <c r="AH293" s="2369"/>
      <c r="AI293" s="4511"/>
      <c r="AJ293" s="2920">
        <v>5</v>
      </c>
      <c r="AK293" s="2920">
        <f>P285</f>
        <v>1</v>
      </c>
      <c r="AL293" s="2920" t="str">
        <f>IF(AND(ISNUMBER(MATCH($F293,'Tablas Técnicas'!$L$10:$L$643,0)),INDEX($AB302:$AB308,Tablas!A$1)="",COUNTIF(AM293:$AS293,$F293)=0),$F293,IF(INDEX($AB302:$AB308,Tablas!A$1)="","",$F293&amp;INDEX($AB302:$AB308,Tablas!A$1)))</f>
        <v/>
      </c>
      <c r="AM293" s="2920" t="str">
        <f>IF(AND(ISNUMBER(MATCH($F293,'Tablas Técnicas'!$L$10:$L$643,0)),INDEX($AB302:$AB308,Tablas!B$1)="",COUNTIF(AN293:$AS293,$F293)=0),$F293,IF(INDEX($AB302:$AB308,Tablas!B$1)="","",$F293&amp;INDEX($AB302:$AB308,Tablas!B$1)))</f>
        <v/>
      </c>
      <c r="AN293" s="2920" t="str">
        <f>IF(AND(ISNUMBER(MATCH($F293,'Tablas Técnicas'!$L$10:$L$643,0)),INDEX($AB302:$AB308,Tablas!C$1)="",COUNTIF(AO293:$AS293,$F293)=0),$F293,IF(INDEX($AB302:$AB308,Tablas!C$1)="","",$F293&amp;INDEX($AB302:$AB308,Tablas!C$1)))</f>
        <v/>
      </c>
      <c r="AO293" s="2920" t="str">
        <f>IF(AND(ISNUMBER(MATCH($F293,'Tablas Técnicas'!$L$10:$L$643,0)),INDEX($AB302:$AB308,Tablas!D$1)="",COUNTIF(AP293:$AS293,$F293)=0),$F293,IF(INDEX($AB302:$AB308,Tablas!D$1)="","",$F293&amp;INDEX($AB302:$AB308,Tablas!D$1)))</f>
        <v/>
      </c>
      <c r="AP293" s="2920" t="str">
        <f>IF(AND(ISNUMBER(MATCH($F293,'Tablas Técnicas'!$L$10:$L$643,0)),INDEX($AB302:$AB308,Tablas!E$1)="",COUNTIF(AQ293:$AS293,$F293)=0),$F293,IF(INDEX($AB302:$AB308,Tablas!E$1)="","",$F293&amp;INDEX($AB302:$AB308,Tablas!E$1)))</f>
        <v/>
      </c>
      <c r="AQ293" s="2920" t="str">
        <f>IF(AND(ISNUMBER(MATCH($F293,'Tablas Técnicas'!$L$10:$L$643,0)),INDEX($AB302:$AB308,Tablas!F$1)="",COUNTIF(AR293:$AS293,$F293)=0),$F293,IF(INDEX($AB302:$AB308,Tablas!F$1)="","",$F293&amp;INDEX($AB302:$AB308,Tablas!F$1)))</f>
        <v/>
      </c>
      <c r="AR293" s="2920" t="str">
        <f>IF(AND(ISNUMBER(MATCH($F293,'Tablas Técnicas'!$L$10:$L$643,0)),INDEX($AB302:$AB308,Tablas!G$1)="",COUNTIF(AS293:$AS293,$F293)=0),$F293,IF(INDEX($AB302:$AB308,Tablas!G$1)="","",$F293&amp;INDEX($AB302:$AB308,Tablas!G$1)))</f>
        <v/>
      </c>
      <c r="AS293" s="2922">
        <f>V293+X293+Z293+AB293+AD293+AF293</f>
        <v>0</v>
      </c>
      <c r="AT293" s="2922">
        <f t="array" ref="AT293">SUM(IF($AL293:$AR293='Tablas Técnicas'!$L$10:$L$643,IF(D293="Primario",'Tablas Técnicas'!$E$10:$E$643,'Tablas Técnicas'!$F$10:$F$643)+IF(K293="Sostenimiento menor",'Tablas Técnicas'!$I$10:$I$643,IF(K293="sostenimiento mayor",'Tablas Técnicas'!$J$10:$J$643,0)),0),0)+VALUE(RIGHT(P293,2))+AU293+AV293</f>
        <v>0</v>
      </c>
      <c r="AU293" s="292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22">
        <f>(COUNTIF(AL293:AR293,"*Estado añadido:*")-1)*COUNTIF(AL293:AR293,"*Estado añadido:*")</f>
        <v>0</v>
      </c>
      <c r="AW293" s="2922">
        <f t="array" ref="AW293">SUM(IF($AL293:$AR293='Tablas Técnicas'!$L$10:$L$643,'Tablas Técnicas'!$G$10:$G$643,0))</f>
        <v>0</v>
      </c>
      <c r="AX293" s="2920" t="str">
        <f t="shared" si="73"/>
        <v/>
      </c>
      <c r="AY293" s="2920" t="str">
        <f t="shared" ref="AY293" si="74">IFERROR(LEFT(AX293,LEN(AX293)-2)&amp;"), ","")</f>
        <v/>
      </c>
    </row>
    <row r="294" spans="1:51" ht="12.2" customHeight="1" x14ac:dyDescent="0.2">
      <c r="A294" s="2360"/>
      <c r="B294" s="2252">
        <f t="shared" si="71"/>
        <v>9</v>
      </c>
      <c r="C294" s="4508"/>
      <c r="D294" s="4447" t="s">
        <v>2853</v>
      </c>
      <c r="E294" s="4448"/>
      <c r="F294" s="4435"/>
      <c r="G294" s="4436"/>
      <c r="H294" s="4436"/>
      <c r="I294" s="4436"/>
      <c r="J294" s="4437"/>
      <c r="K294" s="4411"/>
      <c r="L294" s="4412"/>
      <c r="M294" s="4413"/>
      <c r="N294" s="2081" t="str">
        <f>IFERROR(INDEX('Tablas Técnicas'!$Q$200:$Q$299,MATCH(F294&amp;K294,'Tablas Técnicas'!$S$200:$S$299,0)),"")</f>
        <v/>
      </c>
      <c r="O294" s="4414"/>
      <c r="P294" s="4415"/>
      <c r="Q294" s="4416"/>
      <c r="R294" s="4415"/>
      <c r="S294" s="2258" t="str">
        <f>IFERROR("Nivel: "&amp;MAX(1,INDEX('Tablas Técnicas'!$R$200:$R$299,MATCH(F294&amp;K294,'Tablas Técnicas'!$S$200:$S$299,0))),"")</f>
        <v/>
      </c>
      <c r="T294" s="2082"/>
      <c r="U294" s="2083" t="str">
        <f>IFERROR("("&amp;VLOOKUP(F294,'Tablas Técnicas'!$V$199:$X$225,3,FALSE)&amp;")","")</f>
        <v/>
      </c>
      <c r="V294" s="4356" t="s">
        <v>9836</v>
      </c>
      <c r="W294" s="4357"/>
      <c r="X294" s="4358"/>
      <c r="Y294" s="2528">
        <v>0</v>
      </c>
      <c r="Z294" s="4359" t="s">
        <v>9013</v>
      </c>
      <c r="AA294" s="4360"/>
      <c r="AB294" s="4361"/>
      <c r="AC294" s="2528">
        <v>0</v>
      </c>
      <c r="AD294" s="4362" t="str">
        <f>"Ki sin repartir: "&amp;AL302-AL303&amp;IF(AM302=0,""," ("&amp;AM302-AM303&amp;")")</f>
        <v>Ki sin repartir: 0</v>
      </c>
      <c r="AE294" s="4363"/>
      <c r="AF294" s="4363"/>
      <c r="AG294" s="4364"/>
      <c r="AH294" s="2369"/>
      <c r="AI294" s="4511"/>
      <c r="AJ294" s="2920">
        <v>1</v>
      </c>
      <c r="AK294" s="2920">
        <f>P285</f>
        <v>1</v>
      </c>
      <c r="AL294" s="2920" t="e">
        <f>VLOOKUP(F294,'Tablas Técnicas'!$V$199:$X$221,2,FALSE)</f>
        <v>#N/A</v>
      </c>
      <c r="AM294" s="2920"/>
      <c r="AN294" s="2921"/>
      <c r="AO294" s="2920"/>
      <c r="AP294" s="2920"/>
      <c r="AQ294" s="2921"/>
      <c r="AR294" s="2920"/>
      <c r="AS294" s="2920"/>
      <c r="AT294" s="2920"/>
      <c r="AU294" s="2920"/>
      <c r="AV294" s="2920"/>
      <c r="AW294" s="2922"/>
      <c r="AX294" s="2922"/>
      <c r="AY294" s="2920" t="str">
        <f>IF(F294="","",F294&amp;IF(K294="",""," ("&amp;IF(F294="Atadura Elemental",O294&amp;IF(Q294="","",", "&amp;Q294),K294)&amp;")")&amp;", ")</f>
        <v/>
      </c>
    </row>
    <row r="295" spans="1:51" ht="12.2" customHeight="1" x14ac:dyDescent="0.2">
      <c r="A295" s="2360"/>
      <c r="B295" s="2252">
        <f t="shared" si="71"/>
        <v>9</v>
      </c>
      <c r="C295" s="4508"/>
      <c r="D295" s="4449"/>
      <c r="E295" s="4450"/>
      <c r="F295" s="4417"/>
      <c r="G295" s="4418"/>
      <c r="H295" s="4418"/>
      <c r="I295" s="4418"/>
      <c r="J295" s="4419"/>
      <c r="K295" s="4420"/>
      <c r="L295" s="4421"/>
      <c r="M295" s="4422"/>
      <c r="N295" s="2084" t="str">
        <f>IFERROR(INDEX('Tablas Técnicas'!$Q$200:$Q$299,MATCH(F295&amp;K295,'Tablas Técnicas'!$S$200:$S$299,0)),"")</f>
        <v/>
      </c>
      <c r="O295" s="4423"/>
      <c r="P295" s="4424"/>
      <c r="Q295" s="4425"/>
      <c r="R295" s="4424"/>
      <c r="S295" s="2077" t="str">
        <f>IFERROR("Nivel: "&amp;MAX(1,INDEX('Tablas Técnicas'!$R$200:$R$299,MATCH(F295&amp;K295,'Tablas Técnicas'!$S$200:$S$299,0))),"")</f>
        <v/>
      </c>
      <c r="T295" s="2187"/>
      <c r="U295" s="2076" t="str">
        <f>IFERROR("("&amp;VLOOKUP(F295,'Tablas Técnicas'!$V$199:$X$225,3,FALSE)&amp;")","")</f>
        <v/>
      </c>
      <c r="V295" s="4353" t="str">
        <f>"Mod. "&amp;V287</f>
        <v>Mod. AGI</v>
      </c>
      <c r="W295" s="4354"/>
      <c r="X295" s="4353" t="str">
        <f t="shared" ref="X295" si="75">"Mod. "&amp;X287</f>
        <v>Mod. CON</v>
      </c>
      <c r="Y295" s="4354"/>
      <c r="Z295" s="4353" t="str">
        <f t="shared" ref="Z295" si="76">"Mod. "&amp;Z287</f>
        <v>Mod. DES</v>
      </c>
      <c r="AA295" s="4354"/>
      <c r="AB295" s="4353" t="str">
        <f t="shared" ref="AB295" si="77">"Mod. "&amp;AB287</f>
        <v>Mod. FUE</v>
      </c>
      <c r="AC295" s="4354"/>
      <c r="AD295" s="4353" t="str">
        <f t="shared" ref="AD295" si="78">"Mod. "&amp;AD287</f>
        <v>Mod. POD</v>
      </c>
      <c r="AE295" s="4354"/>
      <c r="AF295" s="4353" t="str">
        <f t="shared" ref="AF295" si="79">"Mod. "&amp;AF287</f>
        <v>Mod. VOL</v>
      </c>
      <c r="AG295" s="4355"/>
      <c r="AH295" s="2369"/>
      <c r="AI295" s="4511"/>
      <c r="AJ295" s="2920">
        <v>2</v>
      </c>
      <c r="AK295" s="2920">
        <f>P285</f>
        <v>1</v>
      </c>
      <c r="AL295" s="2920" t="e">
        <f>VLOOKUP(F295,'Tablas Técnicas'!$V$199:$X$221,2,FALSE)</f>
        <v>#N/A</v>
      </c>
      <c r="AM295" s="2920"/>
      <c r="AN295" s="2921"/>
      <c r="AO295" s="2920"/>
      <c r="AP295" s="2920"/>
      <c r="AQ295" s="2921"/>
      <c r="AR295" s="2920"/>
      <c r="AS295" s="2920"/>
      <c r="AT295" s="2920"/>
      <c r="AU295" s="2920"/>
      <c r="AV295" s="2920"/>
      <c r="AW295" s="2922"/>
      <c r="AX295" s="2922"/>
      <c r="AY295" s="2920" t="str">
        <f>IF(F295="","",F295&amp;IF(K295="",""," ("&amp;IF(F295="Atadura Elemental",O295&amp;IF(Q295="","",", "&amp;Q295),K295)&amp;")")&amp;", ")</f>
        <v/>
      </c>
    </row>
    <row r="296" spans="1:51" ht="12.2" customHeight="1" thickBot="1" x14ac:dyDescent="0.25">
      <c r="A296" s="2360"/>
      <c r="B296" s="2252">
        <f t="shared" si="71"/>
        <v>9</v>
      </c>
      <c r="C296" s="4508"/>
      <c r="D296" s="4451"/>
      <c r="E296" s="4452"/>
      <c r="F296" s="4426"/>
      <c r="G296" s="4427"/>
      <c r="H296" s="4427"/>
      <c r="I296" s="4427"/>
      <c r="J296" s="4428"/>
      <c r="K296" s="4429"/>
      <c r="L296" s="4430"/>
      <c r="M296" s="4431"/>
      <c r="N296" s="2085" t="str">
        <f>IFERROR(INDEX('Tablas Técnicas'!$Q$200:$Q$299,MATCH(F296&amp;K296,'Tablas Técnicas'!$S$200:$S$299,0)),"")</f>
        <v/>
      </c>
      <c r="O296" s="4432"/>
      <c r="P296" s="4433"/>
      <c r="Q296" s="4434"/>
      <c r="R296" s="4433"/>
      <c r="S296" s="2362" t="str">
        <f>IFERROR("Nivel: "&amp;MAX(1,INDEX('Tablas Técnicas'!$R$200:$R$299,MATCH(F296&amp;K296,'Tablas Técnicas'!$S$200:$S$299,0))),"")</f>
        <v/>
      </c>
      <c r="T296" s="2363"/>
      <c r="U296" s="2188" t="str">
        <f>IFERROR("("&amp;VLOOKUP(F296,'Tablas Técnicas'!$V$199:$X$225,3,FALSE)&amp;")","")</f>
        <v/>
      </c>
      <c r="V296" s="4368"/>
      <c r="W296" s="4367"/>
      <c r="X296" s="4367"/>
      <c r="Y296" s="4367"/>
      <c r="Z296" s="4367"/>
      <c r="AA296" s="4367"/>
      <c r="AB296" s="4367"/>
      <c r="AC296" s="4367"/>
      <c r="AD296" s="4367"/>
      <c r="AE296" s="4367"/>
      <c r="AF296" s="4367"/>
      <c r="AG296" s="4438"/>
      <c r="AH296" s="2369"/>
      <c r="AI296" s="4511"/>
      <c r="AJ296" s="2920">
        <v>3</v>
      </c>
      <c r="AK296" s="2920">
        <f>P285</f>
        <v>1</v>
      </c>
      <c r="AL296" s="2920" t="e">
        <f>VLOOKUP(F296,'Tablas Técnicas'!$V$199:$X$221,2,FALSE)</f>
        <v>#N/A</v>
      </c>
      <c r="AM296" s="2920"/>
      <c r="AN296" s="2921"/>
      <c r="AO296" s="2920"/>
      <c r="AP296" s="2920"/>
      <c r="AQ296" s="2921"/>
      <c r="AR296" s="2922"/>
      <c r="AS296" s="2922"/>
      <c r="AT296" s="2922"/>
      <c r="AU296" s="2922"/>
      <c r="AV296" s="2922"/>
      <c r="AW296" s="2922"/>
      <c r="AX296" s="2922"/>
      <c r="AY296" s="2920" t="str">
        <f>IF(F296="","",F296&amp;IF(K296="",""," ("&amp;IF(F296="Atadura Elemental",O296&amp;IF(Q296="","",", "&amp;Q296),K296)&amp;")")&amp;", ")</f>
        <v/>
      </c>
    </row>
    <row r="297" spans="1:51" ht="12.2" customHeight="1" x14ac:dyDescent="0.2">
      <c r="A297" s="2360"/>
      <c r="B297" s="2252">
        <f t="shared" si="71"/>
        <v>9</v>
      </c>
      <c r="C297" s="4508"/>
      <c r="D297" s="4386" t="s">
        <v>9511</v>
      </c>
      <c r="E297" s="4387"/>
      <c r="F297" s="4387"/>
      <c r="G297" s="4387"/>
      <c r="H297" s="4387"/>
      <c r="I297" s="4387"/>
      <c r="J297" s="4387"/>
      <c r="K297" s="4387"/>
      <c r="L297" s="4387"/>
      <c r="M297" s="4387"/>
      <c r="N297" s="4387"/>
      <c r="O297" s="4387"/>
      <c r="P297" s="4387"/>
      <c r="Q297" s="4387"/>
      <c r="R297" s="4387"/>
      <c r="S297" s="4387"/>
      <c r="T297" s="4387"/>
      <c r="U297" s="4387"/>
      <c r="V297" s="4518"/>
      <c r="W297" s="4518"/>
      <c r="X297" s="4518"/>
      <c r="Y297" s="4518"/>
      <c r="Z297" s="4518"/>
      <c r="AA297" s="4518"/>
      <c r="AB297" s="4518"/>
      <c r="AC297" s="4518"/>
      <c r="AD297" s="4518"/>
      <c r="AE297" s="4518"/>
      <c r="AF297" s="4518"/>
      <c r="AG297" s="4389"/>
      <c r="AH297" s="2369"/>
      <c r="AI297" s="4511"/>
      <c r="AJ297" s="2920"/>
      <c r="AK297" s="2920"/>
      <c r="AL297" s="2920"/>
      <c r="AM297" s="2920"/>
      <c r="AN297" s="2921" t="s">
        <v>9014</v>
      </c>
      <c r="AO297" s="2920" t="e">
        <f>LEFT(AY289&amp;AY290&amp;AY291&amp;AY292&amp;AY293,LEN(AY289&amp;AY290&amp;AY291&amp;AY292&amp;AY293)-2)</f>
        <v>#VALUE!</v>
      </c>
      <c r="AP297" s="2920"/>
      <c r="AQ297" s="2921"/>
      <c r="AR297" s="2922"/>
      <c r="AS297" s="2922"/>
      <c r="AT297" s="2922"/>
      <c r="AU297" s="2921"/>
      <c r="AV297" s="2921"/>
      <c r="AW297" s="2922"/>
      <c r="AX297" s="2922"/>
      <c r="AY297" s="2920"/>
    </row>
    <row r="298" spans="1:51" ht="12.2" customHeight="1" x14ac:dyDescent="0.2">
      <c r="A298" s="2360"/>
      <c r="B298" s="2252">
        <f t="shared" si="71"/>
        <v>9</v>
      </c>
      <c r="C298" s="4508"/>
      <c r="D298" s="4369" t="str">
        <f>IF(F289="","",F289)</f>
        <v/>
      </c>
      <c r="E298" s="4370"/>
      <c r="F298" s="4370"/>
      <c r="G298" s="4370"/>
      <c r="H298" s="4370"/>
      <c r="I298" s="4371"/>
      <c r="J298" s="4369" t="str">
        <f>IF(F290="","",F290)</f>
        <v/>
      </c>
      <c r="K298" s="4370"/>
      <c r="L298" s="4370"/>
      <c r="M298" s="4370"/>
      <c r="N298" s="4370"/>
      <c r="O298" s="4371"/>
      <c r="P298" s="4370" t="str">
        <f>IF(F291="","",F291)</f>
        <v/>
      </c>
      <c r="Q298" s="4370"/>
      <c r="R298" s="4370"/>
      <c r="S298" s="4370"/>
      <c r="T298" s="4370"/>
      <c r="U298" s="4371"/>
      <c r="V298" s="4369" t="str">
        <f>IF(F292="","",F292)</f>
        <v/>
      </c>
      <c r="W298" s="4370"/>
      <c r="X298" s="4370"/>
      <c r="Y298" s="4370"/>
      <c r="Z298" s="4370"/>
      <c r="AA298" s="4371"/>
      <c r="AB298" s="4370" t="str">
        <f>IF(F293="","",F293)</f>
        <v/>
      </c>
      <c r="AC298" s="4370"/>
      <c r="AD298" s="4370"/>
      <c r="AE298" s="4370"/>
      <c r="AF298" s="4370"/>
      <c r="AG298" s="4385"/>
      <c r="AH298" s="2369"/>
      <c r="AI298" s="4511"/>
      <c r="AJ298" s="2920"/>
      <c r="AK298" s="2920"/>
      <c r="AL298" s="2920"/>
      <c r="AM298" s="2920"/>
      <c r="AN298" s="2921" t="s">
        <v>9015</v>
      </c>
      <c r="AO298" s="2920" t="e">
        <f>LEFT(AY294&amp;AY295&amp;AY296,LEN(AY294&amp;AY295&amp;AY296)-2)</f>
        <v>#VALUE!</v>
      </c>
      <c r="AP298" s="2920"/>
      <c r="AQ298" s="2921"/>
      <c r="AR298" s="2922"/>
      <c r="AS298" s="2922"/>
      <c r="AT298" s="2922"/>
      <c r="AU298" s="2921"/>
      <c r="AV298" s="2921"/>
      <c r="AW298" s="2922"/>
      <c r="AX298" s="2922"/>
      <c r="AY298" s="2920"/>
    </row>
    <row r="299" spans="1:51" ht="12.2" customHeight="1" x14ac:dyDescent="0.2">
      <c r="A299" s="2360"/>
      <c r="B299" s="2252">
        <f t="shared" si="71"/>
        <v>9</v>
      </c>
      <c r="C299" s="4508"/>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511"/>
      <c r="AJ299" s="2920"/>
      <c r="AK299" s="2920"/>
      <c r="AL299" s="2920"/>
      <c r="AM299" s="2920"/>
      <c r="AN299" s="2921"/>
      <c r="AO299" s="2920"/>
      <c r="AP299" s="2920"/>
      <c r="AQ299" s="2921"/>
      <c r="AR299" s="2922"/>
      <c r="AS299" s="2922"/>
      <c r="AT299" s="2922"/>
      <c r="AU299" s="2922"/>
      <c r="AV299" s="2922"/>
      <c r="AW299" s="2922"/>
      <c r="AX299" s="2922"/>
      <c r="AY299" s="2920"/>
    </row>
    <row r="300" spans="1:51" ht="12.2" customHeight="1" x14ac:dyDescent="0.2">
      <c r="A300" s="2360"/>
      <c r="B300" s="2252">
        <f t="shared" si="71"/>
        <v>9</v>
      </c>
      <c r="C300" s="4508"/>
      <c r="D300" s="2198" t="s">
        <v>9016</v>
      </c>
      <c r="E300" s="2189"/>
      <c r="F300" s="2190"/>
      <c r="G300" s="2191"/>
      <c r="H300" s="2191"/>
      <c r="I300" s="2188" t="str">
        <f>IFERROR(IF(D298="Ataque Elemental",IF(NOT(ISNA(VLOOKUP(D302,'Tablas Técnicas'!$Z$25:$Z$30,1,0))),D302,"Variable"),VLOOKUP(D298,'Tablas Técnicas'!$O$9:$W$88,9,FALSE)),"")</f>
        <v/>
      </c>
      <c r="J300" s="2088" t="s">
        <v>9016</v>
      </c>
      <c r="K300" s="2364"/>
      <c r="L300" s="2365"/>
      <c r="M300" s="2366"/>
      <c r="N300" s="2366"/>
      <c r="O300" s="2089" t="str">
        <f>IFERROR(IF(J298="Ataque Elemental",IF(NOT(ISNA(VLOOKUP(J302,'Tablas Técnicas'!$Z$25:$Z$30,1,0))),J302,"Variable"),VLOOKUP(J298,'Tablas Técnicas'!$O$9:$W$88,9,FALSE)),"")</f>
        <v/>
      </c>
      <c r="P300" s="2367" t="s">
        <v>9016</v>
      </c>
      <c r="Q300" s="2364"/>
      <c r="R300" s="2365"/>
      <c r="S300" s="2366"/>
      <c r="T300" s="2366"/>
      <c r="U300" s="2188" t="str">
        <f>IFERROR(IF(P298="Ataque Elemental",IF(NOT(ISNA(VLOOKUP(P302,'Tablas Técnicas'!$Z$25:$Z$30,1,0))),P302,"Variable"),VLOOKUP(P298,'Tablas Técnicas'!$O$9:$W$88,9,FALSE)),"")</f>
        <v/>
      </c>
      <c r="V300" s="2088" t="s">
        <v>9016</v>
      </c>
      <c r="W300" s="2364"/>
      <c r="X300" s="2365"/>
      <c r="Y300" s="2366"/>
      <c r="Z300" s="2366"/>
      <c r="AA300" s="2089" t="str">
        <f>IFERROR(IF(V298="Ataque Elemental",IF(NOT(ISNA(VLOOKUP(V302,'Tablas Técnicas'!$Z$25:$Z$30,1,0))),V302,"Variable"),VLOOKUP(V298,'Tablas Técnicas'!$O$9:$W$88,9,FALSE)),"")</f>
        <v/>
      </c>
      <c r="AB300" s="2367" t="s">
        <v>9016</v>
      </c>
      <c r="AC300" s="2364"/>
      <c r="AD300" s="2365"/>
      <c r="AE300" s="2366"/>
      <c r="AF300" s="2366"/>
      <c r="AG300" s="2203" t="str">
        <f>IFERROR(IF(AB298="Ataque Elemental",IF(NOT(ISNA(VLOOKUP(AB302,'Tablas Técnicas'!$Z$25:$Z$30,1,0))),AB302,"Variable"),VLOOKUP(AB298,'Tablas Técnicas'!$O$9:$W$88,9,FALSE)),"")</f>
        <v/>
      </c>
      <c r="AH300" s="2369"/>
      <c r="AI300" s="4511"/>
      <c r="AJ300" s="2920"/>
      <c r="AK300" s="2922" t="s">
        <v>1376</v>
      </c>
      <c r="AL300" s="2922" t="s">
        <v>1501</v>
      </c>
      <c r="AM300" s="2922" t="s">
        <v>1381</v>
      </c>
      <c r="AN300" s="2922" t="s">
        <v>1386</v>
      </c>
      <c r="AO300" s="2922" t="s">
        <v>1394</v>
      </c>
      <c r="AP300" s="2922" t="s">
        <v>1395</v>
      </c>
      <c r="AQ300" s="2921"/>
      <c r="AR300" s="2922"/>
      <c r="AS300" s="2922"/>
      <c r="AT300" s="2922"/>
      <c r="AU300" s="2922"/>
      <c r="AV300" s="2922"/>
      <c r="AW300" s="2922"/>
      <c r="AX300" s="2922"/>
      <c r="AY300" s="2920"/>
    </row>
    <row r="301" spans="1:51" ht="12.2" customHeight="1" x14ac:dyDescent="0.2">
      <c r="A301" s="2360"/>
      <c r="B301" s="2252">
        <f t="shared" si="71"/>
        <v>9</v>
      </c>
      <c r="C301" s="4508"/>
      <c r="D301" s="4369" t="s">
        <v>2861</v>
      </c>
      <c r="E301" s="4370"/>
      <c r="F301" s="4370"/>
      <c r="G301" s="4370"/>
      <c r="H301" s="4371"/>
      <c r="I301" s="2090" t="s">
        <v>1406</v>
      </c>
      <c r="J301" s="4369" t="s">
        <v>2861</v>
      </c>
      <c r="K301" s="4370"/>
      <c r="L301" s="4370"/>
      <c r="M301" s="4370"/>
      <c r="N301" s="4371"/>
      <c r="O301" s="2091" t="s">
        <v>1406</v>
      </c>
      <c r="P301" s="4369" t="s">
        <v>2861</v>
      </c>
      <c r="Q301" s="4370"/>
      <c r="R301" s="4370"/>
      <c r="S301" s="4370"/>
      <c r="T301" s="4371"/>
      <c r="U301" s="2091" t="s">
        <v>1406</v>
      </c>
      <c r="V301" s="4369"/>
      <c r="W301" s="4370"/>
      <c r="X301" s="4370"/>
      <c r="Y301" s="4370"/>
      <c r="Z301" s="4371"/>
      <c r="AA301" s="2091" t="s">
        <v>1406</v>
      </c>
      <c r="AB301" s="4369" t="s">
        <v>2861</v>
      </c>
      <c r="AC301" s="4370"/>
      <c r="AD301" s="4370"/>
      <c r="AE301" s="4370"/>
      <c r="AF301" s="4371"/>
      <c r="AG301" s="2092" t="s">
        <v>1406</v>
      </c>
      <c r="AH301" s="2369"/>
      <c r="AI301" s="4511"/>
      <c r="AJ301" s="2925" t="s">
        <v>9548</v>
      </c>
      <c r="AK301" s="2920" t="str">
        <f>IF(V287="","",IF(SUM(V289:V293)=0,"",V287&amp;" "&amp;SUM(V289:V293)+V296&amp;IF(SUM(W289:W293)=0,""," ("&amp;SUM(W289:W293)&amp;")")&amp;", "))</f>
        <v/>
      </c>
      <c r="AL301" s="2920" t="str">
        <f>IF(X287="","",IF(SUM(X289:X293)=0,"",X287&amp;" "&amp;SUM(X289:X293)+X296&amp;IF(SUM(Y289:Y293)=0,""," ("&amp;SUM(Y289:Y293)&amp;")")&amp;", "))</f>
        <v/>
      </c>
      <c r="AM301" s="2920" t="str">
        <f>IF(Z287="","",IF(SUM(Z289:Z293)=0,"",Z287&amp;" "&amp;SUM(Z289:Z293)+Z296&amp;IF(SUM(AA289:AA293)=0,""," ("&amp;SUM(AA289:AA293)&amp;")")&amp;", "))</f>
        <v/>
      </c>
      <c r="AN301" s="2920" t="str">
        <f>IF(AB287="","",IF(SUM(AB289:AB293)=0,"",AB287&amp;" "&amp;SUM(AB289:AB293)+AB296&amp;IF(SUM(AC289:AC293)=0,""," ("&amp;SUM(AC289:AC293)&amp;")")&amp;", "))</f>
        <v/>
      </c>
      <c r="AO301" s="2920" t="str">
        <f>IF(AD287="","",IF(SUM(AD289:AD293)=0,"",AD287&amp;" "&amp;SUM(AD289:AD293)+AD296&amp;IF(SUM(AE289:AE293)=0,""," ("&amp;SUM(AE289:AE293)&amp;")")&amp;", "))</f>
        <v/>
      </c>
      <c r="AP301" s="2920" t="str">
        <f>IF(AF287="","",IF(SUM(AF289:AF293)=0,"",AF287&amp;" "&amp;SUM(AF289:AF293)+AF296&amp;IF(SUM(AG289:AG293)=0,""," ("&amp;SUM(AG289:AG293)&amp;")")&amp;", "))</f>
        <v/>
      </c>
      <c r="AQ301" s="2920"/>
      <c r="AR301" s="2920"/>
      <c r="AS301" s="2920"/>
      <c r="AT301" s="2920"/>
      <c r="AU301" s="2920"/>
      <c r="AV301" s="2920"/>
      <c r="AW301" s="2920"/>
      <c r="AX301" s="2920"/>
      <c r="AY301" s="2920"/>
    </row>
    <row r="302" spans="1:51" ht="12.2" customHeight="1" x14ac:dyDescent="0.2">
      <c r="A302" s="2360"/>
      <c r="B302" s="2252">
        <f t="shared" si="71"/>
        <v>9</v>
      </c>
      <c r="C302" s="4508"/>
      <c r="D302" s="4390"/>
      <c r="E302" s="4366"/>
      <c r="F302" s="4366"/>
      <c r="G302" s="4366"/>
      <c r="H302" s="4366"/>
      <c r="I302" s="2093" t="str">
        <f>IF(OR(D298="",D302=""),"",MAX(1,SUMPRODUCT(--(INDEX('Tablas Técnicas'!$C$10:$L$643,,1)=D298),--(INDEX('Tablas Técnicas'!$C$10:$L$643,,2)=D302),INDEX('Tablas Técnicas'!$C$10:$L$643,,9))))</f>
        <v/>
      </c>
      <c r="J302" s="4365"/>
      <c r="K302" s="4366"/>
      <c r="L302" s="4366"/>
      <c r="M302" s="4366"/>
      <c r="N302" s="4366"/>
      <c r="O302" s="2093" t="str">
        <f>IF(OR(J298="",J302=""),"",MAX(1,SUMPRODUCT(--(INDEX('Tablas Técnicas'!$C$10:$L$643,,1)=J298),--(INDEX('Tablas Técnicas'!$C$10:$L$643,,2)=J302),INDEX('Tablas Técnicas'!$C$10:$L$643,,9))))</f>
        <v/>
      </c>
      <c r="P302" s="4365"/>
      <c r="Q302" s="4366"/>
      <c r="R302" s="4366"/>
      <c r="S302" s="4366"/>
      <c r="T302" s="4366"/>
      <c r="U302" s="2093" t="str">
        <f>IF(OR(P298="",P302=""),"",MAX(1,SUMPRODUCT(--(INDEX('Tablas Técnicas'!$C$10:$L$643,,1)=P298),--(INDEX('Tablas Técnicas'!$C$10:$L$643,,2)=P302),INDEX('Tablas Técnicas'!$C$10:$L$643,,9))))</f>
        <v/>
      </c>
      <c r="V302" s="4365"/>
      <c r="W302" s="4366"/>
      <c r="X302" s="4366"/>
      <c r="Y302" s="4366"/>
      <c r="Z302" s="4366"/>
      <c r="AA302" s="2093" t="str">
        <f>IF(OR(V298="",V302=""),"",MAX(1,SUMPRODUCT(--(INDEX('Tablas Técnicas'!$C$10:$L$643,,1)=V298),--(INDEX('Tablas Técnicas'!$C$10:$L$643,,2)=V302),INDEX('Tablas Técnicas'!$C$10:$L$643,,9))))</f>
        <v/>
      </c>
      <c r="AB302" s="4365"/>
      <c r="AC302" s="4366"/>
      <c r="AD302" s="4366"/>
      <c r="AE302" s="4366"/>
      <c r="AF302" s="4366"/>
      <c r="AG302" s="2094" t="str">
        <f>IF(OR(AB298="",AB302=""),"",MAX(1,SUMPRODUCT(--(INDEX('Tablas Técnicas'!$C$10:$L$643,,1)=AB298),--(INDEX('Tablas Técnicas'!$C$10:$L$643,,2)=AB302),INDEX('Tablas Técnicas'!$C$10:$L$643,,9))))</f>
        <v/>
      </c>
      <c r="AH302" s="2369">
        <f>P285</f>
        <v>1</v>
      </c>
      <c r="AI302" s="4511"/>
      <c r="AJ302" s="2920" t="s">
        <v>9512</v>
      </c>
      <c r="AK302" s="2920"/>
      <c r="AL302" s="2920">
        <f>MAX(0,SUM(AT289:AT293)+ABS($AC294*2/5))+IF(AM311,0,Y294)+IF(S285="Si",3*P285,0)</f>
        <v>0</v>
      </c>
      <c r="AM302" s="2920">
        <f t="array" ref="AM302">IF(ISNUMBER(SEARCH("Mantenido",K289&amp;K290&amp;K291&amp;K292&amp;K293)),MAX(0,SUM(VALUE(RIGHT($P289:$P293,2)))),0)</f>
        <v>0</v>
      </c>
      <c r="AN302" s="2922"/>
      <c r="AO302" s="2922"/>
      <c r="AP302" s="2927"/>
      <c r="AQ302" s="2927"/>
      <c r="AR302" s="2927"/>
      <c r="AS302" s="2927"/>
      <c r="AT302" s="2927"/>
      <c r="AU302" s="2927"/>
      <c r="AV302" s="2927"/>
      <c r="AW302" s="2927"/>
      <c r="AX302" s="2927"/>
      <c r="AY302" s="2920"/>
    </row>
    <row r="303" spans="1:51" ht="12.2" customHeight="1" x14ac:dyDescent="0.2">
      <c r="A303" s="2360"/>
      <c r="B303" s="2252">
        <f t="shared" si="71"/>
        <v>9</v>
      </c>
      <c r="C303" s="4508"/>
      <c r="D303" s="4374"/>
      <c r="E303" s="4375"/>
      <c r="F303" s="4375"/>
      <c r="G303" s="4375"/>
      <c r="H303" s="4375"/>
      <c r="I303" s="2095" t="str">
        <f>IF(OR(D298="",D303=""),"",MAX(1,SUMPRODUCT(--(INDEX('Tablas Técnicas'!$C$10:$L$643,,1)=D298),--(INDEX('Tablas Técnicas'!$C$10:$L$643,,2)=D303),INDEX('Tablas Técnicas'!$C$10:$L$643,,9))))</f>
        <v/>
      </c>
      <c r="J303" s="4374"/>
      <c r="K303" s="4375"/>
      <c r="L303" s="4375"/>
      <c r="M303" s="4375"/>
      <c r="N303" s="4375"/>
      <c r="O303" s="2095" t="str">
        <f>IF(OR(J298="",J303=""),"",MAX(1,SUMPRODUCT(--(INDEX('Tablas Técnicas'!$C$10:$L$643,,1)=J298),--(INDEX('Tablas Técnicas'!$C$10:$L$643,,2)=J303),INDEX('Tablas Técnicas'!$C$10:$L$643,,9))))</f>
        <v/>
      </c>
      <c r="P303" s="4374"/>
      <c r="Q303" s="4375"/>
      <c r="R303" s="4375"/>
      <c r="S303" s="4375"/>
      <c r="T303" s="4375"/>
      <c r="U303" s="2095" t="str">
        <f>IF(OR(P298="",P303=""),"",MAX(1,SUMPRODUCT(--(INDEX('Tablas Técnicas'!$C$10:$L$643,,1)=P298),--(INDEX('Tablas Técnicas'!$C$10:$L$643,,2)=P303),INDEX('Tablas Técnicas'!$C$10:$L$643,,9))))</f>
        <v/>
      </c>
      <c r="V303" s="4374"/>
      <c r="W303" s="4375"/>
      <c r="X303" s="4375"/>
      <c r="Y303" s="4375"/>
      <c r="Z303" s="4375"/>
      <c r="AA303" s="2095" t="str">
        <f>IF(OR(V298="",V303=""),"",MAX(1,SUMPRODUCT(--(INDEX('Tablas Técnicas'!$C$10:$L$643,,1)=V298),--(INDEX('Tablas Técnicas'!$C$10:$L$643,,2)=V303),INDEX('Tablas Técnicas'!$C$10:$L$643,,9))))</f>
        <v/>
      </c>
      <c r="AB303" s="4374"/>
      <c r="AC303" s="4375"/>
      <c r="AD303" s="4375"/>
      <c r="AE303" s="4375"/>
      <c r="AF303" s="4375"/>
      <c r="AG303" s="2096" t="str">
        <f>IF(OR(AB298="",AB303=""),"",MAX(1,SUMPRODUCT(--(INDEX('Tablas Técnicas'!$C$10:$L$643,,1)=AB298),--(INDEX('Tablas Técnicas'!$C$10:$L$643,,2)=AB303),INDEX('Tablas Técnicas'!$C$10:$L$643,,9))))</f>
        <v/>
      </c>
      <c r="AH303" s="2369">
        <f>P285</f>
        <v>1</v>
      </c>
      <c r="AI303" s="4511"/>
      <c r="AJ303" s="2920" t="s">
        <v>9018</v>
      </c>
      <c r="AK303" s="2920"/>
      <c r="AL303" s="2920">
        <f>SUM(V289:V293,X289:X293,Z289:Z293,AB289:AB293,AD289:AD293,AF289:AF293)+SUM(V296:AG296)</f>
        <v>0</v>
      </c>
      <c r="AM303" s="2920">
        <f>SUM(W289:W293,Y289:Y293,AA289:AA293,AC289:AC293,AE289:AE293,AG289:AG293)</f>
        <v>0</v>
      </c>
      <c r="AN303" s="2920"/>
      <c r="AO303" s="2920"/>
      <c r="AP303" s="2920"/>
      <c r="AQ303" s="2920"/>
      <c r="AR303" s="2920"/>
      <c r="AS303" s="2920"/>
      <c r="AT303" s="2920"/>
      <c r="AU303" s="2920"/>
      <c r="AV303" s="2920"/>
      <c r="AW303" s="2922"/>
      <c r="AX303" s="2920"/>
      <c r="AY303" s="2920"/>
    </row>
    <row r="304" spans="1:51" ht="12.2" customHeight="1" x14ac:dyDescent="0.2">
      <c r="A304" s="2360"/>
      <c r="B304" s="2252">
        <f t="shared" si="71"/>
        <v>9</v>
      </c>
      <c r="C304" s="4508"/>
      <c r="D304" s="4374"/>
      <c r="E304" s="4375"/>
      <c r="F304" s="4375"/>
      <c r="G304" s="4375"/>
      <c r="H304" s="4375"/>
      <c r="I304" s="2095" t="str">
        <f>IF(OR(D298="",D304=""),"",MAX(1,SUMPRODUCT(--(INDEX('Tablas Técnicas'!$C$10:$L$643,,1)=D298),--(INDEX('Tablas Técnicas'!$C$10:$L$643,,2)=D304),INDEX('Tablas Técnicas'!$C$10:$L$643,,9))))</f>
        <v/>
      </c>
      <c r="J304" s="4374"/>
      <c r="K304" s="4375"/>
      <c r="L304" s="4375"/>
      <c r="M304" s="4375"/>
      <c r="N304" s="4375"/>
      <c r="O304" s="2095" t="str">
        <f>IF(OR(J298="",J304=""),"",MAX(1,SUMPRODUCT(--(INDEX('Tablas Técnicas'!$C$10:$L$643,,1)=J298),--(INDEX('Tablas Técnicas'!$C$10:$L$643,,2)=J304),INDEX('Tablas Técnicas'!$C$10:$L$643,,9))))</f>
        <v/>
      </c>
      <c r="P304" s="4374"/>
      <c r="Q304" s="4375"/>
      <c r="R304" s="4375"/>
      <c r="S304" s="4375"/>
      <c r="T304" s="4375"/>
      <c r="U304" s="2095" t="str">
        <f>IF(OR(P298="",P304=""),"",MAX(1,SUMPRODUCT(--(INDEX('Tablas Técnicas'!$C$10:$L$643,,1)=P298),--(INDEX('Tablas Técnicas'!$C$10:$L$643,,2)=P304),INDEX('Tablas Técnicas'!$C$10:$L$643,,9))))</f>
        <v/>
      </c>
      <c r="V304" s="4374"/>
      <c r="W304" s="4375"/>
      <c r="X304" s="4375"/>
      <c r="Y304" s="4375"/>
      <c r="Z304" s="4375"/>
      <c r="AA304" s="2095" t="str">
        <f>IF(OR(V298="",V304=""),"",MAX(1,SUMPRODUCT(--(INDEX('Tablas Técnicas'!$C$10:$L$643,,1)=V298),--(INDEX('Tablas Técnicas'!$C$10:$L$643,,2)=V304),INDEX('Tablas Técnicas'!$C$10:$L$643,,9))))</f>
        <v/>
      </c>
      <c r="AB304" s="4374"/>
      <c r="AC304" s="4375"/>
      <c r="AD304" s="4375"/>
      <c r="AE304" s="4375"/>
      <c r="AF304" s="4375"/>
      <c r="AG304" s="2096" t="str">
        <f>IF(OR(AB298="",AB304=""),"",MAX(1,SUMPRODUCT(--(INDEX('Tablas Técnicas'!$C$10:$L$643,,1)=AB298),--(INDEX('Tablas Técnicas'!$C$10:$L$643,,2)=AB304),INDEX('Tablas Técnicas'!$C$10:$L$643,,9))))</f>
        <v/>
      </c>
      <c r="AH304" s="2369">
        <f>P285</f>
        <v>1</v>
      </c>
      <c r="AI304" s="4511"/>
      <c r="AJ304" s="2920"/>
      <c r="AK304" s="2920"/>
      <c r="AL304" s="2920"/>
      <c r="AM304" s="2920"/>
      <c r="AN304" s="2920"/>
      <c r="AO304" s="2920"/>
      <c r="AP304" s="2920"/>
      <c r="AQ304" s="2920"/>
      <c r="AR304" s="2920"/>
      <c r="AS304" s="2920"/>
      <c r="AT304" s="2920"/>
      <c r="AU304" s="2920"/>
      <c r="AV304" s="2920"/>
      <c r="AW304" s="2922"/>
      <c r="AX304" s="2922"/>
      <c r="AY304" s="2920"/>
    </row>
    <row r="305" spans="1:51" ht="12.2" customHeight="1" x14ac:dyDescent="0.2">
      <c r="A305" s="2360"/>
      <c r="B305" s="2252">
        <f t="shared" si="71"/>
        <v>9</v>
      </c>
      <c r="C305" s="4508"/>
      <c r="D305" s="4374"/>
      <c r="E305" s="4375"/>
      <c r="F305" s="4375"/>
      <c r="G305" s="4375"/>
      <c r="H305" s="4375"/>
      <c r="I305" s="2095" t="str">
        <f>IF(OR(D298="",D305=""),"",MAX(1,SUMPRODUCT(--(INDEX('Tablas Técnicas'!$C$10:$L$643,,1)=D298),--(INDEX('Tablas Técnicas'!$C$10:$L$643,,2)=D305),INDEX('Tablas Técnicas'!$C$10:$L$643,,9))))</f>
        <v/>
      </c>
      <c r="J305" s="4374"/>
      <c r="K305" s="4375"/>
      <c r="L305" s="4375"/>
      <c r="M305" s="4375"/>
      <c r="N305" s="4375"/>
      <c r="O305" s="2095" t="str">
        <f>IF(OR(J298="",J305=""),"",MAX(1,SUMPRODUCT(--(INDEX('Tablas Técnicas'!$C$10:$L$643,,1)=J298),--(INDEX('Tablas Técnicas'!$C$10:$L$643,,2)=J305),INDEX('Tablas Técnicas'!$C$10:$L$643,,9))))</f>
        <v/>
      </c>
      <c r="P305" s="4374"/>
      <c r="Q305" s="4375"/>
      <c r="R305" s="4375"/>
      <c r="S305" s="4375"/>
      <c r="T305" s="4375"/>
      <c r="U305" s="2095" t="str">
        <f>IF(OR(P298="",P305=""),"",MAX(1,SUMPRODUCT(--(INDEX('Tablas Técnicas'!$C$10:$L$643,,1)=P298),--(INDEX('Tablas Técnicas'!$C$10:$L$643,,2)=P305),INDEX('Tablas Técnicas'!$C$10:$L$643,,9))))</f>
        <v/>
      </c>
      <c r="V305" s="4374"/>
      <c r="W305" s="4375"/>
      <c r="X305" s="4375"/>
      <c r="Y305" s="4375"/>
      <c r="Z305" s="4375"/>
      <c r="AA305" s="2095" t="str">
        <f>IF(OR(V298="",V305=""),"",MAX(1,SUMPRODUCT(--(INDEX('Tablas Técnicas'!$C$10:$L$643,,1)=V298),--(INDEX('Tablas Técnicas'!$C$10:$L$643,,2)=V305),INDEX('Tablas Técnicas'!$C$10:$L$643,,9))))</f>
        <v/>
      </c>
      <c r="AB305" s="4374"/>
      <c r="AC305" s="4375"/>
      <c r="AD305" s="4375"/>
      <c r="AE305" s="4375"/>
      <c r="AF305" s="4375"/>
      <c r="AG305" s="2096" t="str">
        <f>IF(OR(AB298="",AB305=""),"",MAX(1,SUMPRODUCT(--(INDEX('Tablas Técnicas'!$C$10:$L$643,,1)=AB298),--(INDEX('Tablas Técnicas'!$C$10:$L$643,,2)=AB305),INDEX('Tablas Técnicas'!$C$10:$L$643,,9))))</f>
        <v/>
      </c>
      <c r="AH305" s="2369">
        <f>P285</f>
        <v>1</v>
      </c>
      <c r="AI305" s="4511"/>
      <c r="AJ305" s="2920" t="s">
        <v>9019</v>
      </c>
      <c r="AK305" s="2920"/>
      <c r="AL305" s="2920"/>
      <c r="AM305" s="2920"/>
      <c r="AN305" s="2920"/>
      <c r="AO305" s="2920"/>
      <c r="AP305" s="2920"/>
      <c r="AQ305" s="2921"/>
      <c r="AR305" s="2922"/>
      <c r="AS305" s="2922"/>
      <c r="AT305" s="2922"/>
      <c r="AU305" s="2922"/>
      <c r="AV305" s="2922"/>
      <c r="AW305" s="2922"/>
      <c r="AX305" s="2922"/>
      <c r="AY305" s="2920"/>
    </row>
    <row r="306" spans="1:51" ht="12.2" customHeight="1" x14ac:dyDescent="0.2">
      <c r="A306" s="2360"/>
      <c r="B306" s="2252">
        <f t="shared" si="71"/>
        <v>9</v>
      </c>
      <c r="C306" s="4508"/>
      <c r="D306" s="4374"/>
      <c r="E306" s="4375"/>
      <c r="F306" s="4375"/>
      <c r="G306" s="4375"/>
      <c r="H306" s="4375"/>
      <c r="I306" s="2095" t="str">
        <f>IF(OR(D298="",D306=""),"",MAX(1,SUMPRODUCT(--(INDEX('Tablas Técnicas'!$C$10:$L$643,,1)=D298),--(INDEX('Tablas Técnicas'!$C$10:$L$643,,2)=D306),INDEX('Tablas Técnicas'!$C$10:$L$643,,9))))</f>
        <v/>
      </c>
      <c r="J306" s="4374"/>
      <c r="K306" s="4375"/>
      <c r="L306" s="4375"/>
      <c r="M306" s="4375"/>
      <c r="N306" s="4375"/>
      <c r="O306" s="2095" t="str">
        <f>IF(OR(J298="",J306=""),"",MAX(1,SUMPRODUCT(--(INDEX('Tablas Técnicas'!$C$10:$L$643,,1)=J298),--(INDEX('Tablas Técnicas'!$C$10:$L$643,,2)=J306),INDEX('Tablas Técnicas'!$C$10:$L$643,,9))))</f>
        <v/>
      </c>
      <c r="P306" s="4374"/>
      <c r="Q306" s="4375"/>
      <c r="R306" s="4375"/>
      <c r="S306" s="4375"/>
      <c r="T306" s="4375"/>
      <c r="U306" s="2095" t="str">
        <f>IF(OR(P298="",P306=""),"",MAX(1,SUMPRODUCT(--(INDEX('Tablas Técnicas'!$C$10:$L$643,,1)=P298),--(INDEX('Tablas Técnicas'!$C$10:$L$643,,2)=P306),INDEX('Tablas Técnicas'!$C$10:$L$643,,9))))</f>
        <v/>
      </c>
      <c r="V306" s="4374"/>
      <c r="W306" s="4375"/>
      <c r="X306" s="4375"/>
      <c r="Y306" s="4375"/>
      <c r="Z306" s="4375"/>
      <c r="AA306" s="2095" t="str">
        <f>IF(OR(V298="",V306=""),"",MAX(1,SUMPRODUCT(--(INDEX('Tablas Técnicas'!$C$10:$L$643,,1)=V298),--(INDEX('Tablas Técnicas'!$C$10:$L$643,,2)=V306),INDEX('Tablas Técnicas'!$C$10:$L$643,,9))))</f>
        <v/>
      </c>
      <c r="AB306" s="4374"/>
      <c r="AC306" s="4375"/>
      <c r="AD306" s="4375"/>
      <c r="AE306" s="4375"/>
      <c r="AF306" s="4375"/>
      <c r="AG306" s="2096" t="str">
        <f>IF(OR(AB298="",AB306=""),"",MAX(1,SUMPRODUCT(--(INDEX('Tablas Técnicas'!$C$10:$L$643,,1)=AB298),--(INDEX('Tablas Técnicas'!$C$10:$L$643,,2)=AB306),INDEX('Tablas Técnicas'!$C$10:$L$643,,9))))</f>
        <v/>
      </c>
      <c r="AH306" s="2369">
        <f>P285</f>
        <v>1</v>
      </c>
      <c r="AI306" s="4511"/>
      <c r="AJ306" s="2920" t="s">
        <v>10184</v>
      </c>
      <c r="AK306" s="2920"/>
      <c r="AL306" s="2920"/>
      <c r="AM306" s="2920" t="b">
        <f>U285&gt;IF(P285=3,200,IF(P285=2,100,50))</f>
        <v>0</v>
      </c>
      <c r="AN306" s="2920"/>
      <c r="AO306" s="2920"/>
      <c r="AP306" s="2920"/>
      <c r="AQ306" s="2920"/>
      <c r="AR306" s="2922"/>
      <c r="AS306" s="2922"/>
      <c r="AT306" s="2922"/>
      <c r="AU306" s="2922"/>
      <c r="AV306" s="2922"/>
      <c r="AW306" s="2922"/>
      <c r="AX306" s="2922"/>
      <c r="AY306" s="2920"/>
    </row>
    <row r="307" spans="1:51" ht="12.2" customHeight="1" x14ac:dyDescent="0.2">
      <c r="A307" s="2360"/>
      <c r="B307" s="2252">
        <f t="shared" si="71"/>
        <v>9</v>
      </c>
      <c r="C307" s="4508"/>
      <c r="D307" s="4374"/>
      <c r="E307" s="4375"/>
      <c r="F307" s="4375"/>
      <c r="G307" s="4375"/>
      <c r="H307" s="4375"/>
      <c r="I307" s="2095" t="str">
        <f>IF(OR(D298="",D307=""),"",MAX(1,SUMPRODUCT(--(INDEX('Tablas Técnicas'!$C$10:$L$643,,1)=D298),--(INDEX('Tablas Técnicas'!$C$10:$L$643,,2)=D307),INDEX('Tablas Técnicas'!$C$10:$L$643,,9))))</f>
        <v/>
      </c>
      <c r="J307" s="4374"/>
      <c r="K307" s="4375"/>
      <c r="L307" s="4375"/>
      <c r="M307" s="4375"/>
      <c r="N307" s="4375"/>
      <c r="O307" s="2095" t="str">
        <f>IF(OR(J298="",J307=""),"",MAX(1,SUMPRODUCT(--(INDEX('Tablas Técnicas'!$C$10:$L$643,,1)=J298),--(INDEX('Tablas Técnicas'!$C$10:$L$643,,2)=J307),INDEX('Tablas Técnicas'!$C$10:$L$643,,9))))</f>
        <v/>
      </c>
      <c r="P307" s="4374"/>
      <c r="Q307" s="4375"/>
      <c r="R307" s="4375"/>
      <c r="S307" s="4375"/>
      <c r="T307" s="4375"/>
      <c r="U307" s="2095" t="str">
        <f>IF(OR(P298="",P307=""),"",MAX(1,SUMPRODUCT(--(INDEX('Tablas Técnicas'!$C$10:$L$643,,1)=P298),--(INDEX('Tablas Técnicas'!$C$10:$L$643,,2)=P307),INDEX('Tablas Técnicas'!$C$10:$L$643,,9))))</f>
        <v/>
      </c>
      <c r="V307" s="4374"/>
      <c r="W307" s="4375"/>
      <c r="X307" s="4375"/>
      <c r="Y307" s="4375"/>
      <c r="Z307" s="4375"/>
      <c r="AA307" s="2095" t="str">
        <f>IF(OR(V298="",V307=""),"",MAX(1,SUMPRODUCT(--(INDEX('Tablas Técnicas'!$C$10:$L$643,,1)=V298),--(INDEX('Tablas Técnicas'!$C$10:$L$643,,2)=V307),INDEX('Tablas Técnicas'!$C$10:$L$643,,9))))</f>
        <v/>
      </c>
      <c r="AB307" s="4374"/>
      <c r="AC307" s="4375"/>
      <c r="AD307" s="4375"/>
      <c r="AE307" s="4375"/>
      <c r="AF307" s="4375"/>
      <c r="AG307" s="2096" t="str">
        <f>IF(OR(AB298="",AB307=""),"",MAX(1,SUMPRODUCT(--(INDEX('Tablas Técnicas'!$C$10:$L$643,,1)=AB298),--(INDEX('Tablas Técnicas'!$C$10:$L$643,,2)=AB307),INDEX('Tablas Técnicas'!$C$10:$L$643,,9))))</f>
        <v/>
      </c>
      <c r="AH307" s="2369">
        <f>P285</f>
        <v>1</v>
      </c>
      <c r="AI307" s="4511"/>
      <c r="AJ307" s="2920" t="s">
        <v>9020</v>
      </c>
      <c r="AK307" s="2920"/>
      <c r="AL307" s="2920"/>
      <c r="AM307" s="2920" t="b">
        <f t="array" ref="AM307">MAX(I302:I308,O302:O308,U302:U308,AA302:AA308,AG302:AG308,RIGHT(S294:S296,1))&gt;P285</f>
        <v>0</v>
      </c>
      <c r="AN307" s="2920"/>
      <c r="AO307" s="2920"/>
      <c r="AP307" s="2920"/>
      <c r="AQ307" s="2921"/>
      <c r="AR307" s="2922"/>
      <c r="AS307" s="2922"/>
      <c r="AT307" s="2922"/>
      <c r="AU307" s="2922"/>
      <c r="AV307" s="2922"/>
      <c r="AW307" s="2922"/>
      <c r="AX307" s="2922"/>
      <c r="AY307" s="2920"/>
    </row>
    <row r="308" spans="1:51" ht="12.2" customHeight="1" x14ac:dyDescent="0.2">
      <c r="A308" s="2360"/>
      <c r="B308" s="2252">
        <f t="shared" si="71"/>
        <v>9</v>
      </c>
      <c r="C308" s="4508"/>
      <c r="D308" s="4401"/>
      <c r="E308" s="4402"/>
      <c r="F308" s="4402"/>
      <c r="G308" s="4402"/>
      <c r="H308" s="4402"/>
      <c r="I308" s="2097" t="str">
        <f>IF(OR(D298="",D308=""),"",MAX(1,SUMPRODUCT(--(INDEX('Tablas Técnicas'!$C$10:$L$643,,1)=D298),--(INDEX('Tablas Técnicas'!$C$10:$L$643,,2)=D308),INDEX('Tablas Técnicas'!$C$10:$L$643,,9))))</f>
        <v/>
      </c>
      <c r="J308" s="4401"/>
      <c r="K308" s="4402"/>
      <c r="L308" s="4402"/>
      <c r="M308" s="4402"/>
      <c r="N308" s="4402"/>
      <c r="O308" s="2097" t="str">
        <f>IF(OR(J298="",J308=""),"",MAX(1,SUMPRODUCT(--(INDEX('Tablas Técnicas'!$C$10:$L$643,,1)=J298),--(INDEX('Tablas Técnicas'!$C$10:$L$643,,2)=J308),INDEX('Tablas Técnicas'!$C$10:$L$643,,9))))</f>
        <v/>
      </c>
      <c r="P308" s="4401"/>
      <c r="Q308" s="4402"/>
      <c r="R308" s="4402"/>
      <c r="S308" s="4402"/>
      <c r="T308" s="4402"/>
      <c r="U308" s="2097" t="str">
        <f>IF(OR(P298="",P308=""),"",MAX(1,SUMPRODUCT(--(INDEX('Tablas Técnicas'!$C$10:$L$643,,1)=P298),--(INDEX('Tablas Técnicas'!$C$10:$L$643,,2)=P308),INDEX('Tablas Técnicas'!$C$10:$L$643,,9))))</f>
        <v/>
      </c>
      <c r="V308" s="4401"/>
      <c r="W308" s="4402"/>
      <c r="X308" s="4402"/>
      <c r="Y308" s="4402"/>
      <c r="Z308" s="4402"/>
      <c r="AA308" s="2097" t="str">
        <f>IF(OR(V298="",V308=""),"",MAX(1,SUMPRODUCT(--(INDEX('Tablas Técnicas'!$C$10:$L$643,,1)=V298),--(INDEX('Tablas Técnicas'!$C$10:$L$643,,2)=V308),INDEX('Tablas Técnicas'!$C$10:$L$643,,9))))</f>
        <v/>
      </c>
      <c r="AB308" s="4401"/>
      <c r="AC308" s="4402"/>
      <c r="AD308" s="4402"/>
      <c r="AE308" s="4402"/>
      <c r="AF308" s="4402"/>
      <c r="AG308" s="2098" t="str">
        <f>IF(OR(AB298="",AB308=""),"",MAX(1,SUMPRODUCT(--(INDEX('Tablas Técnicas'!$C$10:$L$643,,1)=AB298),--(INDEX('Tablas Técnicas'!$C$10:$L$643,,2)=AB308),INDEX('Tablas Técnicas'!$C$10:$L$643,,9))))</f>
        <v/>
      </c>
      <c r="AH308" s="2369">
        <f>P285</f>
        <v>1</v>
      </c>
      <c r="AI308" s="4511"/>
      <c r="AJ308" s="2920" t="s">
        <v>9529</v>
      </c>
      <c r="AK308" s="2920"/>
      <c r="AL308" s="2920"/>
      <c r="AM308" s="2920" t="b">
        <f>AND(COUNTIF(K289:M293,"Mantenido"),OR(COUNTIF(K289:M293,"Sostenimiento Menor"),COUNTIF(K289:M293,"Sostenimiento Mayor")))</f>
        <v>0</v>
      </c>
      <c r="AN308" s="2921"/>
      <c r="AO308" s="2920"/>
      <c r="AP308" s="2920"/>
      <c r="AQ308" s="2920"/>
      <c r="AR308" s="2920"/>
      <c r="AS308" s="2920"/>
      <c r="AT308" s="2920"/>
      <c r="AU308" s="2922"/>
      <c r="AV308" s="2922"/>
      <c r="AW308" s="2922"/>
      <c r="AX308" s="2922"/>
      <c r="AY308" s="2920"/>
    </row>
    <row r="309" spans="1:51" ht="12.2" customHeight="1" x14ac:dyDescent="0.2">
      <c r="A309" s="2360"/>
      <c r="B309" s="2252">
        <f t="shared" si="71"/>
        <v>9</v>
      </c>
      <c r="C309" s="4508"/>
      <c r="D309" s="4386" t="s">
        <v>1553</v>
      </c>
      <c r="E309" s="4387"/>
      <c r="F309" s="4387"/>
      <c r="G309" s="4387"/>
      <c r="H309" s="4387"/>
      <c r="I309" s="4387"/>
      <c r="J309" s="4387"/>
      <c r="K309" s="4387"/>
      <c r="L309" s="4387"/>
      <c r="M309" s="4387"/>
      <c r="N309" s="4387"/>
      <c r="O309" s="4387"/>
      <c r="P309" s="4387"/>
      <c r="Q309" s="4387"/>
      <c r="R309" s="4387"/>
      <c r="S309" s="4387"/>
      <c r="T309" s="4387"/>
      <c r="U309" s="4387"/>
      <c r="V309" s="4387"/>
      <c r="W309" s="4387"/>
      <c r="X309" s="4387"/>
      <c r="Y309" s="4387"/>
      <c r="Z309" s="4387"/>
      <c r="AA309" s="4387"/>
      <c r="AB309" s="4387"/>
      <c r="AC309" s="4387"/>
      <c r="AD309" s="4387"/>
      <c r="AE309" s="4387"/>
      <c r="AF309" s="4387"/>
      <c r="AG309" s="4442"/>
      <c r="AH309" s="2369"/>
      <c r="AI309" s="4511"/>
      <c r="AJ309" s="2920" t="s">
        <v>9528</v>
      </c>
      <c r="AK309" s="2920"/>
      <c r="AL309" s="2920"/>
      <c r="AM309" s="2920"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20"/>
      <c r="AO309" s="2920"/>
      <c r="AP309" s="2920"/>
      <c r="AQ309" s="2921"/>
      <c r="AR309" s="2920"/>
      <c r="AS309" s="2920"/>
      <c r="AT309" s="2920"/>
      <c r="AU309" s="2922"/>
      <c r="AV309" s="2922"/>
      <c r="AW309" s="2922"/>
      <c r="AX309" s="2922"/>
      <c r="AY309" s="2920"/>
    </row>
    <row r="310" spans="1:51" ht="12.2" customHeight="1" x14ac:dyDescent="0.2">
      <c r="A310" s="2360"/>
      <c r="B310" s="2252">
        <f t="shared" si="71"/>
        <v>9</v>
      </c>
      <c r="C310" s="4508"/>
      <c r="D310" s="4443"/>
      <c r="E310" s="4444"/>
      <c r="F310" s="4444"/>
      <c r="G310" s="4444"/>
      <c r="H310" s="4444"/>
      <c r="I310" s="4444"/>
      <c r="J310" s="4444"/>
      <c r="K310" s="4444"/>
      <c r="L310" s="4444"/>
      <c r="M310" s="4444"/>
      <c r="N310" s="4444"/>
      <c r="O310" s="4444"/>
      <c r="P310" s="4444"/>
      <c r="Q310" s="4444"/>
      <c r="R310" s="4444"/>
      <c r="S310" s="4444"/>
      <c r="T310" s="4444"/>
      <c r="U310" s="4444"/>
      <c r="V310" s="4444"/>
      <c r="W310" s="4444"/>
      <c r="X310" s="4444"/>
      <c r="Y310" s="4444"/>
      <c r="Z310" s="4444"/>
      <c r="AA310" s="4444"/>
      <c r="AB310" s="4444"/>
      <c r="AC310" s="4444"/>
      <c r="AD310" s="4444"/>
      <c r="AE310" s="4444"/>
      <c r="AF310" s="4444"/>
      <c r="AG310" s="4445"/>
      <c r="AH310" s="2369"/>
      <c r="AI310" s="4511"/>
      <c r="AJ310" s="2920" t="s">
        <v>9536</v>
      </c>
      <c r="AK310" s="2920"/>
      <c r="AL310" s="2920"/>
      <c r="AM310" s="2920"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20"/>
      <c r="AO310" s="2920"/>
      <c r="AP310" s="2920"/>
      <c r="AQ310" s="2921"/>
      <c r="AR310" s="2920"/>
      <c r="AS310" s="2920"/>
      <c r="AT310" s="2920"/>
      <c r="AU310" s="2922"/>
      <c r="AV310" s="2922"/>
      <c r="AW310" s="2922"/>
      <c r="AX310" s="2922"/>
      <c r="AY310" s="2920"/>
    </row>
    <row r="311" spans="1:51" ht="12.2" customHeight="1" x14ac:dyDescent="0.2">
      <c r="A311" s="2360"/>
      <c r="B311" s="2252">
        <f t="shared" si="71"/>
        <v>9</v>
      </c>
      <c r="C311" s="4508"/>
      <c r="D311" s="4443"/>
      <c r="E311" s="4444"/>
      <c r="F311" s="4444"/>
      <c r="G311" s="4444"/>
      <c r="H311" s="4444"/>
      <c r="I311" s="4444"/>
      <c r="J311" s="4444"/>
      <c r="K311" s="4444"/>
      <c r="L311" s="4444"/>
      <c r="M311" s="4444"/>
      <c r="N311" s="4444"/>
      <c r="O311" s="4444"/>
      <c r="P311" s="4444"/>
      <c r="Q311" s="4444"/>
      <c r="R311" s="4444"/>
      <c r="S311" s="4444"/>
      <c r="T311" s="4444"/>
      <c r="U311" s="4444"/>
      <c r="V311" s="4444"/>
      <c r="W311" s="4444"/>
      <c r="X311" s="4444"/>
      <c r="Y311" s="4444"/>
      <c r="Z311" s="4444"/>
      <c r="AA311" s="4444"/>
      <c r="AB311" s="4444"/>
      <c r="AC311" s="4444"/>
      <c r="AD311" s="4444"/>
      <c r="AE311" s="4444"/>
      <c r="AF311" s="4444"/>
      <c r="AG311" s="4445"/>
      <c r="AH311" s="2369"/>
      <c r="AI311" s="4511"/>
      <c r="AJ311" s="2920" t="s">
        <v>9515</v>
      </c>
      <c r="AK311" s="2920"/>
      <c r="AL311" s="2920"/>
      <c r="AM311" s="2920" t="b">
        <f>AND((IF(SUM(V289:V293)&gt;0,1,0)+IF(SUM(X289:X293)&gt;0,1,0)+IF(SUM(Z289:Z293)&gt;0,1,0)+IF(SUM(AB289:AB293)&gt;0,1,0)+IF(SUM(AD289:AD293,)&gt;0,1,0)+IF(SUM(AF289:AF293)&gt;0,1,0))&lt;3,OR(V296&lt;0,X296&lt;0,Z296&lt;0,AB296&lt;0,AD296&lt;0,AF296&lt;0,Y294&lt;0))</f>
        <v>0</v>
      </c>
      <c r="AN311" s="2920"/>
      <c r="AO311" s="2920"/>
      <c r="AP311" s="2920"/>
      <c r="AQ311" s="2921"/>
      <c r="AR311" s="2920"/>
      <c r="AS311" s="2920"/>
      <c r="AT311" s="2920"/>
      <c r="AU311" s="2922"/>
      <c r="AV311" s="2922"/>
      <c r="AW311" s="2922"/>
      <c r="AX311" s="2922"/>
      <c r="AY311" s="2920"/>
    </row>
    <row r="312" spans="1:51" ht="12.2" customHeight="1" x14ac:dyDescent="0.2">
      <c r="A312" s="2360"/>
      <c r="B312" s="2252">
        <f t="shared" si="71"/>
        <v>9</v>
      </c>
      <c r="C312" s="4508"/>
      <c r="D312" s="4443"/>
      <c r="E312" s="4444"/>
      <c r="F312" s="4444"/>
      <c r="G312" s="4444"/>
      <c r="H312" s="4444"/>
      <c r="I312" s="4444"/>
      <c r="J312" s="4444"/>
      <c r="K312" s="4444"/>
      <c r="L312" s="4444"/>
      <c r="M312" s="4444"/>
      <c r="N312" s="4444"/>
      <c r="O312" s="4444"/>
      <c r="P312" s="4444"/>
      <c r="Q312" s="4444"/>
      <c r="R312" s="4444"/>
      <c r="S312" s="4444"/>
      <c r="T312" s="4444"/>
      <c r="U312" s="4444"/>
      <c r="V312" s="4444"/>
      <c r="W312" s="4444"/>
      <c r="X312" s="4444"/>
      <c r="Y312" s="4444"/>
      <c r="Z312" s="4444"/>
      <c r="AA312" s="4444"/>
      <c r="AB312" s="4444"/>
      <c r="AC312" s="4444"/>
      <c r="AD312" s="4444"/>
      <c r="AE312" s="4444"/>
      <c r="AF312" s="4444"/>
      <c r="AG312" s="4445"/>
      <c r="AH312" s="2369"/>
      <c r="AI312" s="4511"/>
      <c r="AJ312" s="2920" t="s">
        <v>9530</v>
      </c>
      <c r="AK312" s="2920"/>
      <c r="AL312" s="2920"/>
      <c r="AM312" s="2920" t="b">
        <f>OR(-V296&gt;TRUNC(SUM(V289:V293)/2),-X296&gt;TRUNC(SUM(X289:X293)/2),-Z296&gt;TRUNC(SUM(Z289:Z293)/2),-AB296&gt;TRUNC(SUM(AB289:AB293)/2),-AD296&gt;TRUNC(SUM(AD289:AD293)/2),-AF296&gt;TRUNC(SUM(AF289:AF293)/2))</f>
        <v>0</v>
      </c>
      <c r="AN312" s="2920"/>
      <c r="AO312" s="2920"/>
      <c r="AP312" s="2920"/>
      <c r="AQ312" s="2921"/>
      <c r="AR312" s="2920"/>
      <c r="AS312" s="2920"/>
      <c r="AT312" s="2920"/>
      <c r="AU312" s="2922"/>
      <c r="AV312" s="2922"/>
      <c r="AW312" s="2922"/>
      <c r="AX312" s="2922"/>
      <c r="AY312" s="2920"/>
    </row>
    <row r="313" spans="1:51" ht="12.2" customHeight="1" x14ac:dyDescent="0.2">
      <c r="A313" s="2360"/>
      <c r="B313" s="2252">
        <f t="shared" si="71"/>
        <v>9</v>
      </c>
      <c r="C313" s="4508"/>
      <c r="D313" s="4443"/>
      <c r="E313" s="4444"/>
      <c r="F313" s="4444"/>
      <c r="G313" s="4444"/>
      <c r="H313" s="4444"/>
      <c r="I313" s="4444"/>
      <c r="J313" s="4444"/>
      <c r="K313" s="4444"/>
      <c r="L313" s="4444"/>
      <c r="M313" s="4444"/>
      <c r="N313" s="4444"/>
      <c r="O313" s="4444"/>
      <c r="P313" s="4444"/>
      <c r="Q313" s="4444"/>
      <c r="R313" s="4444"/>
      <c r="S313" s="4444"/>
      <c r="T313" s="4444"/>
      <c r="U313" s="4444"/>
      <c r="V313" s="4444"/>
      <c r="W313" s="4444"/>
      <c r="X313" s="4444"/>
      <c r="Y313" s="4444"/>
      <c r="Z313" s="4444"/>
      <c r="AA313" s="4444"/>
      <c r="AB313" s="4444"/>
      <c r="AC313" s="4444"/>
      <c r="AD313" s="4444"/>
      <c r="AE313" s="4444"/>
      <c r="AF313" s="4444"/>
      <c r="AG313" s="4445"/>
      <c r="AH313" s="2369"/>
      <c r="AI313" s="4511"/>
      <c r="AJ313" s="2920" t="s">
        <v>9531</v>
      </c>
      <c r="AK313" s="2920"/>
      <c r="AL313" s="2920"/>
      <c r="AM313" s="2920" t="b">
        <f>COUNTIF(D289:E293,"Primario")&gt;1</f>
        <v>0</v>
      </c>
      <c r="AN313" s="2920"/>
      <c r="AO313" s="2920"/>
      <c r="AP313" s="2920"/>
      <c r="AQ313" s="2921"/>
      <c r="AR313" s="2921"/>
      <c r="AS313" s="2921"/>
      <c r="AT313" s="2921"/>
      <c r="AU313" s="2922"/>
      <c r="AV313" s="2922"/>
      <c r="AW313" s="2922"/>
      <c r="AX313" s="2920"/>
      <c r="AY313" s="2920"/>
    </row>
    <row r="314" spans="1:51" ht="12.2" customHeight="1" x14ac:dyDescent="0.2">
      <c r="A314" s="2360"/>
      <c r="B314" s="2252">
        <f t="shared" si="71"/>
        <v>9</v>
      </c>
      <c r="C314" s="4508"/>
      <c r="D314" s="4443"/>
      <c r="E314" s="4444"/>
      <c r="F314" s="4444"/>
      <c r="G314" s="4444"/>
      <c r="H314" s="4444"/>
      <c r="I314" s="4444"/>
      <c r="J314" s="4444"/>
      <c r="K314" s="4444"/>
      <c r="L314" s="4444"/>
      <c r="M314" s="4444"/>
      <c r="N314" s="4444"/>
      <c r="O314" s="4444"/>
      <c r="P314" s="4444"/>
      <c r="Q314" s="4444"/>
      <c r="R314" s="4444"/>
      <c r="S314" s="4444"/>
      <c r="T314" s="4444"/>
      <c r="U314" s="4444"/>
      <c r="V314" s="4444"/>
      <c r="W314" s="4444"/>
      <c r="X314" s="4444"/>
      <c r="Y314" s="4444"/>
      <c r="Z314" s="4444"/>
      <c r="AA314" s="4444"/>
      <c r="AB314" s="4444"/>
      <c r="AC314" s="4444"/>
      <c r="AD314" s="4444"/>
      <c r="AE314" s="4444"/>
      <c r="AF314" s="4444"/>
      <c r="AG314" s="4445"/>
      <c r="AH314" s="2369"/>
      <c r="AI314" s="4511"/>
      <c r="AJ314" s="2920" t="s">
        <v>9514</v>
      </c>
      <c r="AK314" s="2920"/>
      <c r="AL314" s="2920"/>
      <c r="AM314" s="2920" t="b">
        <f>SUM(V296:AG296)&lt;&gt;Y294+ABS(AC294)*2/5+IF(S285="Si",3*P285,0)</f>
        <v>0</v>
      </c>
      <c r="AN314" s="2920"/>
      <c r="AO314" s="2920"/>
      <c r="AP314" s="2920"/>
      <c r="AQ314" s="2921"/>
      <c r="AR314" s="2921"/>
      <c r="AS314" s="2921"/>
      <c r="AT314" s="2921"/>
      <c r="AU314" s="2922"/>
      <c r="AV314" s="2922"/>
      <c r="AW314" s="2922"/>
      <c r="AX314" s="2920"/>
      <c r="AY314" s="2920"/>
    </row>
    <row r="315" spans="1:51" ht="12.2" customHeight="1" x14ac:dyDescent="0.2">
      <c r="A315" s="2360"/>
      <c r="B315" s="2252">
        <f t="shared" si="71"/>
        <v>9</v>
      </c>
      <c r="C315" s="4508"/>
      <c r="D315" s="4443"/>
      <c r="E315" s="4444"/>
      <c r="F315" s="4444"/>
      <c r="G315" s="4444"/>
      <c r="H315" s="4444"/>
      <c r="I315" s="4444"/>
      <c r="J315" s="4444"/>
      <c r="K315" s="4444"/>
      <c r="L315" s="4444"/>
      <c r="M315" s="4444"/>
      <c r="N315" s="4444"/>
      <c r="O315" s="4444"/>
      <c r="P315" s="4444"/>
      <c r="Q315" s="4444"/>
      <c r="R315" s="4444"/>
      <c r="S315" s="4444"/>
      <c r="T315" s="4444"/>
      <c r="U315" s="4444"/>
      <c r="V315" s="4444"/>
      <c r="W315" s="4444"/>
      <c r="X315" s="4444"/>
      <c r="Y315" s="4444"/>
      <c r="Z315" s="4444"/>
      <c r="AA315" s="4444"/>
      <c r="AB315" s="4444"/>
      <c r="AC315" s="4444"/>
      <c r="AD315" s="4444"/>
      <c r="AE315" s="4444"/>
      <c r="AF315" s="4444"/>
      <c r="AG315" s="4445"/>
      <c r="AH315" s="2369"/>
      <c r="AI315" s="4511"/>
      <c r="AJ315" s="2920" t="s">
        <v>9513</v>
      </c>
      <c r="AK315" s="2920"/>
      <c r="AL315" s="2920"/>
      <c r="AM315" s="2920" t="b">
        <f>AL302-AL303+AM302-AM303&lt;&gt;0</f>
        <v>0</v>
      </c>
      <c r="AN315" s="2922"/>
      <c r="AO315" s="2922"/>
      <c r="AP315" s="2922"/>
      <c r="AQ315" s="2922"/>
      <c r="AR315" s="2921"/>
      <c r="AS315" s="2921"/>
      <c r="AT315" s="2921"/>
      <c r="AU315" s="2922"/>
      <c r="AV315" s="2922"/>
      <c r="AW315" s="2922"/>
      <c r="AX315" s="2920"/>
      <c r="AY315" s="2920"/>
    </row>
    <row r="316" spans="1:51" ht="12.2" customHeight="1" thickBot="1" x14ac:dyDescent="0.25">
      <c r="A316" s="2360"/>
      <c r="B316" s="2252"/>
      <c r="C316" s="4509"/>
      <c r="D316" s="451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13"/>
      <c r="F316" s="4513"/>
      <c r="G316" s="4513"/>
      <c r="H316" s="4513"/>
      <c r="I316" s="4513"/>
      <c r="J316" s="4513"/>
      <c r="K316" s="4513"/>
      <c r="L316" s="4513"/>
      <c r="M316" s="4513"/>
      <c r="N316" s="4513"/>
      <c r="O316" s="4513"/>
      <c r="P316" s="4513"/>
      <c r="Q316" s="4513"/>
      <c r="R316" s="4513"/>
      <c r="S316" s="4513"/>
      <c r="T316" s="4513"/>
      <c r="U316" s="4513"/>
      <c r="V316" s="4513"/>
      <c r="W316" s="4513"/>
      <c r="X316" s="4513"/>
      <c r="Y316" s="4513"/>
      <c r="Z316" s="4513"/>
      <c r="AA316" s="4513"/>
      <c r="AB316" s="4513"/>
      <c r="AC316" s="4513"/>
      <c r="AD316" s="4513"/>
      <c r="AE316" s="4513"/>
      <c r="AF316" s="4513"/>
      <c r="AG316" s="4514"/>
      <c r="AH316" s="2369"/>
      <c r="AI316" s="4511"/>
      <c r="AJ316" s="2920" t="s">
        <v>9550</v>
      </c>
      <c r="AK316" s="2922"/>
      <c r="AL316" s="2922"/>
      <c r="AM316" s="2922" t="b">
        <f>ABS(SUM(N294:N296))&gt;(SUM(N289:N293)-10*Y294+AC294+IF(S285="Si",10*P285,0)+IF(COUNTIF(K289:M293,"Mantenido")&gt;0,P285*10)+MAX(IF(COUNTIF(K289:M293,"Sostenimiento Menor")&gt;0,P285*20)+IF(COUNTIF(K289:M293,"Sostenimiento Mayor")&gt;0,P285*30)))/2</f>
        <v>0</v>
      </c>
      <c r="AN316" s="2920"/>
      <c r="AO316" s="2920"/>
      <c r="AP316" s="2920"/>
      <c r="AQ316" s="2920"/>
      <c r="AR316" s="2921"/>
      <c r="AS316" s="2921"/>
      <c r="AT316" s="2921"/>
      <c r="AU316" s="2922"/>
      <c r="AV316" s="2922"/>
      <c r="AW316" s="2922"/>
      <c r="AX316" s="2920"/>
      <c r="AY316" s="2920"/>
    </row>
    <row r="317" spans="1:51" ht="12.2" customHeight="1" x14ac:dyDescent="0.2">
      <c r="A317" s="2360"/>
      <c r="B317" s="2252"/>
      <c r="C317" s="4403"/>
      <c r="D317" s="4403" t="str">
        <f>IFERROR(VLOOKUP(D298,'Tablas Técnicas'!$O$9:$T$88,2,FALSE),"")</f>
        <v/>
      </c>
      <c r="E317" s="4403"/>
      <c r="F317" s="4403"/>
      <c r="G317" s="4403"/>
      <c r="H317" s="4403"/>
      <c r="I317" s="4403"/>
      <c r="J317" s="4403" t="str">
        <f>IFERROR(VLOOKUP(J298,'Tablas Técnicas'!$O$9:$T$88,2,FALSE),"")</f>
        <v/>
      </c>
      <c r="K317" s="4403"/>
      <c r="L317" s="4403"/>
      <c r="M317" s="4403"/>
      <c r="N317" s="4403"/>
      <c r="O317" s="4403"/>
      <c r="P317" s="4403" t="str">
        <f>IFERROR(VLOOKUP(P298,'Tablas Técnicas'!$O$9:$T$88,2,FALSE),"")</f>
        <v/>
      </c>
      <c r="Q317" s="4403"/>
      <c r="R317" s="4403"/>
      <c r="S317" s="4403"/>
      <c r="T317" s="4403"/>
      <c r="U317" s="4403"/>
      <c r="V317" s="4403" t="str">
        <f>IFERROR(VLOOKUP(V298,'Tablas Técnicas'!$O$9:$T$88,2,FALSE),"")</f>
        <v/>
      </c>
      <c r="W317" s="4403"/>
      <c r="X317" s="4403"/>
      <c r="Y317" s="4403"/>
      <c r="Z317" s="4403"/>
      <c r="AA317" s="4403"/>
      <c r="AB317" s="4403" t="str">
        <f>IFERROR(VLOOKUP(AB298,'Tablas Técnicas'!$O$9:$T$88,2,FALSE),"")</f>
        <v/>
      </c>
      <c r="AC317" s="4403"/>
      <c r="AD317" s="4403"/>
      <c r="AE317" s="4403"/>
      <c r="AF317" s="4403"/>
      <c r="AG317" s="4403"/>
      <c r="AH317" s="2369"/>
      <c r="AI317" s="2073"/>
      <c r="AJ317" s="2920"/>
      <c r="AK317" s="2920"/>
      <c r="AL317" s="2920"/>
      <c r="AM317" s="2920"/>
      <c r="AN317" s="2920"/>
      <c r="AO317" s="2920"/>
      <c r="AP317" s="2920"/>
      <c r="AQ317" s="2920"/>
      <c r="AR317" s="2921"/>
      <c r="AS317" s="2921"/>
      <c r="AT317" s="2921"/>
      <c r="AU317" s="2922"/>
      <c r="AV317" s="2922"/>
      <c r="AW317" s="2922"/>
      <c r="AX317" s="2922"/>
      <c r="AY317" s="2920"/>
    </row>
    <row r="318" spans="1:51" ht="12.2" customHeight="1" thickBot="1" x14ac:dyDescent="0.25">
      <c r="A318" s="2360"/>
      <c r="B318" s="2252"/>
      <c r="C318" s="4403"/>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28"/>
      <c r="AK318" s="2928"/>
      <c r="AL318" s="2928"/>
      <c r="AM318" s="2928"/>
      <c r="AN318" s="2928"/>
      <c r="AO318" s="2928"/>
      <c r="AP318" s="2920"/>
      <c r="AQ318" s="2921"/>
      <c r="AR318" s="2922"/>
      <c r="AS318" s="2922"/>
      <c r="AT318" s="2922"/>
      <c r="AU318" s="2922"/>
      <c r="AV318" s="2922"/>
      <c r="AW318" s="2922"/>
      <c r="AX318" s="2922"/>
      <c r="AY318" s="2929"/>
    </row>
    <row r="319" spans="1:51" ht="12.2" customHeight="1" x14ac:dyDescent="0.2">
      <c r="A319" s="2360"/>
      <c r="B319" s="2252">
        <f t="shared" ref="B319:B349" si="80">1+B285</f>
        <v>10</v>
      </c>
      <c r="C319" s="4507" t="str">
        <f>"Técnica "&amp;B319</f>
        <v>Técnica 10</v>
      </c>
      <c r="D319" s="4497" t="s">
        <v>8918</v>
      </c>
      <c r="E319" s="4498"/>
      <c r="F319" s="4498"/>
      <c r="G319" s="4498"/>
      <c r="H319" s="4498"/>
      <c r="I319" s="4498"/>
      <c r="J319" s="4498"/>
      <c r="K319" s="4498"/>
      <c r="L319" s="4498"/>
      <c r="M319" s="4498"/>
      <c r="N319" s="4499"/>
      <c r="O319" s="4458" t="s">
        <v>1328</v>
      </c>
      <c r="P319" s="4460">
        <v>1</v>
      </c>
      <c r="Q319" s="4377" t="s">
        <v>9002</v>
      </c>
      <c r="R319" s="4453"/>
      <c r="S319" s="4455" t="s">
        <v>1384</v>
      </c>
      <c r="T319" s="4378" t="s">
        <v>1509</v>
      </c>
      <c r="U319" s="4440">
        <f>MAX(IF(P319=3,60,IF(P319=2,40,20)),MIN(SUM(N323:N330)-10*Y328+AC328+IF(S319="Si",10*P319,0)+IF(COUNTIF(K323:M327,"Mantenido")&gt;0,P319*10)+MAX(IF(COUNTIF(K323:M327,"Sostenimiento Menor")&gt;0,P319*20)+IF(COUNTIF(K323:M327,"Sostenimiento Mayor")&gt;0,P319*30))))</f>
        <v>20</v>
      </c>
      <c r="V319" s="4377" t="s">
        <v>9003</v>
      </c>
      <c r="W319" s="4378"/>
      <c r="X319" s="4381" t="str">
        <f>IFERROR(LEFT(AK335&amp;AL335&amp;AM335&amp;AN335&amp;AO335&amp;AP335,LEN(AK335&amp;AL335&amp;AM335&amp;AN335&amp;AO335&amp;AP335)-2),"")</f>
        <v/>
      </c>
      <c r="Y319" s="4381"/>
      <c r="Z319" s="4381"/>
      <c r="AA319" s="4381"/>
      <c r="AB319" s="4381"/>
      <c r="AC319" s="4381"/>
      <c r="AD319" s="4381"/>
      <c r="AE319" s="4381"/>
      <c r="AF319" s="4381"/>
      <c r="AG319" s="4382"/>
      <c r="AH319" s="2369"/>
      <c r="AI319" s="4511"/>
      <c r="AJ319" s="2925" t="s">
        <v>9547</v>
      </c>
      <c r="AK319" s="2925"/>
      <c r="AL319" s="2925"/>
      <c r="AM319" s="2925"/>
      <c r="AN319" s="2925"/>
      <c r="AO319" s="2925"/>
      <c r="AP319" s="2925"/>
      <c r="AQ319" s="2925"/>
      <c r="AR319" s="2925"/>
      <c r="AS319" s="2920"/>
      <c r="AT319" s="2920"/>
      <c r="AU319" s="2920"/>
      <c r="AV319" s="2920"/>
      <c r="AW319" s="2922"/>
      <c r="AX319" s="2922"/>
      <c r="AY319" s="2920"/>
    </row>
    <row r="320" spans="1:51" ht="12.2" customHeight="1" x14ac:dyDescent="0.2">
      <c r="A320" s="2360"/>
      <c r="B320" s="2252">
        <f t="shared" si="80"/>
        <v>10</v>
      </c>
      <c r="C320" s="4508"/>
      <c r="D320" s="4500"/>
      <c r="E320" s="4520"/>
      <c r="F320" s="4520"/>
      <c r="G320" s="4520"/>
      <c r="H320" s="4520"/>
      <c r="I320" s="4520"/>
      <c r="J320" s="4520"/>
      <c r="K320" s="4520"/>
      <c r="L320" s="4520"/>
      <c r="M320" s="4520"/>
      <c r="N320" s="4521"/>
      <c r="O320" s="4459"/>
      <c r="P320" s="4456"/>
      <c r="Q320" s="4379"/>
      <c r="R320" s="4454"/>
      <c r="S320" s="4456"/>
      <c r="T320" s="4457"/>
      <c r="U320" s="4441"/>
      <c r="V320" s="4379"/>
      <c r="W320" s="4457"/>
      <c r="X320" s="4522"/>
      <c r="Y320" s="4522"/>
      <c r="Z320" s="4522"/>
      <c r="AA320" s="4522"/>
      <c r="AB320" s="4522"/>
      <c r="AC320" s="4522"/>
      <c r="AD320" s="4522"/>
      <c r="AE320" s="4522"/>
      <c r="AF320" s="4522"/>
      <c r="AG320" s="4384"/>
      <c r="AH320" s="2369"/>
      <c r="AI320" s="4511"/>
      <c r="AJ320" s="2925"/>
      <c r="AK320" s="2925" t="s">
        <v>9548</v>
      </c>
      <c r="AL320" s="2925" t="s">
        <v>10268</v>
      </c>
      <c r="AM320" s="2926"/>
      <c r="AN320" s="2926"/>
      <c r="AO320" s="2926"/>
      <c r="AP320" s="2926"/>
      <c r="AQ320" s="2926"/>
      <c r="AR320" s="2925"/>
      <c r="AS320" s="2920"/>
      <c r="AT320" s="2920"/>
      <c r="AU320" s="2920"/>
      <c r="AV320" s="2920"/>
      <c r="AW320" s="2922"/>
      <c r="AX320" s="4510" t="s">
        <v>9517</v>
      </c>
      <c r="AY320" s="4510"/>
    </row>
    <row r="321" spans="1:51" ht="12.2" customHeight="1" x14ac:dyDescent="0.2">
      <c r="A321" s="2360"/>
      <c r="B321" s="2252">
        <f t="shared" si="80"/>
        <v>10</v>
      </c>
      <c r="C321" s="4508"/>
      <c r="D321" s="4386" t="s">
        <v>2858</v>
      </c>
      <c r="E321" s="4387"/>
      <c r="F321" s="4387"/>
      <c r="G321" s="4387"/>
      <c r="H321" s="4387"/>
      <c r="I321" s="4387"/>
      <c r="J321" s="4387"/>
      <c r="K321" s="4467" t="s">
        <v>9847</v>
      </c>
      <c r="L321" s="4467"/>
      <c r="M321" s="4467"/>
      <c r="N321" s="4387" t="s">
        <v>1503</v>
      </c>
      <c r="O321" s="4467" t="s">
        <v>2856</v>
      </c>
      <c r="P321" s="4467" t="s">
        <v>9004</v>
      </c>
      <c r="Q321" s="4387" t="s">
        <v>1367</v>
      </c>
      <c r="R321" s="4387"/>
      <c r="S321" s="4387"/>
      <c r="T321" s="4387"/>
      <c r="U321" s="4387"/>
      <c r="V321" s="4376" t="s">
        <v>1376</v>
      </c>
      <c r="W321" s="4354"/>
      <c r="X321" s="4376" t="s">
        <v>1501</v>
      </c>
      <c r="Y321" s="4464"/>
      <c r="Z321" s="4354" t="s">
        <v>1381</v>
      </c>
      <c r="AA321" s="4354"/>
      <c r="AB321" s="4376" t="s">
        <v>1386</v>
      </c>
      <c r="AC321" s="4464"/>
      <c r="AD321" s="4354" t="s">
        <v>1394</v>
      </c>
      <c r="AE321" s="4354"/>
      <c r="AF321" s="4376" t="s">
        <v>1395</v>
      </c>
      <c r="AG321" s="4355"/>
      <c r="AH321" s="2369"/>
      <c r="AI321" s="4511"/>
      <c r="AJ321" s="2920"/>
      <c r="AK321" s="2920"/>
      <c r="AL321" s="2920" t="s">
        <v>9825</v>
      </c>
      <c r="AM321" s="2920"/>
      <c r="AN321" s="2920"/>
      <c r="AO321" s="2920"/>
      <c r="AP321" s="2920"/>
      <c r="AQ321" s="2920"/>
      <c r="AR321" s="2922"/>
      <c r="AS321" s="2922" t="s">
        <v>9537</v>
      </c>
      <c r="AT321" s="2922" t="s">
        <v>9538</v>
      </c>
      <c r="AU321" s="2920" t="s">
        <v>9526</v>
      </c>
      <c r="AV321" s="2920" t="s">
        <v>9527</v>
      </c>
      <c r="AW321" s="2922" t="s">
        <v>1503</v>
      </c>
      <c r="AX321" s="2922" t="s">
        <v>9006</v>
      </c>
      <c r="AY321" s="2920" t="s">
        <v>9007</v>
      </c>
    </row>
    <row r="322" spans="1:51" ht="12.2" customHeight="1" x14ac:dyDescent="0.2">
      <c r="A322" s="2360"/>
      <c r="B322" s="2252">
        <f t="shared" si="80"/>
        <v>10</v>
      </c>
      <c r="C322" s="4508"/>
      <c r="D322" s="4515"/>
      <c r="E322" s="4516"/>
      <c r="F322" s="4516"/>
      <c r="G322" s="4516"/>
      <c r="H322" s="4516"/>
      <c r="I322" s="4516"/>
      <c r="J322" s="4516"/>
      <c r="K322" s="4517"/>
      <c r="L322" s="4517"/>
      <c r="M322" s="4517"/>
      <c r="N322" s="4518"/>
      <c r="O322" s="4517"/>
      <c r="P322" s="4519"/>
      <c r="Q322" s="4518"/>
      <c r="R322" s="4518"/>
      <c r="S322" s="4518"/>
      <c r="T322" s="4518"/>
      <c r="U322" s="4518"/>
      <c r="V322" s="2257" t="s">
        <v>9516</v>
      </c>
      <c r="W322" s="2361" t="s">
        <v>2862</v>
      </c>
      <c r="X322" s="2257" t="s">
        <v>9516</v>
      </c>
      <c r="Y322" s="2361" t="s">
        <v>2862</v>
      </c>
      <c r="Z322" s="2257" t="s">
        <v>9516</v>
      </c>
      <c r="AA322" s="2361" t="s">
        <v>2862</v>
      </c>
      <c r="AB322" s="2257" t="s">
        <v>9516</v>
      </c>
      <c r="AC322" s="2361" t="s">
        <v>2862</v>
      </c>
      <c r="AD322" s="2257" t="s">
        <v>9516</v>
      </c>
      <c r="AE322" s="2361" t="s">
        <v>2862</v>
      </c>
      <c r="AF322" s="2257" t="s">
        <v>9516</v>
      </c>
      <c r="AG322" s="2080" t="s">
        <v>2862</v>
      </c>
      <c r="AH322" s="2369"/>
      <c r="AI322" s="4511"/>
      <c r="AJ322" s="2920"/>
      <c r="AK322" s="2920" t="s">
        <v>9518</v>
      </c>
      <c r="AL322" s="2920">
        <v>1</v>
      </c>
      <c r="AM322" s="2920">
        <v>2</v>
      </c>
      <c r="AN322" s="2920">
        <v>3</v>
      </c>
      <c r="AO322" s="2920">
        <v>4</v>
      </c>
      <c r="AP322" s="2920">
        <v>5</v>
      </c>
      <c r="AQ322" s="2920">
        <v>6</v>
      </c>
      <c r="AR322" s="2920">
        <v>7</v>
      </c>
      <c r="AS322" s="2922"/>
      <c r="AT322" s="2920" t="s">
        <v>9549</v>
      </c>
      <c r="AU322" s="2922"/>
      <c r="AV322" s="2922"/>
      <c r="AW322" s="2922" t="s">
        <v>9549</v>
      </c>
      <c r="AX322" s="2922"/>
      <c r="AY322" s="2920"/>
    </row>
    <row r="323" spans="1:51" ht="12.2" customHeight="1" x14ac:dyDescent="0.2">
      <c r="A323" s="2360"/>
      <c r="B323" s="2252">
        <f t="shared" si="80"/>
        <v>10</v>
      </c>
      <c r="C323" s="4508"/>
      <c r="D323" s="4486" t="s">
        <v>9008</v>
      </c>
      <c r="E323" s="4487"/>
      <c r="F323" s="4488"/>
      <c r="G323" s="4489"/>
      <c r="H323" s="4489"/>
      <c r="I323" s="4489"/>
      <c r="J323" s="4411"/>
      <c r="K323" s="4490" t="s">
        <v>1459</v>
      </c>
      <c r="L323" s="4491"/>
      <c r="M323" s="4492"/>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93" t="str">
        <f>IFERROR(VLOOKUP(F323,'Tablas Técnicas'!$O$9:$T$88,5,FALSE),"")</f>
        <v/>
      </c>
      <c r="R323" s="4493"/>
      <c r="S323" s="4493"/>
      <c r="T323" s="4493"/>
      <c r="U323" s="4493"/>
      <c r="V323" s="2208"/>
      <c r="W323" s="2209"/>
      <c r="X323" s="2208"/>
      <c r="Y323" s="2210"/>
      <c r="Z323" s="2211"/>
      <c r="AA323" s="2209"/>
      <c r="AB323" s="2208"/>
      <c r="AC323" s="2210"/>
      <c r="AD323" s="2211"/>
      <c r="AE323" s="2209"/>
      <c r="AF323" s="2208"/>
      <c r="AG323" s="2212"/>
      <c r="AH323" s="2369"/>
      <c r="AI323" s="4511"/>
      <c r="AJ323" s="2920">
        <v>1</v>
      </c>
      <c r="AK323" s="2920">
        <f>P319</f>
        <v>1</v>
      </c>
      <c r="AL323" s="2920" t="str">
        <f>IF(AND(ISNUMBER(MATCH($F323,'Tablas Técnicas'!$L$10:$L$643,0)),INDEX($D336:$D342,Tablas!A$1)="",COUNTIF(AM323:$AS323,$F323)=0),$F323,IF(INDEX($D336:$D342,Tablas!A$1)="","",$F323&amp;INDEX($D336:$D342,Tablas!A$1)))</f>
        <v/>
      </c>
      <c r="AM323" s="2920" t="str">
        <f>IF(AND(ISNUMBER(MATCH($F323,'Tablas Técnicas'!$L$10:$L$643,0)),INDEX($D336:$D342,Tablas!B$1)="",COUNTIF(AN323:$AS323,$F323)=0),$F323,IF(INDEX($D336:$D342,Tablas!B$1)="","",$F323&amp;INDEX($D336:$D342,Tablas!B$1)))</f>
        <v/>
      </c>
      <c r="AN323" s="2920" t="str">
        <f>IF(AND(ISNUMBER(MATCH($F323,'Tablas Técnicas'!$L$10:$L$643,0)),INDEX($D336:$D342,Tablas!C$1)="",COUNTIF(AO323:$AS323,$F323)=0),$F323,IF(INDEX($D336:$D342,Tablas!C$1)="","",$F323&amp;INDEX($D336:$D342,Tablas!C$1)))</f>
        <v/>
      </c>
      <c r="AO323" s="2920" t="str">
        <f>IF(AND(ISNUMBER(MATCH($F323,'Tablas Técnicas'!$L$10:$L$643,0)),INDEX($D336:$D342,Tablas!D$1)="",COUNTIF(AP323:$AS323,$F323)=0),$F323,IF(INDEX($D336:$D342,Tablas!D$1)="","",$F323&amp;INDEX($D336:$D342,Tablas!D$1)))</f>
        <v/>
      </c>
      <c r="AP323" s="2920" t="str">
        <f>IF(AND(ISNUMBER(MATCH($F323,'Tablas Técnicas'!$L$10:$L$643,0)),INDEX($D336:$D342,Tablas!E$1)="",COUNTIF(AQ323:$AS323,$F323)=0),$F323,IF(INDEX($D336:$D342,Tablas!E$1)="","",$F323&amp;INDEX($D336:$D342,Tablas!E$1)))</f>
        <v/>
      </c>
      <c r="AQ323" s="2920" t="str">
        <f>IF(AND(ISNUMBER(MATCH($F323,'Tablas Técnicas'!$L$10:$L$643,0)),INDEX($D336:$D342,Tablas!F$1)="",COUNTIF(AR323:$AS323,$F323)=0),$F323,IF(INDEX($D336:$D342,Tablas!F$1)="","",$F323&amp;INDEX($D336:$D342,Tablas!F$1)))</f>
        <v/>
      </c>
      <c r="AR323" s="2920" t="str">
        <f>IF(AND(ISNUMBER(MATCH($F323,'Tablas Técnicas'!$L$10:$L$643,0)),INDEX($D336:$D342,Tablas!G$1)="",COUNTIF(AS323:$AS323,$F323)=0),$F323,IF(INDEX($D336:$D342,Tablas!G$1)="","",$F323&amp;INDEX($D336:$D342,Tablas!G$1)))</f>
        <v/>
      </c>
      <c r="AS323" s="2922">
        <f>V323+X323+Z323+AB323+AD323+AF323</f>
        <v>0</v>
      </c>
      <c r="AT323" s="2922">
        <f t="array" ref="AT323">SUM(IF($AL323:$AR323='Tablas Técnicas'!$L$10:$L$643,IF(D323="Primario",'Tablas Técnicas'!$E$10:$E$643,'Tablas Técnicas'!$F$10:$F$643)+IF(K323="Sostenimiento menor",'Tablas Técnicas'!$I$10:$I$643,IF(K323="sostenimiento mayor",'Tablas Técnicas'!$J$10:$J$643,0)),0),0)+VALUE(RIGHT(P323,2))+AU323+AV323</f>
        <v>0</v>
      </c>
      <c r="AU323" s="292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22">
        <f>(COUNTIF(AL323:AR323,"*Estado añadido:*")-1)*COUNTIF(AL323:AR323,"*Estado añadido:*")</f>
        <v>0</v>
      </c>
      <c r="AW323" s="2922">
        <f t="array" ref="AW323">SUM(IF($AL323:$AR323='Tablas Técnicas'!$L$10:$L$643,'Tablas Técnicas'!$G$10:$G$643,0))</f>
        <v>0</v>
      </c>
      <c r="AX323" s="2920"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20" t="str">
        <f t="shared" ref="AY323:AY325" si="81">IFERROR(LEFT(AX323,LEN(AX323)-2)&amp;"), ","")</f>
        <v/>
      </c>
    </row>
    <row r="324" spans="1:51" ht="12.2" customHeight="1" x14ac:dyDescent="0.2">
      <c r="A324" s="2360"/>
      <c r="B324" s="2252">
        <f t="shared" si="80"/>
        <v>10</v>
      </c>
      <c r="C324" s="4508"/>
      <c r="D324" s="4392" t="s">
        <v>526</v>
      </c>
      <c r="E324" s="4393"/>
      <c r="F324" s="4473"/>
      <c r="G324" s="4474"/>
      <c r="H324" s="4474"/>
      <c r="I324" s="4474"/>
      <c r="J324" s="4420"/>
      <c r="K324" s="4475" t="s">
        <v>1459</v>
      </c>
      <c r="L324" s="4476"/>
      <c r="M324" s="4477"/>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39" t="str">
        <f>IFERROR(VLOOKUP(F324,'Tablas Técnicas'!$O$9:$T$88,5,FALSE),"")</f>
        <v/>
      </c>
      <c r="R324" s="4439"/>
      <c r="S324" s="4439"/>
      <c r="T324" s="4439"/>
      <c r="U324" s="4439"/>
      <c r="V324" s="2213"/>
      <c r="W324" s="2214"/>
      <c r="X324" s="2213"/>
      <c r="Y324" s="2215"/>
      <c r="Z324" s="2216"/>
      <c r="AA324" s="2214"/>
      <c r="AB324" s="2213"/>
      <c r="AC324" s="2215"/>
      <c r="AD324" s="2216"/>
      <c r="AE324" s="2214"/>
      <c r="AF324" s="2213"/>
      <c r="AG324" s="2217"/>
      <c r="AH324" s="2369"/>
      <c r="AI324" s="4511"/>
      <c r="AJ324" s="2920">
        <v>2</v>
      </c>
      <c r="AK324" s="2920">
        <f>P319</f>
        <v>1</v>
      </c>
      <c r="AL324" s="2920" t="str">
        <f>IF(AND(ISNUMBER(MATCH($F324,'Tablas Técnicas'!$L$10:$L$643,0)),INDEX($J336:$J342,Tablas!A$1)="",COUNTIF(AM324:$AS324,$F324)=0),$F324,IF(INDEX($J336:$J342,Tablas!A$1)="","",$F324&amp;INDEX($J336:$J342,Tablas!A$1)))</f>
        <v/>
      </c>
      <c r="AM324" s="2920" t="str">
        <f>IF(AND(ISNUMBER(MATCH($F324,'Tablas Técnicas'!$L$10:$L$643,0)),INDEX($J336:$J342,Tablas!B$1)="",COUNTIF(AN324:$AS324,$F324)=0),$F324,IF(INDEX($J336:$J342,Tablas!B$1)="","",$F324&amp;INDEX($J336:$J342,Tablas!B$1)))</f>
        <v/>
      </c>
      <c r="AN324" s="2920" t="str">
        <f>IF(AND(ISNUMBER(MATCH($F324,'Tablas Técnicas'!$L$10:$L$643,0)),INDEX($J336:$J342,Tablas!C$1)="",COUNTIF(AO324:$AS324,$F324)=0),$F324,IF(INDEX($J336:$J342,Tablas!C$1)="","",$F324&amp;INDEX($J336:$J342,Tablas!C$1)))</f>
        <v/>
      </c>
      <c r="AO324" s="2920" t="str">
        <f>IF(AND(ISNUMBER(MATCH($F324,'Tablas Técnicas'!$L$10:$L$643,0)),INDEX($J336:$J342,Tablas!D$1)="",COUNTIF(AP324:$AS324,$F324)=0),$F324,IF(INDEX($J336:$J342,Tablas!D$1)="","",$F324&amp;INDEX($J336:$J342,Tablas!D$1)))</f>
        <v/>
      </c>
      <c r="AP324" s="2920" t="str">
        <f>IF(AND(ISNUMBER(MATCH($F324,'Tablas Técnicas'!$L$10:$L$643,0)),INDEX($J336:$J342,Tablas!E$1)="",COUNTIF(AQ324:$AS324,$F324)=0),$F324,IF(INDEX($J336:$J342,Tablas!E$1)="","",$F324&amp;INDEX($J336:$J342,Tablas!E$1)))</f>
        <v/>
      </c>
      <c r="AQ324" s="2920" t="str">
        <f>IF(AND(ISNUMBER(MATCH($F324,'Tablas Técnicas'!$L$10:$L$643,0)),INDEX($J336:$J342,Tablas!F$1)="",COUNTIF(AR324:$AS324,$F324)=0),$F324,IF(INDEX($J336:$J342,Tablas!F$1)="","",$F324&amp;INDEX($J336:$J342,Tablas!F$1)))</f>
        <v/>
      </c>
      <c r="AR324" s="2920" t="str">
        <f>IF(AND(ISNUMBER(MATCH($F324,'Tablas Técnicas'!$L$10:$L$643,0)),INDEX($J336:$J342,Tablas!G$1)="",COUNTIF(AS324:$AS324,$F324)=0),$F324,IF(INDEX($J336:$J342,Tablas!G$1)="","",$F324&amp;INDEX($J336:$J342,Tablas!G$1)))</f>
        <v/>
      </c>
      <c r="AS324" s="2922">
        <f>V324+X324+Z324+AB324+AD324+AF324</f>
        <v>0</v>
      </c>
      <c r="AT324" s="2922">
        <f t="array" ref="AT324">SUM(IF($AL324:$AR324='Tablas Técnicas'!$L$10:$L$643,IF(D324="Primario",'Tablas Técnicas'!$E$10:$E$643,'Tablas Técnicas'!$F$10:$F$643)+IF(K324="Sostenimiento menor",'Tablas Técnicas'!$I$10:$I$643,IF(K324="sostenimiento mayor",'Tablas Técnicas'!$J$10:$J$643,0)),0),0)+VALUE(RIGHT(P324,2))+AU324+AV324</f>
        <v>0</v>
      </c>
      <c r="AU324" s="292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22">
        <f>(COUNTIF(AL324:AR324,"*Estado añadido:*")-1)*COUNTIF(AL324:AR324,"*Estado añadido:*")</f>
        <v>0</v>
      </c>
      <c r="AW324" s="2922">
        <f t="array" ref="AW324">SUM(IF($AL324:$AR324='Tablas Técnicas'!$L$10:$L$643,'Tablas Técnicas'!$G$10:$G$643,0))</f>
        <v>0</v>
      </c>
      <c r="AX324" s="2920"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20" t="str">
        <f t="shared" si="81"/>
        <v/>
      </c>
    </row>
    <row r="325" spans="1:51" ht="12.2" customHeight="1" x14ac:dyDescent="0.2">
      <c r="A325" s="2360"/>
      <c r="B325" s="2252">
        <f t="shared" si="80"/>
        <v>10</v>
      </c>
      <c r="C325" s="4508"/>
      <c r="D325" s="4481" t="s">
        <v>526</v>
      </c>
      <c r="E325" s="4482"/>
      <c r="F325" s="4398"/>
      <c r="G325" s="4399"/>
      <c r="H325" s="4399"/>
      <c r="I325" s="4399"/>
      <c r="J325" s="4400"/>
      <c r="K325" s="4478" t="s">
        <v>1459</v>
      </c>
      <c r="L325" s="4479"/>
      <c r="M325" s="4480"/>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523" t="str">
        <f>IFERROR(VLOOKUP(F325,'Tablas Técnicas'!$O$9:$T$88,5,FALSE),"")</f>
        <v/>
      </c>
      <c r="R325" s="4523"/>
      <c r="S325" s="4523"/>
      <c r="T325" s="4523"/>
      <c r="U325" s="4523"/>
      <c r="V325" s="2218"/>
      <c r="W325" s="2219"/>
      <c r="X325" s="2218"/>
      <c r="Y325" s="2220"/>
      <c r="Z325" s="2221"/>
      <c r="AA325" s="2219"/>
      <c r="AB325" s="2218"/>
      <c r="AC325" s="2220"/>
      <c r="AD325" s="2221"/>
      <c r="AE325" s="2219"/>
      <c r="AF325" s="2218"/>
      <c r="AG325" s="2222"/>
      <c r="AH325" s="2369"/>
      <c r="AI325" s="4511"/>
      <c r="AJ325" s="2920">
        <v>3</v>
      </c>
      <c r="AK325" s="2920">
        <f>P319</f>
        <v>1</v>
      </c>
      <c r="AL325" s="2920" t="str">
        <f>IF(AND(ISNUMBER(MATCH($F325,'Tablas Técnicas'!$L$10:$L$643,0)),INDEX($P336:$P342,Tablas!A$1)="",COUNTIF(AM325:$AS325,$F325)=0),$F325,IF(INDEX($P336:$P342,Tablas!A$1)="","",$F325&amp;INDEX($P336:$P342,Tablas!A$1)))</f>
        <v/>
      </c>
      <c r="AM325" s="2920" t="str">
        <f>IF(AND(ISNUMBER(MATCH($F325,'Tablas Técnicas'!$L$10:$L$643,0)),INDEX($P336:$P342,Tablas!B$1)="",COUNTIF(AN325:$AS325,$F325)=0),$F325,IF(INDEX($P336:$P342,Tablas!B$1)="","",$F325&amp;INDEX($P336:$P342,Tablas!B$1)))</f>
        <v/>
      </c>
      <c r="AN325" s="2920" t="str">
        <f>IF(AND(ISNUMBER(MATCH($F325,'Tablas Técnicas'!$L$10:$L$643,0)),INDEX($P336:$P342,Tablas!C$1)="",COUNTIF(AO325:$AS325,$F325)=0),$F325,IF(INDEX($P336:$P342,Tablas!C$1)="","",$F325&amp;INDEX($P336:$P342,Tablas!C$1)))</f>
        <v/>
      </c>
      <c r="AO325" s="2920" t="str">
        <f>IF(AND(ISNUMBER(MATCH($F325,'Tablas Técnicas'!$L$10:$L$643,0)),INDEX($P336:$P342,Tablas!D$1)="",COUNTIF(AP325:$AS325,$F325)=0),$F325,IF(INDEX($P336:$P342,Tablas!D$1)="","",$F325&amp;INDEX($P336:$P342,Tablas!D$1)))</f>
        <v/>
      </c>
      <c r="AP325" s="2920" t="str">
        <f>IF(AND(ISNUMBER(MATCH($F325,'Tablas Técnicas'!$L$10:$L$643,0)),INDEX($P336:$P342,Tablas!E$1)="",COUNTIF(AQ325:$AS325,$F325)=0),$F325,IF(INDEX($P336:$P342,Tablas!E$1)="","",$F325&amp;INDEX($P336:$P342,Tablas!E$1)))</f>
        <v/>
      </c>
      <c r="AQ325" s="2920" t="str">
        <f>IF(AND(ISNUMBER(MATCH($F325,'Tablas Técnicas'!$L$10:$L$643,0)),INDEX($P336:$P342,Tablas!F$1)="",COUNTIF(AR325:$AS325,$F325)=0),$F325,IF(INDEX($P336:$P342,Tablas!F$1)="","",$F325&amp;INDEX($P336:$P342,Tablas!F$1)))</f>
        <v/>
      </c>
      <c r="AR325" s="2920" t="str">
        <f>IF(AND(ISNUMBER(MATCH($F325,'Tablas Técnicas'!$L$10:$L$643,0)),INDEX($P336:$P342,Tablas!G$1)="",COUNTIF(AS325:$AS325,$F325)=0),$F325,IF(INDEX($P336:$P342,Tablas!G$1)="","",$F325&amp;INDEX($P336:$P342,Tablas!G$1)))</f>
        <v/>
      </c>
      <c r="AS325" s="2922">
        <f>V325+X325+Z325+AB325+AD325+AF325</f>
        <v>0</v>
      </c>
      <c r="AT325" s="2922">
        <f t="array" ref="AT325">SUM(IF($AL325:$AR325='Tablas Técnicas'!$L$10:$L$643,IF(D325="Primario",'Tablas Técnicas'!$E$10:$E$643,'Tablas Técnicas'!$F$10:$F$643)+IF(K325="Sostenimiento menor",'Tablas Técnicas'!$I$10:$I$643,IF(K325="sostenimiento mayor",'Tablas Técnicas'!$J$10:$J$643,0)),0),0)+VALUE(RIGHT(P325,2))+AU325+AV325</f>
        <v>0</v>
      </c>
      <c r="AU325" s="292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22">
        <f>(COUNTIF(AL325:AR325,"*Estado añadido:*")-1)*COUNTIF(AL325:AR325,"*Estado añadido:*")</f>
        <v>0</v>
      </c>
      <c r="AW325" s="2922">
        <f t="array" ref="AW325">SUM(IF($AL325:$AR325='Tablas Técnicas'!$L$10:$L$643,'Tablas Técnicas'!$G$10:$G$643,0))</f>
        <v>0</v>
      </c>
      <c r="AX325" s="2920" t="str">
        <f t="shared" si="82"/>
        <v/>
      </c>
      <c r="AY325" s="2920" t="str">
        <f t="shared" si="81"/>
        <v/>
      </c>
    </row>
    <row r="326" spans="1:51" ht="12.2" customHeight="1" x14ac:dyDescent="0.2">
      <c r="A326" s="2360"/>
      <c r="B326" s="2252">
        <f t="shared" si="80"/>
        <v>10</v>
      </c>
      <c r="C326" s="4508"/>
      <c r="D326" s="4392" t="s">
        <v>526</v>
      </c>
      <c r="E326" s="4393"/>
      <c r="F326" s="4473"/>
      <c r="G326" s="4474"/>
      <c r="H326" s="4474"/>
      <c r="I326" s="4474"/>
      <c r="J326" s="4420"/>
      <c r="K326" s="4475" t="s">
        <v>1459</v>
      </c>
      <c r="L326" s="4476"/>
      <c r="M326" s="4477"/>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39" t="str">
        <f>IFERROR(VLOOKUP(F326,'Tablas Técnicas'!$O$9:$T$88,5,FALSE),"")</f>
        <v/>
      </c>
      <c r="R326" s="4439"/>
      <c r="S326" s="4439"/>
      <c r="T326" s="4439"/>
      <c r="U326" s="4439"/>
      <c r="V326" s="2213"/>
      <c r="W326" s="2214"/>
      <c r="X326" s="2213"/>
      <c r="Y326" s="2215"/>
      <c r="Z326" s="2216"/>
      <c r="AA326" s="2214"/>
      <c r="AB326" s="2213"/>
      <c r="AC326" s="2215"/>
      <c r="AD326" s="2216"/>
      <c r="AE326" s="2214"/>
      <c r="AF326" s="2213"/>
      <c r="AG326" s="2217"/>
      <c r="AH326" s="2369"/>
      <c r="AI326" s="4511"/>
      <c r="AJ326" s="2920">
        <v>4</v>
      </c>
      <c r="AK326" s="2920">
        <f>P319</f>
        <v>1</v>
      </c>
      <c r="AL326" s="2920" t="str">
        <f>IF(AND(ISNUMBER(MATCH($F326,'Tablas Técnicas'!$L$10:$L$643,0)),INDEX($V336:$V342,Tablas!A$1)="",COUNTIF(AM326:$AS326,$F326)=0),$F326,IF(INDEX($V336:$V342,Tablas!A$1)="","",$F326&amp;INDEX($V336:$V342,Tablas!A$1)))</f>
        <v/>
      </c>
      <c r="AM326" s="2920" t="str">
        <f>IF(AND(ISNUMBER(MATCH($F326,'Tablas Técnicas'!$L$10:$L$643,0)),INDEX($V336:$V342,Tablas!B$1)="",COUNTIF(AN326:$AS326,$F326)=0),$F326,IF(INDEX($V336:$V342,Tablas!B$1)="","",$F326&amp;INDEX($V336:$V342,Tablas!B$1)))</f>
        <v/>
      </c>
      <c r="AN326" s="2920" t="str">
        <f>IF(AND(ISNUMBER(MATCH($F326,'Tablas Técnicas'!$L$10:$L$643,0)),INDEX($V336:$V342,Tablas!C$1)="",COUNTIF(AO326:$AS326,$F326)=0),$F326,IF(INDEX($V336:$V342,Tablas!C$1)="","",$F326&amp;INDEX($V336:$V342,Tablas!C$1)))</f>
        <v/>
      </c>
      <c r="AO326" s="2920" t="str">
        <f>IF(AND(ISNUMBER(MATCH($F326,'Tablas Técnicas'!$L$10:$L$643,0)),INDEX($V336:$V342,Tablas!D$1)="",COUNTIF(AP326:$AS326,$F326)=0),$F326,IF(INDEX($V336:$V342,Tablas!D$1)="","",$F326&amp;INDEX($V336:$V342,Tablas!D$1)))</f>
        <v/>
      </c>
      <c r="AP326" s="2920" t="str">
        <f>IF(AND(ISNUMBER(MATCH($F326,'Tablas Técnicas'!$L$10:$L$643,0)),INDEX($V336:$V342,Tablas!E$1)="",COUNTIF(AQ326:$AS326,$F326)=0),$F326,IF(INDEX($V336:$V342,Tablas!E$1)="","",$F326&amp;INDEX($V336:$V342,Tablas!E$1)))</f>
        <v/>
      </c>
      <c r="AQ326" s="2920" t="str">
        <f>IF(AND(ISNUMBER(MATCH($F326,'Tablas Técnicas'!$L$10:$L$643,0)),INDEX($V336:$V342,Tablas!F$1)="",COUNTIF(AR326:$AS326,$F326)=0),$F326,IF(INDEX($V336:$V342,Tablas!F$1)="","",$F326&amp;INDEX($V336:$V342,Tablas!F$1)))</f>
        <v/>
      </c>
      <c r="AR326" s="2920" t="str">
        <f>IF(AND(ISNUMBER(MATCH($F326,'Tablas Técnicas'!$L$10:$L$643,0)),INDEX($V336:$V342,Tablas!G$1)="",COUNTIF(AS326:$AS326,$F326)=0),$F326,IF(INDEX($V336:$V342,Tablas!G$1)="","",$F326&amp;INDEX($V336:$V342,Tablas!G$1)))</f>
        <v/>
      </c>
      <c r="AS326" s="2922">
        <f>V326+X326+Z326+AB326+AD326+AF326</f>
        <v>0</v>
      </c>
      <c r="AT326" s="2922">
        <f t="array" ref="AT326">SUM(IF($AL326:$AR326='Tablas Técnicas'!$L$10:$L$643,IF(D326="Primario",'Tablas Técnicas'!$E$10:$E$643,'Tablas Técnicas'!$F$10:$F$643)+IF(K326="Sostenimiento menor",'Tablas Técnicas'!$I$10:$I$643,IF(K326="sostenimiento mayor",'Tablas Técnicas'!$J$10:$J$643,0)),0),0)+VALUE(RIGHT(P326,2))+AU326+AV326</f>
        <v>0</v>
      </c>
      <c r="AU326" s="292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22">
        <f>(COUNTIF(AL326:AR326,"*Estado añadido:*")-1)*COUNTIF(AL326:AR326,"*Estado añadido:*")</f>
        <v>0</v>
      </c>
      <c r="AW326" s="2922">
        <f t="array" ref="AW326">SUM(IF($AL326:$AR326='Tablas Técnicas'!$L$10:$L$643,'Tablas Técnicas'!$G$10:$G$643,0))</f>
        <v>0</v>
      </c>
      <c r="AX326" s="2920" t="str">
        <f t="shared" si="82"/>
        <v/>
      </c>
      <c r="AY326" s="2920" t="str">
        <f>IFERROR(LEFT(AX326,LEN(AX326)-2)&amp;"), ","")</f>
        <v/>
      </c>
    </row>
    <row r="327" spans="1:51" ht="12.2" customHeight="1" thickBot="1" x14ac:dyDescent="0.25">
      <c r="A327" s="2360"/>
      <c r="B327" s="2252">
        <f t="shared" si="80"/>
        <v>10</v>
      </c>
      <c r="C327" s="4508"/>
      <c r="D327" s="4395" t="s">
        <v>526</v>
      </c>
      <c r="E327" s="4396"/>
      <c r="F327" s="4494"/>
      <c r="G327" s="4495"/>
      <c r="H327" s="4495"/>
      <c r="I327" s="4495"/>
      <c r="J327" s="4496"/>
      <c r="K327" s="4470" t="s">
        <v>1459</v>
      </c>
      <c r="L327" s="4471"/>
      <c r="M327" s="4472"/>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46" t="str">
        <f>IFERROR(VLOOKUP(F327,'Tablas Técnicas'!$O$9:$T$88,5,FALSE),"")</f>
        <v/>
      </c>
      <c r="R327" s="4446"/>
      <c r="S327" s="4446"/>
      <c r="T327" s="4446"/>
      <c r="U327" s="4446"/>
      <c r="V327" s="2223"/>
      <c r="W327" s="2224"/>
      <c r="X327" s="2223"/>
      <c r="Y327" s="2225"/>
      <c r="Z327" s="2226"/>
      <c r="AA327" s="2224"/>
      <c r="AB327" s="2223"/>
      <c r="AC327" s="2225"/>
      <c r="AD327" s="2226"/>
      <c r="AE327" s="2224"/>
      <c r="AF327" s="2223"/>
      <c r="AG327" s="2227"/>
      <c r="AH327" s="2369"/>
      <c r="AI327" s="4511"/>
      <c r="AJ327" s="2920">
        <v>5</v>
      </c>
      <c r="AK327" s="2920">
        <f>P319</f>
        <v>1</v>
      </c>
      <c r="AL327" s="2920" t="str">
        <f>IF(AND(ISNUMBER(MATCH($F327,'Tablas Técnicas'!$L$10:$L$643,0)),INDEX($AB336:$AB342,Tablas!A$1)="",COUNTIF(AM327:$AS327,$F327)=0),$F327,IF(INDEX($AB336:$AB342,Tablas!A$1)="","",$F327&amp;INDEX($AB336:$AB342,Tablas!A$1)))</f>
        <v/>
      </c>
      <c r="AM327" s="2920" t="str">
        <f>IF(AND(ISNUMBER(MATCH($F327,'Tablas Técnicas'!$L$10:$L$643,0)),INDEX($AB336:$AB342,Tablas!B$1)="",COUNTIF(AN327:$AS327,$F327)=0),$F327,IF(INDEX($AB336:$AB342,Tablas!B$1)="","",$F327&amp;INDEX($AB336:$AB342,Tablas!B$1)))</f>
        <v/>
      </c>
      <c r="AN327" s="2920" t="str">
        <f>IF(AND(ISNUMBER(MATCH($F327,'Tablas Técnicas'!$L$10:$L$643,0)),INDEX($AB336:$AB342,Tablas!C$1)="",COUNTIF(AO327:$AS327,$F327)=0),$F327,IF(INDEX($AB336:$AB342,Tablas!C$1)="","",$F327&amp;INDEX($AB336:$AB342,Tablas!C$1)))</f>
        <v/>
      </c>
      <c r="AO327" s="2920" t="str">
        <f>IF(AND(ISNUMBER(MATCH($F327,'Tablas Técnicas'!$L$10:$L$643,0)),INDEX($AB336:$AB342,Tablas!D$1)="",COUNTIF(AP327:$AS327,$F327)=0),$F327,IF(INDEX($AB336:$AB342,Tablas!D$1)="","",$F327&amp;INDEX($AB336:$AB342,Tablas!D$1)))</f>
        <v/>
      </c>
      <c r="AP327" s="2920" t="str">
        <f>IF(AND(ISNUMBER(MATCH($F327,'Tablas Técnicas'!$L$10:$L$643,0)),INDEX($AB336:$AB342,Tablas!E$1)="",COUNTIF(AQ327:$AS327,$F327)=0),$F327,IF(INDEX($AB336:$AB342,Tablas!E$1)="","",$F327&amp;INDEX($AB336:$AB342,Tablas!E$1)))</f>
        <v/>
      </c>
      <c r="AQ327" s="2920" t="str">
        <f>IF(AND(ISNUMBER(MATCH($F327,'Tablas Técnicas'!$L$10:$L$643,0)),INDEX($AB336:$AB342,Tablas!F$1)="",COUNTIF(AR327:$AS327,$F327)=0),$F327,IF(INDEX($AB336:$AB342,Tablas!F$1)="","",$F327&amp;INDEX($AB336:$AB342,Tablas!F$1)))</f>
        <v/>
      </c>
      <c r="AR327" s="2920" t="str">
        <f>IF(AND(ISNUMBER(MATCH($F327,'Tablas Técnicas'!$L$10:$L$643,0)),INDEX($AB336:$AB342,Tablas!G$1)="",COUNTIF(AS327:$AS327,$F327)=0),$F327,IF(INDEX($AB336:$AB342,Tablas!G$1)="","",$F327&amp;INDEX($AB336:$AB342,Tablas!G$1)))</f>
        <v/>
      </c>
      <c r="AS327" s="2922">
        <f>V327+X327+Z327+AB327+AD327+AF327</f>
        <v>0</v>
      </c>
      <c r="AT327" s="2922">
        <f t="array" ref="AT327">SUM(IF($AL327:$AR327='Tablas Técnicas'!$L$10:$L$643,IF(D327="Primario",'Tablas Técnicas'!$E$10:$E$643,'Tablas Técnicas'!$F$10:$F$643)+IF(K327="Sostenimiento menor",'Tablas Técnicas'!$I$10:$I$643,IF(K327="sostenimiento mayor",'Tablas Técnicas'!$J$10:$J$643,0)),0),0)+VALUE(RIGHT(P327,2))+AU327+AV327</f>
        <v>0</v>
      </c>
      <c r="AU327" s="292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22">
        <f>(COUNTIF(AL327:AR327,"*Estado añadido:*")-1)*COUNTIF(AL327:AR327,"*Estado añadido:*")</f>
        <v>0</v>
      </c>
      <c r="AW327" s="2922">
        <f t="array" ref="AW327">SUM(IF($AL327:$AR327='Tablas Técnicas'!$L$10:$L$643,'Tablas Técnicas'!$G$10:$G$643,0))</f>
        <v>0</v>
      </c>
      <c r="AX327" s="2920" t="str">
        <f t="shared" si="82"/>
        <v/>
      </c>
      <c r="AY327" s="2920" t="str">
        <f t="shared" ref="AY327" si="83">IFERROR(LEFT(AX327,LEN(AX327)-2)&amp;"), ","")</f>
        <v/>
      </c>
    </row>
    <row r="328" spans="1:51" ht="12.2" customHeight="1" x14ac:dyDescent="0.2">
      <c r="A328" s="2360"/>
      <c r="B328" s="2252">
        <f t="shared" si="80"/>
        <v>10</v>
      </c>
      <c r="C328" s="4508"/>
      <c r="D328" s="4447" t="s">
        <v>2853</v>
      </c>
      <c r="E328" s="4448"/>
      <c r="F328" s="4435"/>
      <c r="G328" s="4436"/>
      <c r="H328" s="4436"/>
      <c r="I328" s="4436"/>
      <c r="J328" s="4437"/>
      <c r="K328" s="4411"/>
      <c r="L328" s="4412"/>
      <c r="M328" s="4413"/>
      <c r="N328" s="2081" t="str">
        <f>IFERROR(INDEX('Tablas Técnicas'!$Q$200:$Q$299,MATCH(F328&amp;K328,'Tablas Técnicas'!$S$200:$S$299,0)),"")</f>
        <v/>
      </c>
      <c r="O328" s="4414"/>
      <c r="P328" s="4415"/>
      <c r="Q328" s="4416"/>
      <c r="R328" s="4415"/>
      <c r="S328" s="2258" t="str">
        <f>IFERROR("Nivel: "&amp;MAX(1,INDEX('Tablas Técnicas'!$R$200:$R$299,MATCH(F328&amp;K328,'Tablas Técnicas'!$S$200:$S$299,0))),"")</f>
        <v/>
      </c>
      <c r="T328" s="2082"/>
      <c r="U328" s="2083" t="str">
        <f>IFERROR("("&amp;VLOOKUP(F328,'Tablas Técnicas'!$V$199:$X$225,3,FALSE)&amp;")","")</f>
        <v/>
      </c>
      <c r="V328" s="4356" t="s">
        <v>9836</v>
      </c>
      <c r="W328" s="4357"/>
      <c r="X328" s="4358"/>
      <c r="Y328" s="2528">
        <v>0</v>
      </c>
      <c r="Z328" s="4359" t="s">
        <v>9013</v>
      </c>
      <c r="AA328" s="4360"/>
      <c r="AB328" s="4361"/>
      <c r="AC328" s="2528">
        <v>0</v>
      </c>
      <c r="AD328" s="4362" t="str">
        <f>"Ki sin repartir: "&amp;AL336-AL337&amp;IF(AM336=0,""," ("&amp;AM336-AM337&amp;")")</f>
        <v>Ki sin repartir: 0</v>
      </c>
      <c r="AE328" s="4363"/>
      <c r="AF328" s="4363"/>
      <c r="AG328" s="4364"/>
      <c r="AH328" s="2369"/>
      <c r="AI328" s="4511"/>
      <c r="AJ328" s="2920">
        <v>1</v>
      </c>
      <c r="AK328" s="2920">
        <f>P319</f>
        <v>1</v>
      </c>
      <c r="AL328" s="2920" t="e">
        <f>VLOOKUP(F328,'Tablas Técnicas'!$V$199:$X$221,2,FALSE)</f>
        <v>#N/A</v>
      </c>
      <c r="AM328" s="2920"/>
      <c r="AN328" s="2921"/>
      <c r="AO328" s="2920"/>
      <c r="AP328" s="2920"/>
      <c r="AQ328" s="2921"/>
      <c r="AR328" s="2920"/>
      <c r="AS328" s="2920"/>
      <c r="AT328" s="2920"/>
      <c r="AU328" s="2920"/>
      <c r="AV328" s="2920"/>
      <c r="AW328" s="2922"/>
      <c r="AX328" s="2922"/>
      <c r="AY328" s="2920" t="str">
        <f>IF(F328="","",F328&amp;IF(K328="",""," ("&amp;IF(F328="Atadura Elemental",O328&amp;IF(Q328="","",", "&amp;Q328),K328)&amp;")")&amp;", ")</f>
        <v/>
      </c>
    </row>
    <row r="329" spans="1:51" ht="12.2" customHeight="1" x14ac:dyDescent="0.2">
      <c r="A329" s="2360"/>
      <c r="B329" s="2252">
        <f t="shared" si="80"/>
        <v>10</v>
      </c>
      <c r="C329" s="4508"/>
      <c r="D329" s="4449"/>
      <c r="E329" s="4450"/>
      <c r="F329" s="4417"/>
      <c r="G329" s="4418"/>
      <c r="H329" s="4418"/>
      <c r="I329" s="4418"/>
      <c r="J329" s="4419"/>
      <c r="K329" s="4420"/>
      <c r="L329" s="4421"/>
      <c r="M329" s="4422"/>
      <c r="N329" s="2084" t="str">
        <f>IFERROR(INDEX('Tablas Técnicas'!$Q$200:$Q$299,MATCH(F329&amp;K329,'Tablas Técnicas'!$S$200:$S$299,0)),"")</f>
        <v/>
      </c>
      <c r="O329" s="4423"/>
      <c r="P329" s="4424"/>
      <c r="Q329" s="4425"/>
      <c r="R329" s="4424"/>
      <c r="S329" s="2077" t="str">
        <f>IFERROR("Nivel: "&amp;MAX(1,INDEX('Tablas Técnicas'!$R$200:$R$299,MATCH(F329&amp;K329,'Tablas Técnicas'!$S$200:$S$299,0))),"")</f>
        <v/>
      </c>
      <c r="T329" s="2187"/>
      <c r="U329" s="2076" t="str">
        <f>IFERROR("("&amp;VLOOKUP(F329,'Tablas Técnicas'!$V$199:$X$225,3,FALSE)&amp;")","")</f>
        <v/>
      </c>
      <c r="V329" s="4353" t="str">
        <f>"Mod. "&amp;V321</f>
        <v>Mod. AGI</v>
      </c>
      <c r="W329" s="4354"/>
      <c r="X329" s="4353" t="str">
        <f t="shared" ref="X329" si="84">"Mod. "&amp;X321</f>
        <v>Mod. CON</v>
      </c>
      <c r="Y329" s="4354"/>
      <c r="Z329" s="4353" t="str">
        <f t="shared" ref="Z329" si="85">"Mod. "&amp;Z321</f>
        <v>Mod. DES</v>
      </c>
      <c r="AA329" s="4354"/>
      <c r="AB329" s="4353" t="str">
        <f t="shared" ref="AB329" si="86">"Mod. "&amp;AB321</f>
        <v>Mod. FUE</v>
      </c>
      <c r="AC329" s="4354"/>
      <c r="AD329" s="4353" t="str">
        <f t="shared" ref="AD329" si="87">"Mod. "&amp;AD321</f>
        <v>Mod. POD</v>
      </c>
      <c r="AE329" s="4354"/>
      <c r="AF329" s="4353" t="str">
        <f t="shared" ref="AF329" si="88">"Mod. "&amp;AF321</f>
        <v>Mod. VOL</v>
      </c>
      <c r="AG329" s="4355"/>
      <c r="AH329" s="2369"/>
      <c r="AI329" s="4511"/>
      <c r="AJ329" s="2920">
        <v>2</v>
      </c>
      <c r="AK329" s="2920">
        <f>P319</f>
        <v>1</v>
      </c>
      <c r="AL329" s="2920" t="e">
        <f>VLOOKUP(F329,'Tablas Técnicas'!$V$199:$X$221,2,FALSE)</f>
        <v>#N/A</v>
      </c>
      <c r="AM329" s="2920"/>
      <c r="AN329" s="2921"/>
      <c r="AO329" s="2920"/>
      <c r="AP329" s="2920"/>
      <c r="AQ329" s="2921"/>
      <c r="AR329" s="2920"/>
      <c r="AS329" s="2920"/>
      <c r="AT329" s="2920"/>
      <c r="AU329" s="2920"/>
      <c r="AV329" s="2920"/>
      <c r="AW329" s="2922"/>
      <c r="AX329" s="2922"/>
      <c r="AY329" s="2920" t="str">
        <f>IF(F329="","",F329&amp;IF(K329="",""," ("&amp;IF(F329="Atadura Elemental",O329&amp;IF(Q329="","",", "&amp;Q329),K329)&amp;")")&amp;", ")</f>
        <v/>
      </c>
    </row>
    <row r="330" spans="1:51" ht="12.2" customHeight="1" thickBot="1" x14ac:dyDescent="0.25">
      <c r="A330" s="2360"/>
      <c r="B330" s="2252">
        <f t="shared" si="80"/>
        <v>10</v>
      </c>
      <c r="C330" s="4508"/>
      <c r="D330" s="4451"/>
      <c r="E330" s="4452"/>
      <c r="F330" s="4426"/>
      <c r="G330" s="4427"/>
      <c r="H330" s="4427"/>
      <c r="I330" s="4427"/>
      <c r="J330" s="4428"/>
      <c r="K330" s="4429"/>
      <c r="L330" s="4430"/>
      <c r="M330" s="4431"/>
      <c r="N330" s="2085" t="str">
        <f>IFERROR(INDEX('Tablas Técnicas'!$Q$200:$Q$299,MATCH(F330&amp;K330,'Tablas Técnicas'!$S$200:$S$299,0)),"")</f>
        <v/>
      </c>
      <c r="O330" s="4432"/>
      <c r="P330" s="4433"/>
      <c r="Q330" s="4434"/>
      <c r="R330" s="4433"/>
      <c r="S330" s="2362" t="str">
        <f>IFERROR("Nivel: "&amp;MAX(1,INDEX('Tablas Técnicas'!$R$200:$R$299,MATCH(F330&amp;K330,'Tablas Técnicas'!$S$200:$S$299,0))),"")</f>
        <v/>
      </c>
      <c r="T330" s="2363"/>
      <c r="U330" s="2188" t="str">
        <f>IFERROR("("&amp;VLOOKUP(F330,'Tablas Técnicas'!$V$199:$X$225,3,FALSE)&amp;")","")</f>
        <v/>
      </c>
      <c r="V330" s="4368"/>
      <c r="W330" s="4367"/>
      <c r="X330" s="4367"/>
      <c r="Y330" s="4367"/>
      <c r="Z330" s="4367"/>
      <c r="AA330" s="4367"/>
      <c r="AB330" s="4367"/>
      <c r="AC330" s="4367"/>
      <c r="AD330" s="4367"/>
      <c r="AE330" s="4367"/>
      <c r="AF330" s="4367"/>
      <c r="AG330" s="4438"/>
      <c r="AH330" s="2369"/>
      <c r="AI330" s="4511"/>
      <c r="AJ330" s="2920">
        <v>3</v>
      </c>
      <c r="AK330" s="2920">
        <f>P319</f>
        <v>1</v>
      </c>
      <c r="AL330" s="2920" t="e">
        <f>VLOOKUP(F330,'Tablas Técnicas'!$V$199:$X$221,2,FALSE)</f>
        <v>#N/A</v>
      </c>
      <c r="AM330" s="2920"/>
      <c r="AN330" s="2921"/>
      <c r="AO330" s="2920"/>
      <c r="AP330" s="2920"/>
      <c r="AQ330" s="2921"/>
      <c r="AR330" s="2922"/>
      <c r="AS330" s="2922"/>
      <c r="AT330" s="2922"/>
      <c r="AU330" s="2922"/>
      <c r="AV330" s="2922"/>
      <c r="AW330" s="2922"/>
      <c r="AX330" s="2922"/>
      <c r="AY330" s="2920" t="str">
        <f>IF(F330="","",F330&amp;IF(K330="",""," ("&amp;IF(F330="Atadura Elemental",O330&amp;IF(Q330="","",", "&amp;Q330),K330)&amp;")")&amp;", ")</f>
        <v/>
      </c>
    </row>
    <row r="331" spans="1:51" ht="12.2" customHeight="1" x14ac:dyDescent="0.2">
      <c r="A331" s="2360"/>
      <c r="B331" s="2252">
        <f t="shared" si="80"/>
        <v>10</v>
      </c>
      <c r="C331" s="4508"/>
      <c r="D331" s="4386" t="s">
        <v>9511</v>
      </c>
      <c r="E331" s="4387"/>
      <c r="F331" s="4387"/>
      <c r="G331" s="4387"/>
      <c r="H331" s="4387"/>
      <c r="I331" s="4387"/>
      <c r="J331" s="4387"/>
      <c r="K331" s="4387"/>
      <c r="L331" s="4387"/>
      <c r="M331" s="4387"/>
      <c r="N331" s="4387"/>
      <c r="O331" s="4387"/>
      <c r="P331" s="4387"/>
      <c r="Q331" s="4387"/>
      <c r="R331" s="4387"/>
      <c r="S331" s="4387"/>
      <c r="T331" s="4387"/>
      <c r="U331" s="4387"/>
      <c r="V331" s="4518"/>
      <c r="W331" s="4518"/>
      <c r="X331" s="4518"/>
      <c r="Y331" s="4518"/>
      <c r="Z331" s="4518"/>
      <c r="AA331" s="4518"/>
      <c r="AB331" s="4518"/>
      <c r="AC331" s="4518"/>
      <c r="AD331" s="4518"/>
      <c r="AE331" s="4518"/>
      <c r="AF331" s="4518"/>
      <c r="AG331" s="4389"/>
      <c r="AH331" s="2369"/>
      <c r="AI331" s="4511"/>
      <c r="AJ331" s="2920"/>
      <c r="AK331" s="2920"/>
      <c r="AL331" s="2920"/>
      <c r="AM331" s="2920"/>
      <c r="AN331" s="2921" t="s">
        <v>9014</v>
      </c>
      <c r="AO331" s="2920" t="e">
        <f>LEFT(AY323&amp;AY324&amp;AY325&amp;AY326&amp;AY327,LEN(AY323&amp;AY324&amp;AY325&amp;AY326&amp;AY327)-2)</f>
        <v>#VALUE!</v>
      </c>
      <c r="AP331" s="2920"/>
      <c r="AQ331" s="2921"/>
      <c r="AR331" s="2922"/>
      <c r="AS331" s="2922"/>
      <c r="AT331" s="2922"/>
      <c r="AU331" s="2921"/>
      <c r="AV331" s="2921"/>
      <c r="AW331" s="2922"/>
      <c r="AX331" s="2922"/>
      <c r="AY331" s="2920"/>
    </row>
    <row r="332" spans="1:51" ht="12.2" customHeight="1" x14ac:dyDescent="0.2">
      <c r="A332" s="2360"/>
      <c r="B332" s="2252">
        <f t="shared" si="80"/>
        <v>10</v>
      </c>
      <c r="C332" s="4508"/>
      <c r="D332" s="4369" t="str">
        <f>IF(F323="","",F323)</f>
        <v/>
      </c>
      <c r="E332" s="4370"/>
      <c r="F332" s="4370"/>
      <c r="G332" s="4370"/>
      <c r="H332" s="4370"/>
      <c r="I332" s="4371"/>
      <c r="J332" s="4369" t="str">
        <f>IF(F324="","",F324)</f>
        <v/>
      </c>
      <c r="K332" s="4370"/>
      <c r="L332" s="4370"/>
      <c r="M332" s="4370"/>
      <c r="N332" s="4370"/>
      <c r="O332" s="4371"/>
      <c r="P332" s="4370" t="str">
        <f>IF(F325="","",F325)</f>
        <v/>
      </c>
      <c r="Q332" s="4370"/>
      <c r="R332" s="4370"/>
      <c r="S332" s="4370"/>
      <c r="T332" s="4370"/>
      <c r="U332" s="4371"/>
      <c r="V332" s="4369" t="str">
        <f>IF(F326="","",F326)</f>
        <v/>
      </c>
      <c r="W332" s="4370"/>
      <c r="X332" s="4370"/>
      <c r="Y332" s="4370"/>
      <c r="Z332" s="4370"/>
      <c r="AA332" s="4371"/>
      <c r="AB332" s="4370" t="str">
        <f>IF(F327="","",F327)</f>
        <v/>
      </c>
      <c r="AC332" s="4370"/>
      <c r="AD332" s="4370"/>
      <c r="AE332" s="4370"/>
      <c r="AF332" s="4370"/>
      <c r="AG332" s="4385"/>
      <c r="AH332" s="2369"/>
      <c r="AI332" s="4511"/>
      <c r="AJ332" s="2920"/>
      <c r="AK332" s="2920"/>
      <c r="AL332" s="2920"/>
      <c r="AM332" s="2920"/>
      <c r="AN332" s="2921" t="s">
        <v>9015</v>
      </c>
      <c r="AO332" s="2920" t="e">
        <f>LEFT(AY328&amp;AY329&amp;AY330,LEN(AY328&amp;AY329&amp;AY330)-2)</f>
        <v>#VALUE!</v>
      </c>
      <c r="AP332" s="2920"/>
      <c r="AQ332" s="2921"/>
      <c r="AR332" s="2922"/>
      <c r="AS332" s="2922"/>
      <c r="AT332" s="2922"/>
      <c r="AU332" s="2921"/>
      <c r="AV332" s="2921"/>
      <c r="AW332" s="2922"/>
      <c r="AX332" s="2922"/>
      <c r="AY332" s="2920"/>
    </row>
    <row r="333" spans="1:51" ht="12.2" customHeight="1" x14ac:dyDescent="0.2">
      <c r="A333" s="2360"/>
      <c r="B333" s="2252">
        <f t="shared" si="80"/>
        <v>10</v>
      </c>
      <c r="C333" s="4508"/>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511"/>
      <c r="AJ333" s="2920"/>
      <c r="AK333" s="2920"/>
      <c r="AL333" s="2920"/>
      <c r="AM333" s="2920"/>
      <c r="AN333" s="2921"/>
      <c r="AO333" s="2920"/>
      <c r="AP333" s="2920"/>
      <c r="AQ333" s="2921"/>
      <c r="AR333" s="2922"/>
      <c r="AS333" s="2922"/>
      <c r="AT333" s="2922"/>
      <c r="AU333" s="2922"/>
      <c r="AV333" s="2922"/>
      <c r="AW333" s="2922"/>
      <c r="AX333" s="2922"/>
      <c r="AY333" s="2920"/>
    </row>
    <row r="334" spans="1:51" ht="12.2" customHeight="1" x14ac:dyDescent="0.2">
      <c r="A334" s="2360"/>
      <c r="B334" s="2252">
        <f t="shared" si="80"/>
        <v>10</v>
      </c>
      <c r="C334" s="4508"/>
      <c r="D334" s="2198" t="s">
        <v>9016</v>
      </c>
      <c r="E334" s="2189"/>
      <c r="F334" s="2190"/>
      <c r="G334" s="2191"/>
      <c r="H334" s="2191"/>
      <c r="I334" s="2188" t="str">
        <f>IFERROR(IF(D332="Ataque Elemental",IF(NOT(ISNA(VLOOKUP(D336,'Tablas Técnicas'!$Z$25:$Z$30,1,0))),D336,"Variable"),VLOOKUP(D332,'Tablas Técnicas'!$O$9:$W$88,9,FALSE)),"")</f>
        <v/>
      </c>
      <c r="J334" s="2088" t="s">
        <v>9016</v>
      </c>
      <c r="K334" s="2364"/>
      <c r="L334" s="2365"/>
      <c r="M334" s="2366"/>
      <c r="N334" s="2366"/>
      <c r="O334" s="2089" t="str">
        <f>IFERROR(IF(J332="Ataque Elemental",IF(NOT(ISNA(VLOOKUP(J336,'Tablas Técnicas'!$Z$25:$Z$30,1,0))),J336,"Variable"),VLOOKUP(J332,'Tablas Técnicas'!$O$9:$W$88,9,FALSE)),"")</f>
        <v/>
      </c>
      <c r="P334" s="2367" t="s">
        <v>9016</v>
      </c>
      <c r="Q334" s="2364"/>
      <c r="R334" s="2365"/>
      <c r="S334" s="2366"/>
      <c r="T334" s="2366"/>
      <c r="U334" s="2188" t="str">
        <f>IFERROR(IF(P332="Ataque Elemental",IF(NOT(ISNA(VLOOKUP(P336,'Tablas Técnicas'!$Z$25:$Z$30,1,0))),P336,"Variable"),VLOOKUP(P332,'Tablas Técnicas'!$O$9:$W$88,9,FALSE)),"")</f>
        <v/>
      </c>
      <c r="V334" s="2088" t="s">
        <v>9016</v>
      </c>
      <c r="W334" s="2364"/>
      <c r="X334" s="2365"/>
      <c r="Y334" s="2366"/>
      <c r="Z334" s="2366"/>
      <c r="AA334" s="2089" t="str">
        <f>IFERROR(IF(V332="Ataque Elemental",IF(NOT(ISNA(VLOOKUP(V336,'Tablas Técnicas'!$Z$25:$Z$30,1,0))),V336,"Variable"),VLOOKUP(V332,'Tablas Técnicas'!$O$9:$W$88,9,FALSE)),"")</f>
        <v/>
      </c>
      <c r="AB334" s="2367" t="s">
        <v>9016</v>
      </c>
      <c r="AC334" s="2364"/>
      <c r="AD334" s="2365"/>
      <c r="AE334" s="2366"/>
      <c r="AF334" s="2366"/>
      <c r="AG334" s="2203" t="str">
        <f>IFERROR(IF(AB332="Ataque Elemental",IF(NOT(ISNA(VLOOKUP(AB336,'Tablas Técnicas'!$Z$25:$Z$30,1,0))),AB336,"Variable"),VLOOKUP(AB332,'Tablas Técnicas'!$O$9:$W$88,9,FALSE)),"")</f>
        <v/>
      </c>
      <c r="AH334" s="2369"/>
      <c r="AI334" s="4511"/>
      <c r="AJ334" s="2920"/>
      <c r="AK334" s="2922" t="s">
        <v>1376</v>
      </c>
      <c r="AL334" s="2922" t="s">
        <v>1501</v>
      </c>
      <c r="AM334" s="2922" t="s">
        <v>1381</v>
      </c>
      <c r="AN334" s="2922" t="s">
        <v>1386</v>
      </c>
      <c r="AO334" s="2922" t="s">
        <v>1394</v>
      </c>
      <c r="AP334" s="2922" t="s">
        <v>1395</v>
      </c>
      <c r="AQ334" s="2921"/>
      <c r="AR334" s="2922"/>
      <c r="AS334" s="2922"/>
      <c r="AT334" s="2922"/>
      <c r="AU334" s="2922"/>
      <c r="AV334" s="2922"/>
      <c r="AW334" s="2922"/>
      <c r="AX334" s="2922"/>
      <c r="AY334" s="2920"/>
    </row>
    <row r="335" spans="1:51" ht="12.2" customHeight="1" x14ac:dyDescent="0.2">
      <c r="A335" s="2360"/>
      <c r="B335" s="2252">
        <f t="shared" si="80"/>
        <v>10</v>
      </c>
      <c r="C335" s="4508"/>
      <c r="D335" s="4369" t="s">
        <v>2861</v>
      </c>
      <c r="E335" s="4370"/>
      <c r="F335" s="4370"/>
      <c r="G335" s="4370"/>
      <c r="H335" s="4371"/>
      <c r="I335" s="2090" t="s">
        <v>1406</v>
      </c>
      <c r="J335" s="4369" t="s">
        <v>2861</v>
      </c>
      <c r="K335" s="4370"/>
      <c r="L335" s="4370"/>
      <c r="M335" s="4370"/>
      <c r="N335" s="4371"/>
      <c r="O335" s="2091" t="s">
        <v>1406</v>
      </c>
      <c r="P335" s="4369" t="s">
        <v>2861</v>
      </c>
      <c r="Q335" s="4370"/>
      <c r="R335" s="4370"/>
      <c r="S335" s="4370"/>
      <c r="T335" s="4371"/>
      <c r="U335" s="2091" t="s">
        <v>1406</v>
      </c>
      <c r="V335" s="4369"/>
      <c r="W335" s="4370"/>
      <c r="X335" s="4370"/>
      <c r="Y335" s="4370"/>
      <c r="Z335" s="4371"/>
      <c r="AA335" s="2091" t="s">
        <v>1406</v>
      </c>
      <c r="AB335" s="4369" t="s">
        <v>2861</v>
      </c>
      <c r="AC335" s="4370"/>
      <c r="AD335" s="4370"/>
      <c r="AE335" s="4370"/>
      <c r="AF335" s="4371"/>
      <c r="AG335" s="2092" t="s">
        <v>1406</v>
      </c>
      <c r="AH335" s="2369"/>
      <c r="AI335" s="4511"/>
      <c r="AJ335" s="2925" t="s">
        <v>9548</v>
      </c>
      <c r="AK335" s="2920" t="str">
        <f>IF(V321="","",IF(SUM(V323:V327)=0,"",V321&amp;" "&amp;SUM(V323:V327)+V330&amp;IF(SUM(W323:W327)=0,""," ("&amp;SUM(W323:W327)&amp;")")&amp;", "))</f>
        <v/>
      </c>
      <c r="AL335" s="2920" t="str">
        <f>IF(X321="","",IF(SUM(X323:X327)=0,"",X321&amp;" "&amp;SUM(X323:X327)+X330&amp;IF(SUM(Y323:Y327)=0,""," ("&amp;SUM(Y323:Y327)&amp;")")&amp;", "))</f>
        <v/>
      </c>
      <c r="AM335" s="2920" t="str">
        <f>IF(Z321="","",IF(SUM(Z323:Z327)=0,"",Z321&amp;" "&amp;SUM(Z323:Z327)+Z330&amp;IF(SUM(AA323:AA327)=0,""," ("&amp;SUM(AA323:AA327)&amp;")")&amp;", "))</f>
        <v/>
      </c>
      <c r="AN335" s="2920" t="str">
        <f>IF(AB321="","",IF(SUM(AB323:AB327)=0,"",AB321&amp;" "&amp;SUM(AB323:AB327)+AB330&amp;IF(SUM(AC323:AC327)=0,""," ("&amp;SUM(AC323:AC327)&amp;")")&amp;", "))</f>
        <v/>
      </c>
      <c r="AO335" s="2920" t="str">
        <f>IF(AD321="","",IF(SUM(AD323:AD327)=0,"",AD321&amp;" "&amp;SUM(AD323:AD327)+AD330&amp;IF(SUM(AE323:AE327)=0,""," ("&amp;SUM(AE323:AE327)&amp;")")&amp;", "))</f>
        <v/>
      </c>
      <c r="AP335" s="2920" t="str">
        <f>IF(AF321="","",IF(SUM(AF323:AF327)=0,"",AF321&amp;" "&amp;SUM(AF323:AF327)+AF330&amp;IF(SUM(AG323:AG327)=0,""," ("&amp;SUM(AG323:AG327)&amp;")")&amp;", "))</f>
        <v/>
      </c>
      <c r="AQ335" s="2920"/>
      <c r="AR335" s="2920"/>
      <c r="AS335" s="2920"/>
      <c r="AT335" s="2920"/>
      <c r="AU335" s="2920"/>
      <c r="AV335" s="2920"/>
      <c r="AW335" s="2920"/>
      <c r="AX335" s="2920"/>
      <c r="AY335" s="2920"/>
    </row>
    <row r="336" spans="1:51" ht="12.2" customHeight="1" x14ac:dyDescent="0.2">
      <c r="A336" s="2360"/>
      <c r="B336" s="2252">
        <f t="shared" si="80"/>
        <v>10</v>
      </c>
      <c r="C336" s="4508"/>
      <c r="D336" s="4390"/>
      <c r="E336" s="4366"/>
      <c r="F336" s="4366"/>
      <c r="G336" s="4366"/>
      <c r="H336" s="4366"/>
      <c r="I336" s="2093" t="str">
        <f>IF(OR(D332="",D336=""),"",MAX(1,SUMPRODUCT(--(INDEX('Tablas Técnicas'!$C$10:$L$643,,1)=D332),--(INDEX('Tablas Técnicas'!$C$10:$L$643,,2)=D336),INDEX('Tablas Técnicas'!$C$10:$L$643,,9))))</f>
        <v/>
      </c>
      <c r="J336" s="4365"/>
      <c r="K336" s="4366"/>
      <c r="L336" s="4366"/>
      <c r="M336" s="4366"/>
      <c r="N336" s="4366"/>
      <c r="O336" s="2093" t="str">
        <f>IF(OR(J332="",J336=""),"",MAX(1,SUMPRODUCT(--(INDEX('Tablas Técnicas'!$C$10:$L$643,,1)=J332),--(INDEX('Tablas Técnicas'!$C$10:$L$643,,2)=J336),INDEX('Tablas Técnicas'!$C$10:$L$643,,9))))</f>
        <v/>
      </c>
      <c r="P336" s="4365"/>
      <c r="Q336" s="4366"/>
      <c r="R336" s="4366"/>
      <c r="S336" s="4366"/>
      <c r="T336" s="4366"/>
      <c r="U336" s="2093" t="str">
        <f>IF(OR(P332="",P336=""),"",MAX(1,SUMPRODUCT(--(INDEX('Tablas Técnicas'!$C$10:$L$643,,1)=P332),--(INDEX('Tablas Técnicas'!$C$10:$L$643,,2)=P336),INDEX('Tablas Técnicas'!$C$10:$L$643,,9))))</f>
        <v/>
      </c>
      <c r="V336" s="4365"/>
      <c r="W336" s="4366"/>
      <c r="X336" s="4366"/>
      <c r="Y336" s="4366"/>
      <c r="Z336" s="4366"/>
      <c r="AA336" s="2093" t="str">
        <f>IF(OR(V332="",V336=""),"",MAX(1,SUMPRODUCT(--(INDEX('Tablas Técnicas'!$C$10:$L$643,,1)=V332),--(INDEX('Tablas Técnicas'!$C$10:$L$643,,2)=V336),INDEX('Tablas Técnicas'!$C$10:$L$643,,9))))</f>
        <v/>
      </c>
      <c r="AB336" s="4365"/>
      <c r="AC336" s="4366"/>
      <c r="AD336" s="4366"/>
      <c r="AE336" s="4366"/>
      <c r="AF336" s="4366"/>
      <c r="AG336" s="2094" t="str">
        <f>IF(OR(AB332="",AB336=""),"",MAX(1,SUMPRODUCT(--(INDEX('Tablas Técnicas'!$C$10:$L$643,,1)=AB332),--(INDEX('Tablas Técnicas'!$C$10:$L$643,,2)=AB336),INDEX('Tablas Técnicas'!$C$10:$L$643,,9))))</f>
        <v/>
      </c>
      <c r="AH336" s="2369">
        <f>P319</f>
        <v>1</v>
      </c>
      <c r="AI336" s="4511"/>
      <c r="AJ336" s="2920" t="s">
        <v>9512</v>
      </c>
      <c r="AK336" s="2920"/>
      <c r="AL336" s="2920">
        <f>MAX(0,SUM(AT323:AT327)+ABS($AC328*2/5))+IF(AM345,0,Y328)+IF(S319="Si",3*P319,0)</f>
        <v>0</v>
      </c>
      <c r="AM336" s="2920">
        <f t="array" ref="AM336">IF(ISNUMBER(SEARCH("Mantenido",K323&amp;K324&amp;K325&amp;K326&amp;K327)),MAX(0,SUM(VALUE(RIGHT($P323:$P327,2)))),0)</f>
        <v>0</v>
      </c>
      <c r="AN336" s="2922"/>
      <c r="AO336" s="2922"/>
      <c r="AP336" s="2927"/>
      <c r="AQ336" s="2927"/>
      <c r="AR336" s="2927"/>
      <c r="AS336" s="2927"/>
      <c r="AT336" s="2927"/>
      <c r="AU336" s="2927"/>
      <c r="AV336" s="2927"/>
      <c r="AW336" s="2927"/>
      <c r="AX336" s="2927"/>
      <c r="AY336" s="2920"/>
    </row>
    <row r="337" spans="1:51" ht="12.2" customHeight="1" x14ac:dyDescent="0.2">
      <c r="A337" s="2360"/>
      <c r="B337" s="2252">
        <f t="shared" si="80"/>
        <v>10</v>
      </c>
      <c r="C337" s="4508"/>
      <c r="D337" s="4374"/>
      <c r="E337" s="4375"/>
      <c r="F337" s="4375"/>
      <c r="G337" s="4375"/>
      <c r="H337" s="4375"/>
      <c r="I337" s="2095" t="str">
        <f>IF(OR(D332="",D337=""),"",MAX(1,SUMPRODUCT(--(INDEX('Tablas Técnicas'!$C$10:$L$643,,1)=D332),--(INDEX('Tablas Técnicas'!$C$10:$L$643,,2)=D337),INDEX('Tablas Técnicas'!$C$10:$L$643,,9))))</f>
        <v/>
      </c>
      <c r="J337" s="4374"/>
      <c r="K337" s="4375"/>
      <c r="L337" s="4375"/>
      <c r="M337" s="4375"/>
      <c r="N337" s="4375"/>
      <c r="O337" s="2095" t="str">
        <f>IF(OR(J332="",J337=""),"",MAX(1,SUMPRODUCT(--(INDEX('Tablas Técnicas'!$C$10:$L$643,,1)=J332),--(INDEX('Tablas Técnicas'!$C$10:$L$643,,2)=J337),INDEX('Tablas Técnicas'!$C$10:$L$643,,9))))</f>
        <v/>
      </c>
      <c r="P337" s="4374"/>
      <c r="Q337" s="4375"/>
      <c r="R337" s="4375"/>
      <c r="S337" s="4375"/>
      <c r="T337" s="4375"/>
      <c r="U337" s="2095" t="str">
        <f>IF(OR(P332="",P337=""),"",MAX(1,SUMPRODUCT(--(INDEX('Tablas Técnicas'!$C$10:$L$643,,1)=P332),--(INDEX('Tablas Técnicas'!$C$10:$L$643,,2)=P337),INDEX('Tablas Técnicas'!$C$10:$L$643,,9))))</f>
        <v/>
      </c>
      <c r="V337" s="4374"/>
      <c r="W337" s="4375"/>
      <c r="X337" s="4375"/>
      <c r="Y337" s="4375"/>
      <c r="Z337" s="4375"/>
      <c r="AA337" s="2095" t="str">
        <f>IF(OR(V332="",V337=""),"",MAX(1,SUMPRODUCT(--(INDEX('Tablas Técnicas'!$C$10:$L$643,,1)=V332),--(INDEX('Tablas Técnicas'!$C$10:$L$643,,2)=V337),INDEX('Tablas Técnicas'!$C$10:$L$643,,9))))</f>
        <v/>
      </c>
      <c r="AB337" s="4374"/>
      <c r="AC337" s="4375"/>
      <c r="AD337" s="4375"/>
      <c r="AE337" s="4375"/>
      <c r="AF337" s="4375"/>
      <c r="AG337" s="2096" t="str">
        <f>IF(OR(AB332="",AB337=""),"",MAX(1,SUMPRODUCT(--(INDEX('Tablas Técnicas'!$C$10:$L$643,,1)=AB332),--(INDEX('Tablas Técnicas'!$C$10:$L$643,,2)=AB337),INDEX('Tablas Técnicas'!$C$10:$L$643,,9))))</f>
        <v/>
      </c>
      <c r="AH337" s="2369">
        <f>P319</f>
        <v>1</v>
      </c>
      <c r="AI337" s="4511"/>
      <c r="AJ337" s="2920" t="s">
        <v>9018</v>
      </c>
      <c r="AK337" s="2920"/>
      <c r="AL337" s="2920">
        <f>SUM(V323:V327,X323:X327,Z323:Z327,AB323:AB327,AD323:AD327,AF323:AF327)+SUM(V330:AG330)</f>
        <v>0</v>
      </c>
      <c r="AM337" s="2920">
        <f>SUM(W323:W327,Y323:Y327,AA323:AA327,AC323:AC327,AE323:AE327,AG323:AG327)</f>
        <v>0</v>
      </c>
      <c r="AN337" s="2920"/>
      <c r="AO337" s="2920"/>
      <c r="AP337" s="2920"/>
      <c r="AQ337" s="2920"/>
      <c r="AR337" s="2920"/>
      <c r="AS337" s="2920"/>
      <c r="AT337" s="2920"/>
      <c r="AU337" s="2920"/>
      <c r="AV337" s="2920"/>
      <c r="AW337" s="2922"/>
      <c r="AX337" s="2920"/>
      <c r="AY337" s="2920"/>
    </row>
    <row r="338" spans="1:51" ht="12.2" customHeight="1" x14ac:dyDescent="0.2">
      <c r="A338" s="2360"/>
      <c r="B338" s="2252">
        <f t="shared" si="80"/>
        <v>10</v>
      </c>
      <c r="C338" s="4508"/>
      <c r="D338" s="4374"/>
      <c r="E338" s="4375"/>
      <c r="F338" s="4375"/>
      <c r="G338" s="4375"/>
      <c r="H338" s="4375"/>
      <c r="I338" s="2095" t="str">
        <f>IF(OR(D332="",D338=""),"",MAX(1,SUMPRODUCT(--(INDEX('Tablas Técnicas'!$C$10:$L$643,,1)=D332),--(INDEX('Tablas Técnicas'!$C$10:$L$643,,2)=D338),INDEX('Tablas Técnicas'!$C$10:$L$643,,9))))</f>
        <v/>
      </c>
      <c r="J338" s="4374"/>
      <c r="K338" s="4375"/>
      <c r="L338" s="4375"/>
      <c r="M338" s="4375"/>
      <c r="N338" s="4375"/>
      <c r="O338" s="2095" t="str">
        <f>IF(OR(J332="",J338=""),"",MAX(1,SUMPRODUCT(--(INDEX('Tablas Técnicas'!$C$10:$L$643,,1)=J332),--(INDEX('Tablas Técnicas'!$C$10:$L$643,,2)=J338),INDEX('Tablas Técnicas'!$C$10:$L$643,,9))))</f>
        <v/>
      </c>
      <c r="P338" s="4374"/>
      <c r="Q338" s="4375"/>
      <c r="R338" s="4375"/>
      <c r="S338" s="4375"/>
      <c r="T338" s="4375"/>
      <c r="U338" s="2095" t="str">
        <f>IF(OR(P332="",P338=""),"",MAX(1,SUMPRODUCT(--(INDEX('Tablas Técnicas'!$C$10:$L$643,,1)=P332),--(INDEX('Tablas Técnicas'!$C$10:$L$643,,2)=P338),INDEX('Tablas Técnicas'!$C$10:$L$643,,9))))</f>
        <v/>
      </c>
      <c r="V338" s="4374"/>
      <c r="W338" s="4375"/>
      <c r="X338" s="4375"/>
      <c r="Y338" s="4375"/>
      <c r="Z338" s="4375"/>
      <c r="AA338" s="2095" t="str">
        <f>IF(OR(V332="",V338=""),"",MAX(1,SUMPRODUCT(--(INDEX('Tablas Técnicas'!$C$10:$L$643,,1)=V332),--(INDEX('Tablas Técnicas'!$C$10:$L$643,,2)=V338),INDEX('Tablas Técnicas'!$C$10:$L$643,,9))))</f>
        <v/>
      </c>
      <c r="AB338" s="4374"/>
      <c r="AC338" s="4375"/>
      <c r="AD338" s="4375"/>
      <c r="AE338" s="4375"/>
      <c r="AF338" s="4375"/>
      <c r="AG338" s="2096" t="str">
        <f>IF(OR(AB332="",AB338=""),"",MAX(1,SUMPRODUCT(--(INDEX('Tablas Técnicas'!$C$10:$L$643,,1)=AB332),--(INDEX('Tablas Técnicas'!$C$10:$L$643,,2)=AB338),INDEX('Tablas Técnicas'!$C$10:$L$643,,9))))</f>
        <v/>
      </c>
      <c r="AH338" s="2369">
        <f>P319</f>
        <v>1</v>
      </c>
      <c r="AI338" s="4511"/>
      <c r="AJ338" s="2920"/>
      <c r="AK338" s="2920"/>
      <c r="AL338" s="2920"/>
      <c r="AM338" s="2920"/>
      <c r="AN338" s="2920"/>
      <c r="AO338" s="2920"/>
      <c r="AP338" s="2920"/>
      <c r="AQ338" s="2920"/>
      <c r="AR338" s="2920"/>
      <c r="AS338" s="2920"/>
      <c r="AT338" s="2920"/>
      <c r="AU338" s="2920"/>
      <c r="AV338" s="2920"/>
      <c r="AW338" s="2922"/>
      <c r="AX338" s="2922"/>
      <c r="AY338" s="2920"/>
    </row>
    <row r="339" spans="1:51" ht="12.2" customHeight="1" x14ac:dyDescent="0.2">
      <c r="A339" s="2360"/>
      <c r="B339" s="2252">
        <f t="shared" si="80"/>
        <v>10</v>
      </c>
      <c r="C339" s="4508"/>
      <c r="D339" s="4374"/>
      <c r="E339" s="4375"/>
      <c r="F339" s="4375"/>
      <c r="G339" s="4375"/>
      <c r="H339" s="4375"/>
      <c r="I339" s="2095" t="str">
        <f>IF(OR(D332="",D339=""),"",MAX(1,SUMPRODUCT(--(INDEX('Tablas Técnicas'!$C$10:$L$643,,1)=D332),--(INDEX('Tablas Técnicas'!$C$10:$L$643,,2)=D339),INDEX('Tablas Técnicas'!$C$10:$L$643,,9))))</f>
        <v/>
      </c>
      <c r="J339" s="4374"/>
      <c r="K339" s="4375"/>
      <c r="L339" s="4375"/>
      <c r="M339" s="4375"/>
      <c r="N339" s="4375"/>
      <c r="O339" s="2095" t="str">
        <f>IF(OR(J332="",J339=""),"",MAX(1,SUMPRODUCT(--(INDEX('Tablas Técnicas'!$C$10:$L$643,,1)=J332),--(INDEX('Tablas Técnicas'!$C$10:$L$643,,2)=J339),INDEX('Tablas Técnicas'!$C$10:$L$643,,9))))</f>
        <v/>
      </c>
      <c r="P339" s="4374"/>
      <c r="Q339" s="4375"/>
      <c r="R339" s="4375"/>
      <c r="S339" s="4375"/>
      <c r="T339" s="4375"/>
      <c r="U339" s="2095" t="str">
        <f>IF(OR(P332="",P339=""),"",MAX(1,SUMPRODUCT(--(INDEX('Tablas Técnicas'!$C$10:$L$643,,1)=P332),--(INDEX('Tablas Técnicas'!$C$10:$L$643,,2)=P339),INDEX('Tablas Técnicas'!$C$10:$L$643,,9))))</f>
        <v/>
      </c>
      <c r="V339" s="4374"/>
      <c r="W339" s="4375"/>
      <c r="X339" s="4375"/>
      <c r="Y339" s="4375"/>
      <c r="Z339" s="4375"/>
      <c r="AA339" s="2095" t="str">
        <f>IF(OR(V332="",V339=""),"",MAX(1,SUMPRODUCT(--(INDEX('Tablas Técnicas'!$C$10:$L$643,,1)=V332),--(INDEX('Tablas Técnicas'!$C$10:$L$643,,2)=V339),INDEX('Tablas Técnicas'!$C$10:$L$643,,9))))</f>
        <v/>
      </c>
      <c r="AB339" s="4374"/>
      <c r="AC339" s="4375"/>
      <c r="AD339" s="4375"/>
      <c r="AE339" s="4375"/>
      <c r="AF339" s="4375"/>
      <c r="AG339" s="2096" t="str">
        <f>IF(OR(AB332="",AB339=""),"",MAX(1,SUMPRODUCT(--(INDEX('Tablas Técnicas'!$C$10:$L$643,,1)=AB332),--(INDEX('Tablas Técnicas'!$C$10:$L$643,,2)=AB339),INDEX('Tablas Técnicas'!$C$10:$L$643,,9))))</f>
        <v/>
      </c>
      <c r="AH339" s="2369">
        <f>P319</f>
        <v>1</v>
      </c>
      <c r="AI339" s="4511"/>
      <c r="AJ339" s="2920" t="s">
        <v>9019</v>
      </c>
      <c r="AK339" s="2920"/>
      <c r="AL339" s="2920"/>
      <c r="AM339" s="2920"/>
      <c r="AN339" s="2920"/>
      <c r="AO339" s="2920"/>
      <c r="AP339" s="2920"/>
      <c r="AQ339" s="2921"/>
      <c r="AR339" s="2922"/>
      <c r="AS339" s="2922"/>
      <c r="AT339" s="2922"/>
      <c r="AU339" s="2922"/>
      <c r="AV339" s="2922"/>
      <c r="AW339" s="2922"/>
      <c r="AX339" s="2922"/>
      <c r="AY339" s="2920"/>
    </row>
    <row r="340" spans="1:51" ht="12.2" customHeight="1" x14ac:dyDescent="0.2">
      <c r="A340" s="2360"/>
      <c r="B340" s="2252">
        <f t="shared" si="80"/>
        <v>10</v>
      </c>
      <c r="C340" s="4508"/>
      <c r="D340" s="4374"/>
      <c r="E340" s="4375"/>
      <c r="F340" s="4375"/>
      <c r="G340" s="4375"/>
      <c r="H340" s="4375"/>
      <c r="I340" s="2095" t="str">
        <f>IF(OR(D332="",D340=""),"",MAX(1,SUMPRODUCT(--(INDEX('Tablas Técnicas'!$C$10:$L$643,,1)=D332),--(INDEX('Tablas Técnicas'!$C$10:$L$643,,2)=D340),INDEX('Tablas Técnicas'!$C$10:$L$643,,9))))</f>
        <v/>
      </c>
      <c r="J340" s="4374"/>
      <c r="K340" s="4375"/>
      <c r="L340" s="4375"/>
      <c r="M340" s="4375"/>
      <c r="N340" s="4375"/>
      <c r="O340" s="2095" t="str">
        <f>IF(OR(J332="",J340=""),"",MAX(1,SUMPRODUCT(--(INDEX('Tablas Técnicas'!$C$10:$L$643,,1)=J332),--(INDEX('Tablas Técnicas'!$C$10:$L$643,,2)=J340),INDEX('Tablas Técnicas'!$C$10:$L$643,,9))))</f>
        <v/>
      </c>
      <c r="P340" s="4374"/>
      <c r="Q340" s="4375"/>
      <c r="R340" s="4375"/>
      <c r="S340" s="4375"/>
      <c r="T340" s="4375"/>
      <c r="U340" s="2095" t="str">
        <f>IF(OR(P332="",P340=""),"",MAX(1,SUMPRODUCT(--(INDEX('Tablas Técnicas'!$C$10:$L$643,,1)=P332),--(INDEX('Tablas Técnicas'!$C$10:$L$643,,2)=P340),INDEX('Tablas Técnicas'!$C$10:$L$643,,9))))</f>
        <v/>
      </c>
      <c r="V340" s="4374"/>
      <c r="W340" s="4375"/>
      <c r="X340" s="4375"/>
      <c r="Y340" s="4375"/>
      <c r="Z340" s="4375"/>
      <c r="AA340" s="2095" t="str">
        <f>IF(OR(V332="",V340=""),"",MAX(1,SUMPRODUCT(--(INDEX('Tablas Técnicas'!$C$10:$L$643,,1)=V332),--(INDEX('Tablas Técnicas'!$C$10:$L$643,,2)=V340),INDEX('Tablas Técnicas'!$C$10:$L$643,,9))))</f>
        <v/>
      </c>
      <c r="AB340" s="4374"/>
      <c r="AC340" s="4375"/>
      <c r="AD340" s="4375"/>
      <c r="AE340" s="4375"/>
      <c r="AF340" s="4375"/>
      <c r="AG340" s="2096" t="str">
        <f>IF(OR(AB332="",AB340=""),"",MAX(1,SUMPRODUCT(--(INDEX('Tablas Técnicas'!$C$10:$L$643,,1)=AB332),--(INDEX('Tablas Técnicas'!$C$10:$L$643,,2)=AB340),INDEX('Tablas Técnicas'!$C$10:$L$643,,9))))</f>
        <v/>
      </c>
      <c r="AH340" s="2369">
        <f>P319</f>
        <v>1</v>
      </c>
      <c r="AI340" s="4511"/>
      <c r="AJ340" s="2920" t="s">
        <v>10184</v>
      </c>
      <c r="AK340" s="2920"/>
      <c r="AL340" s="2920"/>
      <c r="AM340" s="2920" t="b">
        <f>U319&gt;IF(P319=3,200,IF(P319=2,100,50))</f>
        <v>0</v>
      </c>
      <c r="AN340" s="2920"/>
      <c r="AO340" s="2920"/>
      <c r="AP340" s="2920"/>
      <c r="AQ340" s="2920"/>
      <c r="AR340" s="2922"/>
      <c r="AS340" s="2922"/>
      <c r="AT340" s="2922"/>
      <c r="AU340" s="2922"/>
      <c r="AV340" s="2922"/>
      <c r="AW340" s="2922"/>
      <c r="AX340" s="2922"/>
      <c r="AY340" s="2920"/>
    </row>
    <row r="341" spans="1:51" ht="12.2" customHeight="1" x14ac:dyDescent="0.2">
      <c r="A341" s="2360"/>
      <c r="B341" s="2252">
        <f t="shared" si="80"/>
        <v>10</v>
      </c>
      <c r="C341" s="4508"/>
      <c r="D341" s="4374"/>
      <c r="E341" s="4375"/>
      <c r="F341" s="4375"/>
      <c r="G341" s="4375"/>
      <c r="H341" s="4375"/>
      <c r="I341" s="2095" t="str">
        <f>IF(OR(D332="",D341=""),"",MAX(1,SUMPRODUCT(--(INDEX('Tablas Técnicas'!$C$10:$L$643,,1)=D332),--(INDEX('Tablas Técnicas'!$C$10:$L$643,,2)=D341),INDEX('Tablas Técnicas'!$C$10:$L$643,,9))))</f>
        <v/>
      </c>
      <c r="J341" s="4374"/>
      <c r="K341" s="4375"/>
      <c r="L341" s="4375"/>
      <c r="M341" s="4375"/>
      <c r="N341" s="4375"/>
      <c r="O341" s="2095" t="str">
        <f>IF(OR(J332="",J341=""),"",MAX(1,SUMPRODUCT(--(INDEX('Tablas Técnicas'!$C$10:$L$643,,1)=J332),--(INDEX('Tablas Técnicas'!$C$10:$L$643,,2)=J341),INDEX('Tablas Técnicas'!$C$10:$L$643,,9))))</f>
        <v/>
      </c>
      <c r="P341" s="4374"/>
      <c r="Q341" s="4375"/>
      <c r="R341" s="4375"/>
      <c r="S341" s="4375"/>
      <c r="T341" s="4375"/>
      <c r="U341" s="2095" t="str">
        <f>IF(OR(P332="",P341=""),"",MAX(1,SUMPRODUCT(--(INDEX('Tablas Técnicas'!$C$10:$L$643,,1)=P332),--(INDEX('Tablas Técnicas'!$C$10:$L$643,,2)=P341),INDEX('Tablas Técnicas'!$C$10:$L$643,,9))))</f>
        <v/>
      </c>
      <c r="V341" s="4374"/>
      <c r="W341" s="4375"/>
      <c r="X341" s="4375"/>
      <c r="Y341" s="4375"/>
      <c r="Z341" s="4375"/>
      <c r="AA341" s="2095" t="str">
        <f>IF(OR(V332="",V341=""),"",MAX(1,SUMPRODUCT(--(INDEX('Tablas Técnicas'!$C$10:$L$643,,1)=V332),--(INDEX('Tablas Técnicas'!$C$10:$L$643,,2)=V341),INDEX('Tablas Técnicas'!$C$10:$L$643,,9))))</f>
        <v/>
      </c>
      <c r="AB341" s="4374"/>
      <c r="AC341" s="4375"/>
      <c r="AD341" s="4375"/>
      <c r="AE341" s="4375"/>
      <c r="AF341" s="4375"/>
      <c r="AG341" s="2096" t="str">
        <f>IF(OR(AB332="",AB341=""),"",MAX(1,SUMPRODUCT(--(INDEX('Tablas Técnicas'!$C$10:$L$643,,1)=AB332),--(INDEX('Tablas Técnicas'!$C$10:$L$643,,2)=AB341),INDEX('Tablas Técnicas'!$C$10:$L$643,,9))))</f>
        <v/>
      </c>
      <c r="AH341" s="2369">
        <f>P319</f>
        <v>1</v>
      </c>
      <c r="AI341" s="4511"/>
      <c r="AJ341" s="2920" t="s">
        <v>9020</v>
      </c>
      <c r="AK341" s="2920"/>
      <c r="AL341" s="2920"/>
      <c r="AM341" s="2920" t="b">
        <f t="array" ref="AM341">MAX(I336:I342,O336:O342,U336:U342,AA336:AA342,AG336:AG342,RIGHT(S328:S330,1))&gt;P319</f>
        <v>0</v>
      </c>
      <c r="AN341" s="2920"/>
      <c r="AO341" s="2920"/>
      <c r="AP341" s="2920"/>
      <c r="AQ341" s="2921"/>
      <c r="AR341" s="2922"/>
      <c r="AS341" s="2922"/>
      <c r="AT341" s="2922"/>
      <c r="AU341" s="2922"/>
      <c r="AV341" s="2922"/>
      <c r="AW341" s="2922"/>
      <c r="AX341" s="2922"/>
      <c r="AY341" s="2920"/>
    </row>
    <row r="342" spans="1:51" ht="12.2" customHeight="1" x14ac:dyDescent="0.2">
      <c r="A342" s="2360"/>
      <c r="B342" s="2252">
        <f t="shared" si="80"/>
        <v>10</v>
      </c>
      <c r="C342" s="4508"/>
      <c r="D342" s="4401"/>
      <c r="E342" s="4402"/>
      <c r="F342" s="4402"/>
      <c r="G342" s="4402"/>
      <c r="H342" s="4402"/>
      <c r="I342" s="2097" t="str">
        <f>IF(OR(D332="",D342=""),"",MAX(1,SUMPRODUCT(--(INDEX('Tablas Técnicas'!$C$10:$L$643,,1)=D332),--(INDEX('Tablas Técnicas'!$C$10:$L$643,,2)=D342),INDEX('Tablas Técnicas'!$C$10:$L$643,,9))))</f>
        <v/>
      </c>
      <c r="J342" s="4401"/>
      <c r="K342" s="4402"/>
      <c r="L342" s="4402"/>
      <c r="M342" s="4402"/>
      <c r="N342" s="4402"/>
      <c r="O342" s="2097" t="str">
        <f>IF(OR(J332="",J342=""),"",MAX(1,SUMPRODUCT(--(INDEX('Tablas Técnicas'!$C$10:$L$643,,1)=J332),--(INDEX('Tablas Técnicas'!$C$10:$L$643,,2)=J342),INDEX('Tablas Técnicas'!$C$10:$L$643,,9))))</f>
        <v/>
      </c>
      <c r="P342" s="4401"/>
      <c r="Q342" s="4402"/>
      <c r="R342" s="4402"/>
      <c r="S342" s="4402"/>
      <c r="T342" s="4402"/>
      <c r="U342" s="2097" t="str">
        <f>IF(OR(P332="",P342=""),"",MAX(1,SUMPRODUCT(--(INDEX('Tablas Técnicas'!$C$10:$L$643,,1)=P332),--(INDEX('Tablas Técnicas'!$C$10:$L$643,,2)=P342),INDEX('Tablas Técnicas'!$C$10:$L$643,,9))))</f>
        <v/>
      </c>
      <c r="V342" s="4401"/>
      <c r="W342" s="4402"/>
      <c r="X342" s="4402"/>
      <c r="Y342" s="4402"/>
      <c r="Z342" s="4402"/>
      <c r="AA342" s="2097" t="str">
        <f>IF(OR(V332="",V342=""),"",MAX(1,SUMPRODUCT(--(INDEX('Tablas Técnicas'!$C$10:$L$643,,1)=V332),--(INDEX('Tablas Técnicas'!$C$10:$L$643,,2)=V342),INDEX('Tablas Técnicas'!$C$10:$L$643,,9))))</f>
        <v/>
      </c>
      <c r="AB342" s="4401"/>
      <c r="AC342" s="4402"/>
      <c r="AD342" s="4402"/>
      <c r="AE342" s="4402"/>
      <c r="AF342" s="4402"/>
      <c r="AG342" s="2098" t="str">
        <f>IF(OR(AB332="",AB342=""),"",MAX(1,SUMPRODUCT(--(INDEX('Tablas Técnicas'!$C$10:$L$643,,1)=AB332),--(INDEX('Tablas Técnicas'!$C$10:$L$643,,2)=AB342),INDEX('Tablas Técnicas'!$C$10:$L$643,,9))))</f>
        <v/>
      </c>
      <c r="AH342" s="2369">
        <f>P319</f>
        <v>1</v>
      </c>
      <c r="AI342" s="4511"/>
      <c r="AJ342" s="2920" t="s">
        <v>9529</v>
      </c>
      <c r="AK342" s="2920"/>
      <c r="AL342" s="2920"/>
      <c r="AM342" s="2920" t="b">
        <f>AND(COUNTIF(K323:M327,"Mantenido"),OR(COUNTIF(K323:M327,"Sostenimiento Menor"),COUNTIF(K323:M327,"Sostenimiento Mayor")))</f>
        <v>0</v>
      </c>
      <c r="AN342" s="2921"/>
      <c r="AO342" s="2920"/>
      <c r="AP342" s="2920"/>
      <c r="AQ342" s="2920"/>
      <c r="AR342" s="2920"/>
      <c r="AS342" s="2920"/>
      <c r="AT342" s="2920"/>
      <c r="AU342" s="2922"/>
      <c r="AV342" s="2922"/>
      <c r="AW342" s="2922"/>
      <c r="AX342" s="2922"/>
      <c r="AY342" s="2920"/>
    </row>
    <row r="343" spans="1:51" ht="12.2" customHeight="1" x14ac:dyDescent="0.2">
      <c r="A343" s="2360"/>
      <c r="B343" s="2252">
        <f t="shared" si="80"/>
        <v>10</v>
      </c>
      <c r="C343" s="4508"/>
      <c r="D343" s="4386" t="s">
        <v>1553</v>
      </c>
      <c r="E343" s="4387"/>
      <c r="F343" s="4387"/>
      <c r="G343" s="4387"/>
      <c r="H343" s="4387"/>
      <c r="I343" s="4387"/>
      <c r="J343" s="4387"/>
      <c r="K343" s="4387"/>
      <c r="L343" s="4387"/>
      <c r="M343" s="4387"/>
      <c r="N343" s="4387"/>
      <c r="O343" s="4387"/>
      <c r="P343" s="4387"/>
      <c r="Q343" s="4387"/>
      <c r="R343" s="4387"/>
      <c r="S343" s="4387"/>
      <c r="T343" s="4387"/>
      <c r="U343" s="4387"/>
      <c r="V343" s="4387"/>
      <c r="W343" s="4387"/>
      <c r="X343" s="4387"/>
      <c r="Y343" s="4387"/>
      <c r="Z343" s="4387"/>
      <c r="AA343" s="4387"/>
      <c r="AB343" s="4387"/>
      <c r="AC343" s="4387"/>
      <c r="AD343" s="4387"/>
      <c r="AE343" s="4387"/>
      <c r="AF343" s="4387"/>
      <c r="AG343" s="4442"/>
      <c r="AH343" s="2369"/>
      <c r="AI343" s="4511"/>
      <c r="AJ343" s="2920" t="s">
        <v>9528</v>
      </c>
      <c r="AK343" s="2920"/>
      <c r="AL343" s="2920"/>
      <c r="AM343" s="2920"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20"/>
      <c r="AO343" s="2920"/>
      <c r="AP343" s="2920"/>
      <c r="AQ343" s="2921"/>
      <c r="AR343" s="2920"/>
      <c r="AS343" s="2920"/>
      <c r="AT343" s="2920"/>
      <c r="AU343" s="2922"/>
      <c r="AV343" s="2922"/>
      <c r="AW343" s="2922"/>
      <c r="AX343" s="2922"/>
      <c r="AY343" s="2920"/>
    </row>
    <row r="344" spans="1:51" ht="12.2" customHeight="1" x14ac:dyDescent="0.2">
      <c r="A344" s="2360"/>
      <c r="B344" s="2252">
        <f t="shared" si="80"/>
        <v>10</v>
      </c>
      <c r="C344" s="4508"/>
      <c r="D344" s="4443"/>
      <c r="E344" s="4444"/>
      <c r="F344" s="4444"/>
      <c r="G344" s="4444"/>
      <c r="H344" s="4444"/>
      <c r="I344" s="4444"/>
      <c r="J344" s="4444"/>
      <c r="K344" s="4444"/>
      <c r="L344" s="4444"/>
      <c r="M344" s="4444"/>
      <c r="N344" s="4444"/>
      <c r="O344" s="4444"/>
      <c r="P344" s="4444"/>
      <c r="Q344" s="4444"/>
      <c r="R344" s="4444"/>
      <c r="S344" s="4444"/>
      <c r="T344" s="4444"/>
      <c r="U344" s="4444"/>
      <c r="V344" s="4444"/>
      <c r="W344" s="4444"/>
      <c r="X344" s="4444"/>
      <c r="Y344" s="4444"/>
      <c r="Z344" s="4444"/>
      <c r="AA344" s="4444"/>
      <c r="AB344" s="4444"/>
      <c r="AC344" s="4444"/>
      <c r="AD344" s="4444"/>
      <c r="AE344" s="4444"/>
      <c r="AF344" s="4444"/>
      <c r="AG344" s="4445"/>
      <c r="AH344" s="2369"/>
      <c r="AI344" s="4511"/>
      <c r="AJ344" s="2920" t="s">
        <v>9536</v>
      </c>
      <c r="AK344" s="2920"/>
      <c r="AL344" s="2920"/>
      <c r="AM344" s="2920"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20"/>
      <c r="AO344" s="2920"/>
      <c r="AP344" s="2920"/>
      <c r="AQ344" s="2921"/>
      <c r="AR344" s="2920"/>
      <c r="AS344" s="2920"/>
      <c r="AT344" s="2920"/>
      <c r="AU344" s="2922"/>
      <c r="AV344" s="2922"/>
      <c r="AW344" s="2922"/>
      <c r="AX344" s="2922"/>
      <c r="AY344" s="2920"/>
    </row>
    <row r="345" spans="1:51" ht="12.2" customHeight="1" x14ac:dyDescent="0.2">
      <c r="A345" s="2360"/>
      <c r="B345" s="2252">
        <f t="shared" si="80"/>
        <v>10</v>
      </c>
      <c r="C345" s="4508"/>
      <c r="D345" s="4443"/>
      <c r="E345" s="4444"/>
      <c r="F345" s="4444"/>
      <c r="G345" s="4444"/>
      <c r="H345" s="4444"/>
      <c r="I345" s="4444"/>
      <c r="J345" s="4444"/>
      <c r="K345" s="4444"/>
      <c r="L345" s="4444"/>
      <c r="M345" s="4444"/>
      <c r="N345" s="4444"/>
      <c r="O345" s="4444"/>
      <c r="P345" s="4444"/>
      <c r="Q345" s="4444"/>
      <c r="R345" s="4444"/>
      <c r="S345" s="4444"/>
      <c r="T345" s="4444"/>
      <c r="U345" s="4444"/>
      <c r="V345" s="4444"/>
      <c r="W345" s="4444"/>
      <c r="X345" s="4444"/>
      <c r="Y345" s="4444"/>
      <c r="Z345" s="4444"/>
      <c r="AA345" s="4444"/>
      <c r="AB345" s="4444"/>
      <c r="AC345" s="4444"/>
      <c r="AD345" s="4444"/>
      <c r="AE345" s="4444"/>
      <c r="AF345" s="4444"/>
      <c r="AG345" s="4445"/>
      <c r="AH345" s="2369"/>
      <c r="AI345" s="4511"/>
      <c r="AJ345" s="2920" t="s">
        <v>9515</v>
      </c>
      <c r="AK345" s="2920"/>
      <c r="AL345" s="2920"/>
      <c r="AM345" s="2920" t="b">
        <f>AND((IF(SUM(V323:V327)&gt;0,1,0)+IF(SUM(X323:X327)&gt;0,1,0)+IF(SUM(Z323:Z327)&gt;0,1,0)+IF(SUM(AB323:AB327)&gt;0,1,0)+IF(SUM(AD323:AD327,)&gt;0,1,0)+IF(SUM(AF323:AF327)&gt;0,1,0))&lt;3,OR(V330&lt;0,X330&lt;0,Z330&lt;0,AB330&lt;0,AD330&lt;0,AF330&lt;0,Y328&lt;0))</f>
        <v>0</v>
      </c>
      <c r="AN345" s="2920"/>
      <c r="AO345" s="2920"/>
      <c r="AP345" s="2920"/>
      <c r="AQ345" s="2921"/>
      <c r="AR345" s="2920"/>
      <c r="AS345" s="2920"/>
      <c r="AT345" s="2920"/>
      <c r="AU345" s="2922"/>
      <c r="AV345" s="2922"/>
      <c r="AW345" s="2922"/>
      <c r="AX345" s="2922"/>
      <c r="AY345" s="2920"/>
    </row>
    <row r="346" spans="1:51" ht="12.2" customHeight="1" x14ac:dyDescent="0.2">
      <c r="A346" s="2360"/>
      <c r="B346" s="2252">
        <f t="shared" si="80"/>
        <v>10</v>
      </c>
      <c r="C346" s="4508"/>
      <c r="D346" s="4443"/>
      <c r="E346" s="4444"/>
      <c r="F346" s="4444"/>
      <c r="G346" s="4444"/>
      <c r="H346" s="4444"/>
      <c r="I346" s="4444"/>
      <c r="J346" s="4444"/>
      <c r="K346" s="4444"/>
      <c r="L346" s="4444"/>
      <c r="M346" s="4444"/>
      <c r="N346" s="4444"/>
      <c r="O346" s="4444"/>
      <c r="P346" s="4444"/>
      <c r="Q346" s="4444"/>
      <c r="R346" s="4444"/>
      <c r="S346" s="4444"/>
      <c r="T346" s="4444"/>
      <c r="U346" s="4444"/>
      <c r="V346" s="4444"/>
      <c r="W346" s="4444"/>
      <c r="X346" s="4444"/>
      <c r="Y346" s="4444"/>
      <c r="Z346" s="4444"/>
      <c r="AA346" s="4444"/>
      <c r="AB346" s="4444"/>
      <c r="AC346" s="4444"/>
      <c r="AD346" s="4444"/>
      <c r="AE346" s="4444"/>
      <c r="AF346" s="4444"/>
      <c r="AG346" s="4445"/>
      <c r="AH346" s="2369"/>
      <c r="AI346" s="4511"/>
      <c r="AJ346" s="2920" t="s">
        <v>9530</v>
      </c>
      <c r="AK346" s="2920"/>
      <c r="AL346" s="2920"/>
      <c r="AM346" s="2920" t="b">
        <f>OR(-V330&gt;TRUNC(SUM(V323:V327)/2),-X330&gt;TRUNC(SUM(X323:X327)/2),-Z330&gt;TRUNC(SUM(Z323:Z327)/2),-AB330&gt;TRUNC(SUM(AB323:AB327)/2),-AD330&gt;TRUNC(SUM(AD323:AD327)/2),-AF330&gt;TRUNC(SUM(AF323:AF327)/2))</f>
        <v>0</v>
      </c>
      <c r="AN346" s="2920"/>
      <c r="AO346" s="2920"/>
      <c r="AP346" s="2920"/>
      <c r="AQ346" s="2921"/>
      <c r="AR346" s="2920"/>
      <c r="AS346" s="2920"/>
      <c r="AT346" s="2920"/>
      <c r="AU346" s="2922"/>
      <c r="AV346" s="2922"/>
      <c r="AW346" s="2922"/>
      <c r="AX346" s="2922"/>
      <c r="AY346" s="2920"/>
    </row>
    <row r="347" spans="1:51" ht="12.2" customHeight="1" x14ac:dyDescent="0.2">
      <c r="A347" s="2360"/>
      <c r="B347" s="2252">
        <f t="shared" si="80"/>
        <v>10</v>
      </c>
      <c r="C347" s="4508"/>
      <c r="D347" s="4443"/>
      <c r="E347" s="4444"/>
      <c r="F347" s="4444"/>
      <c r="G347" s="4444"/>
      <c r="H347" s="4444"/>
      <c r="I347" s="4444"/>
      <c r="J347" s="4444"/>
      <c r="K347" s="4444"/>
      <c r="L347" s="4444"/>
      <c r="M347" s="4444"/>
      <c r="N347" s="4444"/>
      <c r="O347" s="4444"/>
      <c r="P347" s="4444"/>
      <c r="Q347" s="4444"/>
      <c r="R347" s="4444"/>
      <c r="S347" s="4444"/>
      <c r="T347" s="4444"/>
      <c r="U347" s="4444"/>
      <c r="V347" s="4444"/>
      <c r="W347" s="4444"/>
      <c r="X347" s="4444"/>
      <c r="Y347" s="4444"/>
      <c r="Z347" s="4444"/>
      <c r="AA347" s="4444"/>
      <c r="AB347" s="4444"/>
      <c r="AC347" s="4444"/>
      <c r="AD347" s="4444"/>
      <c r="AE347" s="4444"/>
      <c r="AF347" s="4444"/>
      <c r="AG347" s="4445"/>
      <c r="AH347" s="2369"/>
      <c r="AI347" s="4511"/>
      <c r="AJ347" s="2920" t="s">
        <v>9531</v>
      </c>
      <c r="AK347" s="2920"/>
      <c r="AL347" s="2920"/>
      <c r="AM347" s="2920" t="b">
        <f>COUNTIF(D323:E327,"Primario")&gt;1</f>
        <v>0</v>
      </c>
      <c r="AN347" s="2920"/>
      <c r="AO347" s="2920"/>
      <c r="AP347" s="2920"/>
      <c r="AQ347" s="2921"/>
      <c r="AR347" s="2921"/>
      <c r="AS347" s="2921"/>
      <c r="AT347" s="2921"/>
      <c r="AU347" s="2922"/>
      <c r="AV347" s="2922"/>
      <c r="AW347" s="2922"/>
      <c r="AX347" s="2920"/>
      <c r="AY347" s="2920"/>
    </row>
    <row r="348" spans="1:51" ht="12.2" customHeight="1" x14ac:dyDescent="0.2">
      <c r="A348" s="2360"/>
      <c r="B348" s="2252">
        <f t="shared" si="80"/>
        <v>10</v>
      </c>
      <c r="C348" s="4508"/>
      <c r="D348" s="4443"/>
      <c r="E348" s="4444"/>
      <c r="F348" s="4444"/>
      <c r="G348" s="4444"/>
      <c r="H348" s="4444"/>
      <c r="I348" s="4444"/>
      <c r="J348" s="4444"/>
      <c r="K348" s="4444"/>
      <c r="L348" s="4444"/>
      <c r="M348" s="4444"/>
      <c r="N348" s="4444"/>
      <c r="O348" s="4444"/>
      <c r="P348" s="4444"/>
      <c r="Q348" s="4444"/>
      <c r="R348" s="4444"/>
      <c r="S348" s="4444"/>
      <c r="T348" s="4444"/>
      <c r="U348" s="4444"/>
      <c r="V348" s="4444"/>
      <c r="W348" s="4444"/>
      <c r="X348" s="4444"/>
      <c r="Y348" s="4444"/>
      <c r="Z348" s="4444"/>
      <c r="AA348" s="4444"/>
      <c r="AB348" s="4444"/>
      <c r="AC348" s="4444"/>
      <c r="AD348" s="4444"/>
      <c r="AE348" s="4444"/>
      <c r="AF348" s="4444"/>
      <c r="AG348" s="4445"/>
      <c r="AH348" s="2369"/>
      <c r="AI348" s="4511"/>
      <c r="AJ348" s="2920" t="s">
        <v>9514</v>
      </c>
      <c r="AK348" s="2920"/>
      <c r="AL348" s="2920"/>
      <c r="AM348" s="2920" t="b">
        <f>SUM(V330:AG330)&lt;&gt;Y328+ABS(AC328)*2/5+IF(S319="Si",3*P319,0)</f>
        <v>0</v>
      </c>
      <c r="AN348" s="2920"/>
      <c r="AO348" s="2920"/>
      <c r="AP348" s="2920"/>
      <c r="AQ348" s="2921"/>
      <c r="AR348" s="2921"/>
      <c r="AS348" s="2921"/>
      <c r="AT348" s="2921"/>
      <c r="AU348" s="2922"/>
      <c r="AV348" s="2922"/>
      <c r="AW348" s="2922"/>
      <c r="AX348" s="2920"/>
      <c r="AY348" s="2920"/>
    </row>
    <row r="349" spans="1:51" ht="12.2" customHeight="1" x14ac:dyDescent="0.2">
      <c r="A349" s="2360"/>
      <c r="B349" s="2252">
        <f t="shared" si="80"/>
        <v>10</v>
      </c>
      <c r="C349" s="4508"/>
      <c r="D349" s="4443"/>
      <c r="E349" s="4444"/>
      <c r="F349" s="4444"/>
      <c r="G349" s="4444"/>
      <c r="H349" s="4444"/>
      <c r="I349" s="4444"/>
      <c r="J349" s="4444"/>
      <c r="K349" s="4444"/>
      <c r="L349" s="4444"/>
      <c r="M349" s="4444"/>
      <c r="N349" s="4444"/>
      <c r="O349" s="4444"/>
      <c r="P349" s="4444"/>
      <c r="Q349" s="4444"/>
      <c r="R349" s="4444"/>
      <c r="S349" s="4444"/>
      <c r="T349" s="4444"/>
      <c r="U349" s="4444"/>
      <c r="V349" s="4444"/>
      <c r="W349" s="4444"/>
      <c r="X349" s="4444"/>
      <c r="Y349" s="4444"/>
      <c r="Z349" s="4444"/>
      <c r="AA349" s="4444"/>
      <c r="AB349" s="4444"/>
      <c r="AC349" s="4444"/>
      <c r="AD349" s="4444"/>
      <c r="AE349" s="4444"/>
      <c r="AF349" s="4444"/>
      <c r="AG349" s="4445"/>
      <c r="AH349" s="2369"/>
      <c r="AI349" s="4511"/>
      <c r="AJ349" s="2920" t="s">
        <v>9513</v>
      </c>
      <c r="AK349" s="2920"/>
      <c r="AL349" s="2920"/>
      <c r="AM349" s="2920" t="b">
        <f>AL336-AL337+AM336-AM337&lt;&gt;0</f>
        <v>0</v>
      </c>
      <c r="AN349" s="2922"/>
      <c r="AO349" s="2922"/>
      <c r="AP349" s="2922"/>
      <c r="AQ349" s="2922"/>
      <c r="AR349" s="2921"/>
      <c r="AS349" s="2921"/>
      <c r="AT349" s="2921"/>
      <c r="AU349" s="2922"/>
      <c r="AV349" s="2922"/>
      <c r="AW349" s="2922"/>
      <c r="AX349" s="2920"/>
      <c r="AY349" s="2920"/>
    </row>
    <row r="350" spans="1:51" ht="12.2" customHeight="1" thickBot="1" x14ac:dyDescent="0.25">
      <c r="A350" s="2360"/>
      <c r="B350" s="2252"/>
      <c r="C350" s="4509"/>
      <c r="D350" s="451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13"/>
      <c r="F350" s="4513"/>
      <c r="G350" s="4513"/>
      <c r="H350" s="4513"/>
      <c r="I350" s="4513"/>
      <c r="J350" s="4513"/>
      <c r="K350" s="4513"/>
      <c r="L350" s="4513"/>
      <c r="M350" s="4513"/>
      <c r="N350" s="4513"/>
      <c r="O350" s="4513"/>
      <c r="P350" s="4513"/>
      <c r="Q350" s="4513"/>
      <c r="R350" s="4513"/>
      <c r="S350" s="4513"/>
      <c r="T350" s="4513"/>
      <c r="U350" s="4513"/>
      <c r="V350" s="4513"/>
      <c r="W350" s="4513"/>
      <c r="X350" s="4513"/>
      <c r="Y350" s="4513"/>
      <c r="Z350" s="4513"/>
      <c r="AA350" s="4513"/>
      <c r="AB350" s="4513"/>
      <c r="AC350" s="4513"/>
      <c r="AD350" s="4513"/>
      <c r="AE350" s="4513"/>
      <c r="AF350" s="4513"/>
      <c r="AG350" s="4514"/>
      <c r="AH350" s="2369"/>
      <c r="AI350" s="4511"/>
      <c r="AJ350" s="2920" t="s">
        <v>9550</v>
      </c>
      <c r="AK350" s="2922"/>
      <c r="AL350" s="2922"/>
      <c r="AM350" s="2922" t="b">
        <f>ABS(SUM(N328:N330))&gt;(SUM(N323:N327)-10*Y328+AC328+IF(S319="Si",10*P319,0)+IF(COUNTIF(K323:M327,"Mantenido")&gt;0,P319*10)+MAX(IF(COUNTIF(K323:M327,"Sostenimiento Menor")&gt;0,P319*20)+IF(COUNTIF(K323:M327,"Sostenimiento Mayor")&gt;0,P319*30)))/2</f>
        <v>0</v>
      </c>
      <c r="AN350" s="2920"/>
      <c r="AO350" s="2920"/>
      <c r="AP350" s="2920"/>
      <c r="AQ350" s="2920"/>
      <c r="AR350" s="2921"/>
      <c r="AS350" s="2921"/>
      <c r="AT350" s="2921"/>
      <c r="AU350" s="2922"/>
      <c r="AV350" s="2922"/>
      <c r="AW350" s="2922"/>
      <c r="AX350" s="2920"/>
      <c r="AY350" s="2920"/>
    </row>
    <row r="351" spans="1:51" ht="12.2" customHeight="1" x14ac:dyDescent="0.2">
      <c r="A351" s="2360"/>
      <c r="B351" s="2252"/>
      <c r="C351" s="4403"/>
      <c r="D351" s="4403" t="str">
        <f>IFERROR(VLOOKUP(D332,'Tablas Técnicas'!$O$9:$T$88,2,FALSE),"")</f>
        <v/>
      </c>
      <c r="E351" s="4403"/>
      <c r="F351" s="4403"/>
      <c r="G351" s="4403"/>
      <c r="H351" s="4403"/>
      <c r="I351" s="4403"/>
      <c r="J351" s="4403" t="str">
        <f>IFERROR(VLOOKUP(J332,'Tablas Técnicas'!$O$9:$T$88,2,FALSE),"")</f>
        <v/>
      </c>
      <c r="K351" s="4403"/>
      <c r="L351" s="4403"/>
      <c r="M351" s="4403"/>
      <c r="N351" s="4403"/>
      <c r="O351" s="4403"/>
      <c r="P351" s="4403" t="str">
        <f>IFERROR(VLOOKUP(P332,'Tablas Técnicas'!$O$9:$T$88,2,FALSE),"")</f>
        <v/>
      </c>
      <c r="Q351" s="4403"/>
      <c r="R351" s="4403"/>
      <c r="S351" s="4403"/>
      <c r="T351" s="4403"/>
      <c r="U351" s="4403"/>
      <c r="V351" s="4403" t="str">
        <f>IFERROR(VLOOKUP(V332,'Tablas Técnicas'!$O$9:$T$88,2,FALSE),"")</f>
        <v/>
      </c>
      <c r="W351" s="4403"/>
      <c r="X351" s="4403"/>
      <c r="Y351" s="4403"/>
      <c r="Z351" s="4403"/>
      <c r="AA351" s="4403"/>
      <c r="AB351" s="4403" t="str">
        <f>IFERROR(VLOOKUP(AB332,'Tablas Técnicas'!$O$9:$T$88,2,FALSE),"")</f>
        <v/>
      </c>
      <c r="AC351" s="4403"/>
      <c r="AD351" s="4403"/>
      <c r="AE351" s="4403"/>
      <c r="AF351" s="4403"/>
      <c r="AG351" s="4403"/>
      <c r="AH351" s="2369"/>
      <c r="AI351" s="2073"/>
      <c r="AJ351" s="2920"/>
      <c r="AK351" s="2920"/>
      <c r="AL351" s="2920"/>
      <c r="AM351" s="2920"/>
      <c r="AN351" s="2920"/>
      <c r="AO351" s="2920"/>
      <c r="AP351" s="2920"/>
      <c r="AQ351" s="2920"/>
      <c r="AR351" s="2921"/>
      <c r="AS351" s="2921"/>
      <c r="AT351" s="2921"/>
      <c r="AU351" s="2922"/>
      <c r="AV351" s="2922"/>
      <c r="AW351" s="2922"/>
      <c r="AX351" s="2922"/>
      <c r="AY351" s="2920"/>
    </row>
    <row r="352" spans="1:51" ht="12.2" customHeight="1" thickBot="1" x14ac:dyDescent="0.25">
      <c r="A352" s="2360"/>
      <c r="B352" s="2253"/>
      <c r="C352" s="4404"/>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28"/>
      <c r="AK352" s="2928"/>
      <c r="AL352" s="2928"/>
      <c r="AM352" s="2928"/>
      <c r="AN352" s="2928"/>
      <c r="AO352" s="2928"/>
      <c r="AP352" s="2920"/>
      <c r="AQ352" s="2921"/>
      <c r="AR352" s="2922"/>
      <c r="AS352" s="2922"/>
      <c r="AT352" s="2922"/>
      <c r="AU352" s="2922"/>
      <c r="AV352" s="2922"/>
      <c r="AW352" s="2922"/>
      <c r="AX352" s="2922"/>
      <c r="AY352" s="2929"/>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20"/>
      <c r="AK353" s="2920"/>
      <c r="AL353" s="2920"/>
      <c r="AM353" s="2920"/>
      <c r="AN353" s="2920"/>
      <c r="AO353" s="2920"/>
      <c r="AP353" s="2920"/>
      <c r="AQ353" s="2921"/>
      <c r="AR353" s="2922"/>
      <c r="AS353" s="2922"/>
      <c r="AT353" s="2922"/>
      <c r="AU353" s="2922"/>
      <c r="AV353" s="2922"/>
      <c r="AW353" s="2922"/>
      <c r="AX353" s="2922"/>
      <c r="AY353" s="2920"/>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s>
  <conditionalFormatting sqref="W16:W20 Y16:Y20 AA16:AA20 AC16:AC20 AE16:AE20 AG16:AG20">
    <cfRule type="expression" dxfId="1013" priority="1583" stopIfTrue="1">
      <formula>$K16&lt;&gt;"Mantenido"</formula>
    </cfRule>
  </conditionalFormatting>
  <conditionalFormatting sqref="O23:R23 O21:R21">
    <cfRule type="expression" dxfId="1012" priority="1582" stopIfTrue="1">
      <formula>$F21&lt;&gt;"Atadura Elemental"</formula>
    </cfRule>
  </conditionalFormatting>
  <conditionalFormatting sqref="O22:R22">
    <cfRule type="expression" dxfId="1011" priority="1581" stopIfTrue="1">
      <formula>$F22&lt;&gt;"Atadura Elemental"</formula>
    </cfRule>
  </conditionalFormatting>
  <conditionalFormatting sqref="Q21:R23">
    <cfRule type="expression" dxfId="1010" priority="1584" stopIfTrue="1">
      <formula>$K21&lt;&gt;"A dos elementos"</formula>
    </cfRule>
  </conditionalFormatting>
  <conditionalFormatting sqref="V16:AG20 V187:AG191 V221:AG225 V255:AG259 V289:AG293 V323:AG327">
    <cfRule type="cellIs" dxfId="1009" priority="1579" stopIfTrue="1" operator="lessThan">
      <formula>0</formula>
    </cfRule>
    <cfRule type="expression" dxfId="1008" priority="1580" stopIfTrue="1">
      <formula>NOT(ISNUMBER(SEARCH(V$14,$Q16)))</formula>
    </cfRule>
  </conditionalFormatting>
  <conditionalFormatting sqref="U12:U13">
    <cfRule type="expression" dxfId="1007" priority="1578" stopIfTrue="1">
      <formula>AM33</formula>
    </cfRule>
  </conditionalFormatting>
  <conditionalFormatting sqref="D29:AG35">
    <cfRule type="expression" dxfId="1006" priority="1585" stopIfTrue="1">
      <formula>AND(ISNUMBER(D29),D29&gt;$AH29)</formula>
    </cfRule>
  </conditionalFormatting>
  <conditionalFormatting sqref="F22:N22 S22 U22">
    <cfRule type="expression" dxfId="1005" priority="1586" stopIfTrue="1">
      <formula>$P12&lt;2</formula>
    </cfRule>
  </conditionalFormatting>
  <conditionalFormatting sqref="F23:N23 S23 U23">
    <cfRule type="expression" dxfId="1004" priority="1587" stopIfTrue="1">
      <formula>$P12&lt;3</formula>
    </cfRule>
  </conditionalFormatting>
  <conditionalFormatting sqref="O16:P20">
    <cfRule type="expression" dxfId="1003" priority="1577" stopIfTrue="1">
      <formula>VALUE(LEFT(O16,2))&lt;&gt;VALUE(RIGHT(O16,2))</formula>
    </cfRule>
  </conditionalFormatting>
  <conditionalFormatting sqref="S21:S23">
    <cfRule type="expression" dxfId="1002" priority="1576" stopIfTrue="1">
      <formula>VALUE(RIGHT($S21,1))&gt;$AK21</formula>
    </cfRule>
  </conditionalFormatting>
  <conditionalFormatting sqref="V23:AG23">
    <cfRule type="expression" dxfId="1001" priority="1589" stopIfTrue="1">
      <formula>$AM35</formula>
    </cfRule>
    <cfRule type="cellIs" dxfId="1000" priority="1590" stopIfTrue="1" operator="lessThan">
      <formula>-TRUNC(SUM(V16:V20)/2)</formula>
    </cfRule>
  </conditionalFormatting>
  <conditionalFormatting sqref="O21:R21">
    <cfRule type="expression" dxfId="999" priority="1591" stopIfTrue="1">
      <formula>$AM37</formula>
    </cfRule>
  </conditionalFormatting>
  <conditionalFormatting sqref="AD21">
    <cfRule type="expression" dxfId="998" priority="1593" stopIfTrue="1">
      <formula>$AM42</formula>
    </cfRule>
  </conditionalFormatting>
  <conditionalFormatting sqref="AM34">
    <cfRule type="expression" dxfId="997" priority="1079" stopIfTrue="1">
      <formula>$Q36&lt;#REF!</formula>
    </cfRule>
  </conditionalFormatting>
  <conditionalFormatting sqref="AM37">
    <cfRule type="expression" dxfId="996" priority="1080" stopIfTrue="1">
      <formula>$AM61</formula>
    </cfRule>
  </conditionalFormatting>
  <conditionalFormatting sqref="Y21">
    <cfRule type="expression" dxfId="995" priority="9488" stopIfTrue="1">
      <formula>AND(AM38,$Y21&lt;&gt;0)</formula>
    </cfRule>
  </conditionalFormatting>
  <conditionalFormatting sqref="AM68">
    <cfRule type="expression" dxfId="994" priority="621" stopIfTrue="1">
      <formula>$Q70&lt;#REF!</formula>
    </cfRule>
  </conditionalFormatting>
  <conditionalFormatting sqref="AM71">
    <cfRule type="expression" dxfId="993" priority="622" stopIfTrue="1">
      <formula>$AM95</formula>
    </cfRule>
  </conditionalFormatting>
  <conditionalFormatting sqref="AM102">
    <cfRule type="expression" dxfId="992" priority="602" stopIfTrue="1">
      <formula>$Q104&lt;#REF!</formula>
    </cfRule>
  </conditionalFormatting>
  <conditionalFormatting sqref="AM105">
    <cfRule type="expression" dxfId="991" priority="603" stopIfTrue="1">
      <formula>$AM129</formula>
    </cfRule>
  </conditionalFormatting>
  <conditionalFormatting sqref="AM136">
    <cfRule type="expression" dxfId="990" priority="583" stopIfTrue="1">
      <formula>$Q138&lt;#REF!</formula>
    </cfRule>
  </conditionalFormatting>
  <conditionalFormatting sqref="AM139">
    <cfRule type="expression" dxfId="989" priority="584" stopIfTrue="1">
      <formula>$AM163</formula>
    </cfRule>
  </conditionalFormatting>
  <conditionalFormatting sqref="AM170">
    <cfRule type="expression" dxfId="988" priority="564" stopIfTrue="1">
      <formula>$Q172&lt;#REF!</formula>
    </cfRule>
  </conditionalFormatting>
  <conditionalFormatting sqref="AM173">
    <cfRule type="expression" dxfId="987" priority="565" stopIfTrue="1">
      <formula>$AM198</formula>
    </cfRule>
  </conditionalFormatting>
  <conditionalFormatting sqref="AM205">
    <cfRule type="expression" dxfId="986" priority="545" stopIfTrue="1">
      <formula>$Q207&lt;#REF!</formula>
    </cfRule>
  </conditionalFormatting>
  <conditionalFormatting sqref="AM208">
    <cfRule type="expression" dxfId="985" priority="546" stopIfTrue="1">
      <formula>$AM232</formula>
    </cfRule>
  </conditionalFormatting>
  <conditionalFormatting sqref="AM239">
    <cfRule type="expression" dxfId="984" priority="526" stopIfTrue="1">
      <formula>$Q241&lt;#REF!</formula>
    </cfRule>
  </conditionalFormatting>
  <conditionalFormatting sqref="AM242">
    <cfRule type="expression" dxfId="983" priority="527" stopIfTrue="1">
      <formula>$AM266</formula>
    </cfRule>
  </conditionalFormatting>
  <conditionalFormatting sqref="AM273">
    <cfRule type="expression" dxfId="982" priority="507" stopIfTrue="1">
      <formula>$Q275&lt;#REF!</formula>
    </cfRule>
  </conditionalFormatting>
  <conditionalFormatting sqref="AM276">
    <cfRule type="expression" dxfId="981" priority="508" stopIfTrue="1">
      <formula>$AM300</formula>
    </cfRule>
  </conditionalFormatting>
  <conditionalFormatting sqref="AM307">
    <cfRule type="expression" dxfId="980" priority="488" stopIfTrue="1">
      <formula>$Q309&lt;#REF!</formula>
    </cfRule>
  </conditionalFormatting>
  <conditionalFormatting sqref="AM310">
    <cfRule type="expression" dxfId="979" priority="489" stopIfTrue="1">
      <formula>$AM334</formula>
    </cfRule>
  </conditionalFormatting>
  <conditionalFormatting sqref="AM341">
    <cfRule type="expression" dxfId="978" priority="469" stopIfTrue="1">
      <formula>$Q343&lt;#REF!</formula>
    </cfRule>
  </conditionalFormatting>
  <conditionalFormatting sqref="AM344">
    <cfRule type="expression" dxfId="977" priority="470" stopIfTrue="1">
      <formula>$AM368</formula>
    </cfRule>
  </conditionalFormatting>
  <conditionalFormatting sqref="W50:W54 Y50:Y54 AA50:AA54 AC50:AC54 AE50:AE54 AG50:AG54">
    <cfRule type="expression" dxfId="976" priority="289" stopIfTrue="1">
      <formula>$K50&lt;&gt;"Mantenido"</formula>
    </cfRule>
  </conditionalFormatting>
  <conditionalFormatting sqref="O57:R57 O55:R55">
    <cfRule type="expression" dxfId="975" priority="288" stopIfTrue="1">
      <formula>$F55&lt;&gt;"Atadura Elemental"</formula>
    </cfRule>
  </conditionalFormatting>
  <conditionalFormatting sqref="O56:R56">
    <cfRule type="expression" dxfId="974" priority="287" stopIfTrue="1">
      <formula>$F56&lt;&gt;"Atadura Elemental"</formula>
    </cfRule>
  </conditionalFormatting>
  <conditionalFormatting sqref="Q55:R57">
    <cfRule type="expression" dxfId="973" priority="290" stopIfTrue="1">
      <formula>$K55&lt;&gt;"A dos elementos"</formula>
    </cfRule>
  </conditionalFormatting>
  <conditionalFormatting sqref="V50:AG54">
    <cfRule type="cellIs" dxfId="972" priority="285" stopIfTrue="1" operator="lessThan">
      <formula>0</formula>
    </cfRule>
    <cfRule type="expression" dxfId="971" priority="286" stopIfTrue="1">
      <formula>NOT(ISNUMBER(SEARCH(V$14,$Q50)))</formula>
    </cfRule>
  </conditionalFormatting>
  <conditionalFormatting sqref="D63:AG69">
    <cfRule type="expression" dxfId="970" priority="291" stopIfTrue="1">
      <formula>AND(ISNUMBER(D63),D63&gt;$AH63)</formula>
    </cfRule>
  </conditionalFormatting>
  <conditionalFormatting sqref="F56:N56 S56 U56">
    <cfRule type="expression" dxfId="969" priority="292" stopIfTrue="1">
      <formula>$P46&lt;2</formula>
    </cfRule>
  </conditionalFormatting>
  <conditionalFormatting sqref="F57:N57 S57 U57">
    <cfRule type="expression" dxfId="968" priority="293" stopIfTrue="1">
      <formula>$P46&lt;3</formula>
    </cfRule>
  </conditionalFormatting>
  <conditionalFormatting sqref="O50:P54">
    <cfRule type="expression" dxfId="967" priority="283" stopIfTrue="1">
      <formula>VALUE(LEFT(O50,2))&lt;&gt;VALUE(RIGHT(O50,2))</formula>
    </cfRule>
  </conditionalFormatting>
  <conditionalFormatting sqref="S55:S57">
    <cfRule type="expression" dxfId="966" priority="282" stopIfTrue="1">
      <formula>VALUE(RIGHT($S55,1))&gt;$AK55</formula>
    </cfRule>
  </conditionalFormatting>
  <conditionalFormatting sqref="V57:AG57">
    <cfRule type="expression" dxfId="965" priority="294" stopIfTrue="1">
      <formula>$AM69</formula>
    </cfRule>
    <cfRule type="cellIs" dxfId="964" priority="295" stopIfTrue="1" operator="lessThan">
      <formula>-TRUNC(SUM(V50:V54)/2)</formula>
    </cfRule>
  </conditionalFormatting>
  <conditionalFormatting sqref="O55:R55">
    <cfRule type="expression" dxfId="963" priority="296" stopIfTrue="1">
      <formula>$AM71</formula>
    </cfRule>
  </conditionalFormatting>
  <conditionalFormatting sqref="AD55">
    <cfRule type="expression" dxfId="962" priority="297" stopIfTrue="1">
      <formula>$AM76</formula>
    </cfRule>
  </conditionalFormatting>
  <conditionalFormatting sqref="Y55">
    <cfRule type="expression" dxfId="961" priority="298" stopIfTrue="1">
      <formula>AND(AM72,$Y55&lt;&gt;0)</formula>
    </cfRule>
  </conditionalFormatting>
  <conditionalFormatting sqref="W84:W88 Y84:Y88 AA84:AA88 AC84:AC88 AE84:AE88 AG84:AG88">
    <cfRule type="expression" dxfId="960" priority="136" stopIfTrue="1">
      <formula>$K84&lt;&gt;"Mantenido"</formula>
    </cfRule>
  </conditionalFormatting>
  <conditionalFormatting sqref="O91:R91 O89:R89">
    <cfRule type="expression" dxfId="959" priority="135" stopIfTrue="1">
      <formula>$F89&lt;&gt;"Atadura Elemental"</formula>
    </cfRule>
  </conditionalFormatting>
  <conditionalFormatting sqref="O90:R90">
    <cfRule type="expression" dxfId="958" priority="134" stopIfTrue="1">
      <formula>$F90&lt;&gt;"Atadura Elemental"</formula>
    </cfRule>
  </conditionalFormatting>
  <conditionalFormatting sqref="Q89:R91">
    <cfRule type="expression" dxfId="957" priority="137" stopIfTrue="1">
      <formula>$K89&lt;&gt;"A dos elementos"</formula>
    </cfRule>
  </conditionalFormatting>
  <conditionalFormatting sqref="V84:AG88">
    <cfRule type="cellIs" dxfId="956" priority="132" stopIfTrue="1" operator="lessThan">
      <formula>0</formula>
    </cfRule>
    <cfRule type="expression" dxfId="955" priority="133" stopIfTrue="1">
      <formula>NOT(ISNUMBER(SEARCH(V$14,$Q84)))</formula>
    </cfRule>
  </conditionalFormatting>
  <conditionalFormatting sqref="D97:AG103">
    <cfRule type="expression" dxfId="954" priority="138" stopIfTrue="1">
      <formula>AND(ISNUMBER(D97),D97&gt;$AH97)</formula>
    </cfRule>
  </conditionalFormatting>
  <conditionalFormatting sqref="F90:N90 S90 U90">
    <cfRule type="expression" dxfId="953" priority="139" stopIfTrue="1">
      <formula>$P80&lt;2</formula>
    </cfRule>
  </conditionalFormatting>
  <conditionalFormatting sqref="F91:N91 S91 U91">
    <cfRule type="expression" dxfId="952" priority="140" stopIfTrue="1">
      <formula>$P80&lt;3</formula>
    </cfRule>
  </conditionalFormatting>
  <conditionalFormatting sqref="O84:P88">
    <cfRule type="expression" dxfId="951" priority="130" stopIfTrue="1">
      <formula>VALUE(LEFT(O84,2))&lt;&gt;VALUE(RIGHT(O84,2))</formula>
    </cfRule>
  </conditionalFormatting>
  <conditionalFormatting sqref="S89:S91">
    <cfRule type="expression" dxfId="950" priority="129" stopIfTrue="1">
      <formula>VALUE(RIGHT($S89,1))&gt;$AK89</formula>
    </cfRule>
  </conditionalFormatting>
  <conditionalFormatting sqref="V91:AG91">
    <cfRule type="expression" dxfId="949" priority="141" stopIfTrue="1">
      <formula>$AM103</formula>
    </cfRule>
    <cfRule type="cellIs" dxfId="948" priority="142" stopIfTrue="1" operator="lessThan">
      <formula>-TRUNC(SUM(V84:V88)/2)</formula>
    </cfRule>
  </conditionalFormatting>
  <conditionalFormatting sqref="O89:R89">
    <cfRule type="expression" dxfId="947" priority="143" stopIfTrue="1">
      <formula>$AM105</formula>
    </cfRule>
  </conditionalFormatting>
  <conditionalFormatting sqref="AD89">
    <cfRule type="expression" dxfId="946" priority="144" stopIfTrue="1">
      <formula>$AM110</formula>
    </cfRule>
  </conditionalFormatting>
  <conditionalFormatting sqref="Y89">
    <cfRule type="expression" dxfId="945" priority="145" stopIfTrue="1">
      <formula>AND(AM106,$Y89&lt;&gt;0)</formula>
    </cfRule>
  </conditionalFormatting>
  <conditionalFormatting sqref="W118:W122 Y118:Y122 AA118:AA122 AC118:AC122 AE118:AE122 AG118:AG122">
    <cfRule type="expression" dxfId="944" priority="119" stopIfTrue="1">
      <formula>$K118&lt;&gt;"Mantenido"</formula>
    </cfRule>
  </conditionalFormatting>
  <conditionalFormatting sqref="O125:R125 O123:R123">
    <cfRule type="expression" dxfId="943" priority="118" stopIfTrue="1">
      <formula>$F123&lt;&gt;"Atadura Elemental"</formula>
    </cfRule>
  </conditionalFormatting>
  <conditionalFormatting sqref="O124:R124">
    <cfRule type="expression" dxfId="942" priority="117" stopIfTrue="1">
      <formula>$F124&lt;&gt;"Atadura Elemental"</formula>
    </cfRule>
  </conditionalFormatting>
  <conditionalFormatting sqref="Q123:R125">
    <cfRule type="expression" dxfId="941" priority="120" stopIfTrue="1">
      <formula>$K123&lt;&gt;"A dos elementos"</formula>
    </cfRule>
  </conditionalFormatting>
  <conditionalFormatting sqref="V118:AG122">
    <cfRule type="cellIs" dxfId="940" priority="115" stopIfTrue="1" operator="lessThan">
      <formula>0</formula>
    </cfRule>
    <cfRule type="expression" dxfId="939" priority="116" stopIfTrue="1">
      <formula>NOT(ISNUMBER(SEARCH(V$14,$Q118)))</formula>
    </cfRule>
  </conditionalFormatting>
  <conditionalFormatting sqref="D131:AG137">
    <cfRule type="expression" dxfId="938" priority="121" stopIfTrue="1">
      <formula>AND(ISNUMBER(D131),D131&gt;$AH131)</formula>
    </cfRule>
  </conditionalFormatting>
  <conditionalFormatting sqref="F124:N124 S124 U124">
    <cfRule type="expression" dxfId="937" priority="122" stopIfTrue="1">
      <formula>$P114&lt;2</formula>
    </cfRule>
  </conditionalFormatting>
  <conditionalFormatting sqref="F125:N125 S125 U125">
    <cfRule type="expression" dxfId="936" priority="123" stopIfTrue="1">
      <formula>$P114&lt;3</formula>
    </cfRule>
  </conditionalFormatting>
  <conditionalFormatting sqref="O118:P122">
    <cfRule type="expression" dxfId="935" priority="113" stopIfTrue="1">
      <formula>VALUE(LEFT(O118,2))&lt;&gt;VALUE(RIGHT(O118,2))</formula>
    </cfRule>
  </conditionalFormatting>
  <conditionalFormatting sqref="S123:S125">
    <cfRule type="expression" dxfId="934" priority="112" stopIfTrue="1">
      <formula>VALUE(RIGHT($S123,1))&gt;$AK123</formula>
    </cfRule>
  </conditionalFormatting>
  <conditionalFormatting sqref="V125:AG125">
    <cfRule type="expression" dxfId="933" priority="124" stopIfTrue="1">
      <formula>$AM137</formula>
    </cfRule>
    <cfRule type="cellIs" dxfId="932" priority="125" stopIfTrue="1" operator="lessThan">
      <formula>-TRUNC(SUM(V118:V122)/2)</formula>
    </cfRule>
  </conditionalFormatting>
  <conditionalFormatting sqref="O123:R123">
    <cfRule type="expression" dxfId="931" priority="126" stopIfTrue="1">
      <formula>$AM139</formula>
    </cfRule>
  </conditionalFormatting>
  <conditionalFormatting sqref="AD123">
    <cfRule type="expression" dxfId="930" priority="127" stopIfTrue="1">
      <formula>$AM144</formula>
    </cfRule>
  </conditionalFormatting>
  <conditionalFormatting sqref="Y123">
    <cfRule type="expression" dxfId="929" priority="128" stopIfTrue="1">
      <formula>AND(AM140,$Y123&lt;&gt;0)</formula>
    </cfRule>
  </conditionalFormatting>
  <conditionalFormatting sqref="W152:W156 Y152:Y156 AA152:AA156 AC152:AC156 AE152:AE156 AG152:AG156">
    <cfRule type="expression" dxfId="928" priority="102" stopIfTrue="1">
      <formula>$K152&lt;&gt;"Mantenido"</formula>
    </cfRule>
  </conditionalFormatting>
  <conditionalFormatting sqref="O159:R159 O157:R157">
    <cfRule type="expression" dxfId="927" priority="101" stopIfTrue="1">
      <formula>$F157&lt;&gt;"Atadura Elemental"</formula>
    </cfRule>
  </conditionalFormatting>
  <conditionalFormatting sqref="O158:R158">
    <cfRule type="expression" dxfId="926" priority="100" stopIfTrue="1">
      <formula>$F158&lt;&gt;"Atadura Elemental"</formula>
    </cfRule>
  </conditionalFormatting>
  <conditionalFormatting sqref="Q157:R159">
    <cfRule type="expression" dxfId="925" priority="103" stopIfTrue="1">
      <formula>$K157&lt;&gt;"A dos elementos"</formula>
    </cfRule>
  </conditionalFormatting>
  <conditionalFormatting sqref="V152:AG156">
    <cfRule type="cellIs" dxfId="924" priority="98" stopIfTrue="1" operator="lessThan">
      <formula>0</formula>
    </cfRule>
    <cfRule type="expression" dxfId="923" priority="99" stopIfTrue="1">
      <formula>NOT(ISNUMBER(SEARCH(V$14,$Q152)))</formula>
    </cfRule>
  </conditionalFormatting>
  <conditionalFormatting sqref="D165:AG171">
    <cfRule type="expression" dxfId="922" priority="104" stopIfTrue="1">
      <formula>AND(ISNUMBER(D165),D165&gt;$AH165)</formula>
    </cfRule>
  </conditionalFormatting>
  <conditionalFormatting sqref="F158:N158 S158 U158">
    <cfRule type="expression" dxfId="921" priority="105" stopIfTrue="1">
      <formula>$P148&lt;2</formula>
    </cfRule>
  </conditionalFormatting>
  <conditionalFormatting sqref="F159:N159 S159 U159">
    <cfRule type="expression" dxfId="920" priority="106" stopIfTrue="1">
      <formula>$P148&lt;3</formula>
    </cfRule>
  </conditionalFormatting>
  <conditionalFormatting sqref="O152:P156">
    <cfRule type="expression" dxfId="919" priority="96" stopIfTrue="1">
      <formula>VALUE(LEFT(O152,2))&lt;&gt;VALUE(RIGHT(O152,2))</formula>
    </cfRule>
  </conditionalFormatting>
  <conditionalFormatting sqref="S157:S159">
    <cfRule type="expression" dxfId="918" priority="95" stopIfTrue="1">
      <formula>VALUE(RIGHT($S157,1))&gt;$AK157</formula>
    </cfRule>
  </conditionalFormatting>
  <conditionalFormatting sqref="V159:AG159">
    <cfRule type="expression" dxfId="917" priority="107" stopIfTrue="1">
      <formula>$AM171</formula>
    </cfRule>
    <cfRule type="cellIs" dxfId="916" priority="108" stopIfTrue="1" operator="lessThan">
      <formula>-TRUNC(SUM(V152:V156)/2)</formula>
    </cfRule>
  </conditionalFormatting>
  <conditionalFormatting sqref="O157:R157">
    <cfRule type="expression" dxfId="915" priority="109" stopIfTrue="1">
      <formula>$AM173</formula>
    </cfRule>
  </conditionalFormatting>
  <conditionalFormatting sqref="AD157">
    <cfRule type="expression" dxfId="914" priority="110" stopIfTrue="1">
      <formula>$AM178</formula>
    </cfRule>
  </conditionalFormatting>
  <conditionalFormatting sqref="Y157">
    <cfRule type="expression" dxfId="913" priority="111" stopIfTrue="1">
      <formula>AND(AM174,$Y157&lt;&gt;0)</formula>
    </cfRule>
  </conditionalFormatting>
  <conditionalFormatting sqref="W187:W191 Y187:Y191 AA187:AA191 AC187:AC191 AE187:AE191 AG187:AG191">
    <cfRule type="expression" dxfId="912" priority="85" stopIfTrue="1">
      <formula>$K187&lt;&gt;"Mantenido"</formula>
    </cfRule>
  </conditionalFormatting>
  <conditionalFormatting sqref="O194:R194 O192:R192">
    <cfRule type="expression" dxfId="911" priority="84" stopIfTrue="1">
      <formula>$F192&lt;&gt;"Atadura Elemental"</formula>
    </cfRule>
  </conditionalFormatting>
  <conditionalFormatting sqref="O193:R193">
    <cfRule type="expression" dxfId="910" priority="83" stopIfTrue="1">
      <formula>$F193&lt;&gt;"Atadura Elemental"</formula>
    </cfRule>
  </conditionalFormatting>
  <conditionalFormatting sqref="Q192:R194">
    <cfRule type="expression" dxfId="909" priority="86" stopIfTrue="1">
      <formula>$K192&lt;&gt;"A dos elementos"</formula>
    </cfRule>
  </conditionalFormatting>
  <conditionalFormatting sqref="D200:AG206">
    <cfRule type="expression" dxfId="908" priority="87" stopIfTrue="1">
      <formula>AND(ISNUMBER(D200),D200&gt;$AH200)</formula>
    </cfRule>
  </conditionalFormatting>
  <conditionalFormatting sqref="F193:N193 S193 U193">
    <cfRule type="expression" dxfId="907" priority="88" stopIfTrue="1">
      <formula>$P183&lt;2</formula>
    </cfRule>
  </conditionalFormatting>
  <conditionalFormatting sqref="F194:N194 S194 U194">
    <cfRule type="expression" dxfId="906" priority="89" stopIfTrue="1">
      <formula>$P183&lt;3</formula>
    </cfRule>
  </conditionalFormatting>
  <conditionalFormatting sqref="O187:P191">
    <cfRule type="expression" dxfId="905" priority="79" stopIfTrue="1">
      <formula>VALUE(LEFT(O187,2))&lt;&gt;VALUE(RIGHT(O187,2))</formula>
    </cfRule>
  </conditionalFormatting>
  <conditionalFormatting sqref="S192:S194">
    <cfRule type="expression" dxfId="904" priority="78" stopIfTrue="1">
      <formula>VALUE(RIGHT($S192,1))&gt;$AK192</formula>
    </cfRule>
  </conditionalFormatting>
  <conditionalFormatting sqref="V194:AG194">
    <cfRule type="expression" dxfId="903" priority="90" stopIfTrue="1">
      <formula>$AM206</formula>
    </cfRule>
    <cfRule type="cellIs" dxfId="902" priority="91" stopIfTrue="1" operator="lessThan">
      <formula>-TRUNC(SUM(V187:V191)/2)</formula>
    </cfRule>
  </conditionalFormatting>
  <conditionalFormatting sqref="O192:R192">
    <cfRule type="expression" dxfId="901" priority="92" stopIfTrue="1">
      <formula>$AM208</formula>
    </cfRule>
  </conditionalFormatting>
  <conditionalFormatting sqref="AD192">
    <cfRule type="expression" dxfId="900" priority="93" stopIfTrue="1">
      <formula>$AM213</formula>
    </cfRule>
  </conditionalFormatting>
  <conditionalFormatting sqref="Y192">
    <cfRule type="expression" dxfId="899" priority="94" stopIfTrue="1">
      <formula>AND(AM209,$Y192&lt;&gt;0)</formula>
    </cfRule>
  </conditionalFormatting>
  <conditionalFormatting sqref="W221:W225 Y221:Y225 AA221:AA225 AC221:AC225 AE221:AE225 AG221:AG225">
    <cfRule type="expression" dxfId="898" priority="68" stopIfTrue="1">
      <formula>$K221&lt;&gt;"Mantenido"</formula>
    </cfRule>
  </conditionalFormatting>
  <conditionalFormatting sqref="O228:R228 O226:R226">
    <cfRule type="expression" dxfId="897" priority="67" stopIfTrue="1">
      <formula>$F226&lt;&gt;"Atadura Elemental"</formula>
    </cfRule>
  </conditionalFormatting>
  <conditionalFormatting sqref="O227:R227">
    <cfRule type="expression" dxfId="896" priority="66" stopIfTrue="1">
      <formula>$F227&lt;&gt;"Atadura Elemental"</formula>
    </cfRule>
  </conditionalFormatting>
  <conditionalFormatting sqref="Q226:R228">
    <cfRule type="expression" dxfId="895" priority="69" stopIfTrue="1">
      <formula>$K226&lt;&gt;"A dos elementos"</formula>
    </cfRule>
  </conditionalFormatting>
  <conditionalFormatting sqref="D234:AG240">
    <cfRule type="expression" dxfId="894" priority="70" stopIfTrue="1">
      <formula>AND(ISNUMBER(D234),D234&gt;$AH234)</formula>
    </cfRule>
  </conditionalFormatting>
  <conditionalFormatting sqref="F227:N227 S227 U227">
    <cfRule type="expression" dxfId="893" priority="71" stopIfTrue="1">
      <formula>$P217&lt;2</formula>
    </cfRule>
  </conditionalFormatting>
  <conditionalFormatting sqref="F228:N228 S228 U228">
    <cfRule type="expression" dxfId="892" priority="72" stopIfTrue="1">
      <formula>$P217&lt;3</formula>
    </cfRule>
  </conditionalFormatting>
  <conditionalFormatting sqref="O221:P225">
    <cfRule type="expression" dxfId="891" priority="62" stopIfTrue="1">
      <formula>VALUE(LEFT(O221,2))&lt;&gt;VALUE(RIGHT(O221,2))</formula>
    </cfRule>
  </conditionalFormatting>
  <conditionalFormatting sqref="S226:S228">
    <cfRule type="expression" dxfId="890" priority="61" stopIfTrue="1">
      <formula>VALUE(RIGHT($S226,1))&gt;$AK226</formula>
    </cfRule>
  </conditionalFormatting>
  <conditionalFormatting sqref="V228:AG228">
    <cfRule type="expression" dxfId="889" priority="73" stopIfTrue="1">
      <formula>$AM240</formula>
    </cfRule>
    <cfRule type="cellIs" dxfId="888" priority="74" stopIfTrue="1" operator="lessThan">
      <formula>-TRUNC(SUM(V221:V225)/2)</formula>
    </cfRule>
  </conditionalFormatting>
  <conditionalFormatting sqref="O226:R226">
    <cfRule type="expression" dxfId="887" priority="75" stopIfTrue="1">
      <formula>$AM242</formula>
    </cfRule>
  </conditionalFormatting>
  <conditionalFormatting sqref="AD226">
    <cfRule type="expression" dxfId="886" priority="76" stopIfTrue="1">
      <formula>$AM247</formula>
    </cfRule>
  </conditionalFormatting>
  <conditionalFormatting sqref="Y226">
    <cfRule type="expression" dxfId="885" priority="77" stopIfTrue="1">
      <formula>AND(AM243,$Y226&lt;&gt;0)</formula>
    </cfRule>
  </conditionalFormatting>
  <conditionalFormatting sqref="W255:W259 Y255:Y259 AA255:AA259 AC255:AC259 AE255:AE259 AG255:AG259">
    <cfRule type="expression" dxfId="884" priority="51" stopIfTrue="1">
      <formula>$K255&lt;&gt;"Mantenido"</formula>
    </cfRule>
  </conditionalFormatting>
  <conditionalFormatting sqref="O262:R262 O260:R260">
    <cfRule type="expression" dxfId="883" priority="50" stopIfTrue="1">
      <formula>$F260&lt;&gt;"Atadura Elemental"</formula>
    </cfRule>
  </conditionalFormatting>
  <conditionalFormatting sqref="O261:R261">
    <cfRule type="expression" dxfId="882" priority="49" stopIfTrue="1">
      <formula>$F261&lt;&gt;"Atadura Elemental"</formula>
    </cfRule>
  </conditionalFormatting>
  <conditionalFormatting sqref="Q260:R262">
    <cfRule type="expression" dxfId="881" priority="52" stopIfTrue="1">
      <formula>$K260&lt;&gt;"A dos elementos"</formula>
    </cfRule>
  </conditionalFormatting>
  <conditionalFormatting sqref="D268:AG274">
    <cfRule type="expression" dxfId="880" priority="53" stopIfTrue="1">
      <formula>AND(ISNUMBER(D268),D268&gt;$AH268)</formula>
    </cfRule>
  </conditionalFormatting>
  <conditionalFormatting sqref="F261:N261 S261 U261">
    <cfRule type="expression" dxfId="879" priority="54" stopIfTrue="1">
      <formula>$P251&lt;2</formula>
    </cfRule>
  </conditionalFormatting>
  <conditionalFormatting sqref="F262:N262 S262 U262">
    <cfRule type="expression" dxfId="878" priority="55" stopIfTrue="1">
      <formula>$P251&lt;3</formula>
    </cfRule>
  </conditionalFormatting>
  <conditionalFormatting sqref="O255:P259">
    <cfRule type="expression" dxfId="877" priority="45" stopIfTrue="1">
      <formula>VALUE(LEFT(O255,2))&lt;&gt;VALUE(RIGHT(O255,2))</formula>
    </cfRule>
  </conditionalFormatting>
  <conditionalFormatting sqref="S260:S262">
    <cfRule type="expression" dxfId="876" priority="44" stopIfTrue="1">
      <formula>VALUE(RIGHT($S260,1))&gt;$AK260</formula>
    </cfRule>
  </conditionalFormatting>
  <conditionalFormatting sqref="V262:AG262">
    <cfRule type="expression" dxfId="875" priority="56" stopIfTrue="1">
      <formula>$AM274</formula>
    </cfRule>
    <cfRule type="cellIs" dxfId="874" priority="57" stopIfTrue="1" operator="lessThan">
      <formula>-TRUNC(SUM(V255:V259)/2)</formula>
    </cfRule>
  </conditionalFormatting>
  <conditionalFormatting sqref="O260:R260">
    <cfRule type="expression" dxfId="873" priority="58" stopIfTrue="1">
      <formula>$AM276</formula>
    </cfRule>
  </conditionalFormatting>
  <conditionalFormatting sqref="AD260">
    <cfRule type="expression" dxfId="872" priority="59" stopIfTrue="1">
      <formula>$AM281</formula>
    </cfRule>
  </conditionalFormatting>
  <conditionalFormatting sqref="Y260">
    <cfRule type="expression" dxfId="871" priority="60" stopIfTrue="1">
      <formula>AND(AM277,$Y260&lt;&gt;0)</formula>
    </cfRule>
  </conditionalFormatting>
  <conditionalFormatting sqref="W289:W293 Y289:Y293 AA289:AA293 AC289:AC293 AE289:AE293 AG289:AG293">
    <cfRule type="expression" dxfId="870" priority="34" stopIfTrue="1">
      <formula>$K289&lt;&gt;"Mantenido"</formula>
    </cfRule>
  </conditionalFormatting>
  <conditionalFormatting sqref="O296:R296 O294:R294">
    <cfRule type="expression" dxfId="869" priority="33" stopIfTrue="1">
      <formula>$F294&lt;&gt;"Atadura Elemental"</formula>
    </cfRule>
  </conditionalFormatting>
  <conditionalFormatting sqref="O295:R295">
    <cfRule type="expression" dxfId="868" priority="32" stopIfTrue="1">
      <formula>$F295&lt;&gt;"Atadura Elemental"</formula>
    </cfRule>
  </conditionalFormatting>
  <conditionalFormatting sqref="Q294:R296">
    <cfRule type="expression" dxfId="867" priority="35" stopIfTrue="1">
      <formula>$K294&lt;&gt;"A dos elementos"</formula>
    </cfRule>
  </conditionalFormatting>
  <conditionalFormatting sqref="D302:AG308">
    <cfRule type="expression" dxfId="866" priority="36" stopIfTrue="1">
      <formula>AND(ISNUMBER(D302),D302&gt;$AH302)</formula>
    </cfRule>
  </conditionalFormatting>
  <conditionalFormatting sqref="F295:N295 S295 U295">
    <cfRule type="expression" dxfId="865" priority="37" stopIfTrue="1">
      <formula>$P285&lt;2</formula>
    </cfRule>
  </conditionalFormatting>
  <conditionalFormatting sqref="F296:N296 S296 U296">
    <cfRule type="expression" dxfId="864" priority="38" stopIfTrue="1">
      <formula>$P285&lt;3</formula>
    </cfRule>
  </conditionalFormatting>
  <conditionalFormatting sqref="O289:P293">
    <cfRule type="expression" dxfId="863" priority="28" stopIfTrue="1">
      <formula>VALUE(LEFT(O289,2))&lt;&gt;VALUE(RIGHT(O289,2))</formula>
    </cfRule>
  </conditionalFormatting>
  <conditionalFormatting sqref="S294:S296">
    <cfRule type="expression" dxfId="862" priority="27" stopIfTrue="1">
      <formula>VALUE(RIGHT($S294,1))&gt;$AK294</formula>
    </cfRule>
  </conditionalFormatting>
  <conditionalFormatting sqref="V296:AG296">
    <cfRule type="expression" dxfId="861" priority="39" stopIfTrue="1">
      <formula>$AM308</formula>
    </cfRule>
    <cfRule type="cellIs" dxfId="860" priority="40" stopIfTrue="1" operator="lessThan">
      <formula>-TRUNC(SUM(V289:V293)/2)</formula>
    </cfRule>
  </conditionalFormatting>
  <conditionalFormatting sqref="O294:R294">
    <cfRule type="expression" dxfId="859" priority="41" stopIfTrue="1">
      <formula>$AM310</formula>
    </cfRule>
  </conditionalFormatting>
  <conditionalFormatting sqref="AD294">
    <cfRule type="expression" dxfId="858" priority="42" stopIfTrue="1">
      <formula>$AM315</formula>
    </cfRule>
  </conditionalFormatting>
  <conditionalFormatting sqref="Y294">
    <cfRule type="expression" dxfId="857" priority="43" stopIfTrue="1">
      <formula>AND(AM311,$Y294&lt;&gt;0)</formula>
    </cfRule>
  </conditionalFormatting>
  <conditionalFormatting sqref="W323:W327 Y323:Y327 AA323:AA327 AC323:AC327 AE323:AE327 AG323:AG327">
    <cfRule type="expression" dxfId="856" priority="17" stopIfTrue="1">
      <formula>$K323&lt;&gt;"Mantenido"</formula>
    </cfRule>
  </conditionalFormatting>
  <conditionalFormatting sqref="O330:R330 O328:R328">
    <cfRule type="expression" dxfId="855" priority="16" stopIfTrue="1">
      <formula>$F328&lt;&gt;"Atadura Elemental"</formula>
    </cfRule>
  </conditionalFormatting>
  <conditionalFormatting sqref="O329:R329">
    <cfRule type="expression" dxfId="854" priority="15" stopIfTrue="1">
      <formula>$F329&lt;&gt;"Atadura Elemental"</formula>
    </cfRule>
  </conditionalFormatting>
  <conditionalFormatting sqref="Q328:R330">
    <cfRule type="expression" dxfId="853" priority="18" stopIfTrue="1">
      <formula>$K328&lt;&gt;"A dos elementos"</formula>
    </cfRule>
  </conditionalFormatting>
  <conditionalFormatting sqref="D336:AG342">
    <cfRule type="expression" dxfId="852" priority="19" stopIfTrue="1">
      <formula>AND(ISNUMBER(D336),D336&gt;$AH336)</formula>
    </cfRule>
  </conditionalFormatting>
  <conditionalFormatting sqref="F329:N329 S329 U329">
    <cfRule type="expression" dxfId="851" priority="20" stopIfTrue="1">
      <formula>$P319&lt;2</formula>
    </cfRule>
  </conditionalFormatting>
  <conditionalFormatting sqref="F330:N330 S330 U330">
    <cfRule type="expression" dxfId="850" priority="21" stopIfTrue="1">
      <formula>$P319&lt;3</formula>
    </cfRule>
  </conditionalFormatting>
  <conditionalFormatting sqref="O323:P327">
    <cfRule type="expression" dxfId="849" priority="11" stopIfTrue="1">
      <formula>VALUE(LEFT(O323,2))&lt;&gt;VALUE(RIGHT(O323,2))</formula>
    </cfRule>
  </conditionalFormatting>
  <conditionalFormatting sqref="S328:S330">
    <cfRule type="expression" dxfId="848" priority="10" stopIfTrue="1">
      <formula>VALUE(RIGHT($S328,1))&gt;$AK328</formula>
    </cfRule>
  </conditionalFormatting>
  <conditionalFormatting sqref="V330:AG330">
    <cfRule type="expression" dxfId="847" priority="22" stopIfTrue="1">
      <formula>$AM342</formula>
    </cfRule>
    <cfRule type="cellIs" dxfId="846" priority="23" stopIfTrue="1" operator="lessThan">
      <formula>-TRUNC(SUM(V323:V327)/2)</formula>
    </cfRule>
  </conditionalFormatting>
  <conditionalFormatting sqref="O328:R328">
    <cfRule type="expression" dxfId="845" priority="24" stopIfTrue="1">
      <formula>$AM344</formula>
    </cfRule>
  </conditionalFormatting>
  <conditionalFormatting sqref="AD328">
    <cfRule type="expression" dxfId="844" priority="25" stopIfTrue="1">
      <formula>$AM349</formula>
    </cfRule>
  </conditionalFormatting>
  <conditionalFormatting sqref="Y328">
    <cfRule type="expression" dxfId="843" priority="26" stopIfTrue="1">
      <formula>AND(AM345,$Y328&lt;&gt;0)</formula>
    </cfRule>
  </conditionalFormatting>
  <conditionalFormatting sqref="U46:U47">
    <cfRule type="expression" dxfId="842" priority="9" stopIfTrue="1">
      <formula>AM67</formula>
    </cfRule>
  </conditionalFormatting>
  <conditionalFormatting sqref="U80:U81">
    <cfRule type="expression" dxfId="841" priority="8" stopIfTrue="1">
      <formula>AM101</formula>
    </cfRule>
  </conditionalFormatting>
  <conditionalFormatting sqref="U114:U115">
    <cfRule type="expression" dxfId="840" priority="7" stopIfTrue="1">
      <formula>AM135</formula>
    </cfRule>
  </conditionalFormatting>
  <conditionalFormatting sqref="U148:U149">
    <cfRule type="expression" dxfId="839" priority="6" stopIfTrue="1">
      <formula>AM169</formula>
    </cfRule>
  </conditionalFormatting>
  <conditionalFormatting sqref="U183:U184">
    <cfRule type="expression" dxfId="838" priority="5" stopIfTrue="1">
      <formula>AM204</formula>
    </cfRule>
  </conditionalFormatting>
  <conditionalFormatting sqref="U217:U218">
    <cfRule type="expression" dxfId="837" priority="4" stopIfTrue="1">
      <formula>AM238</formula>
    </cfRule>
  </conditionalFormatting>
  <conditionalFormatting sqref="U251:U252">
    <cfRule type="expression" dxfId="836" priority="3" stopIfTrue="1">
      <formula>AM272</formula>
    </cfRule>
  </conditionalFormatting>
  <conditionalFormatting sqref="U285:U286">
    <cfRule type="expression" dxfId="835" priority="2" stopIfTrue="1">
      <formula>AM306</formula>
    </cfRule>
  </conditionalFormatting>
  <conditionalFormatting sqref="U319:U320">
    <cfRule type="expression" dxfId="834"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7"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888" t="s">
        <v>8943</v>
      </c>
      <c r="BA1" s="1872"/>
      <c r="BB1" s="1872"/>
      <c r="BC1" s="1872"/>
      <c r="BD1" s="1872"/>
      <c r="BE1" s="1872"/>
      <c r="BF1" s="1872"/>
      <c r="BG1" s="1872"/>
      <c r="BH1" s="1872"/>
      <c r="BI1" s="1872"/>
      <c r="BJ1" s="1872"/>
      <c r="BK1" s="1872"/>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1872"/>
      <c r="BA2" s="1872" t="s">
        <v>8555</v>
      </c>
      <c r="BB2" s="1872"/>
      <c r="BC2" s="1872"/>
      <c r="BD2" s="1872"/>
      <c r="BE2" s="1872"/>
      <c r="BF2" s="1872"/>
      <c r="BG2" s="1872"/>
      <c r="BH2" s="1872"/>
      <c r="BI2" s="1872"/>
      <c r="BJ2" s="1872"/>
      <c r="BK2" s="1872"/>
    </row>
    <row r="3" spans="1:63" ht="12" customHeight="1" thickBot="1" x14ac:dyDescent="0.25">
      <c r="A3" s="31"/>
      <c r="B3" s="513"/>
      <c r="C3" s="3187"/>
      <c r="D3" s="3187"/>
      <c r="E3" s="3187"/>
      <c r="F3" s="3187"/>
      <c r="G3" s="3187"/>
      <c r="H3" s="3187"/>
      <c r="I3" s="7"/>
      <c r="J3" s="7"/>
      <c r="K3" s="7"/>
      <c r="L3" s="7"/>
      <c r="M3" s="7"/>
      <c r="N3" s="7"/>
      <c r="O3" s="7"/>
      <c r="P3" s="7"/>
      <c r="Q3" s="8"/>
      <c r="S3" s="614"/>
      <c r="T3" s="512"/>
      <c r="U3" s="31"/>
      <c r="V3" s="513"/>
      <c r="W3" s="3187"/>
      <c r="X3" s="3187"/>
      <c r="Y3" s="3187"/>
      <c r="Z3" s="3187"/>
      <c r="AA3" s="3187"/>
      <c r="AB3" s="3187"/>
      <c r="AC3" s="7"/>
      <c r="AD3" s="7"/>
      <c r="AE3" s="7"/>
      <c r="AF3" s="7"/>
      <c r="AG3" s="7"/>
      <c r="AH3" s="7"/>
      <c r="AI3" s="7"/>
      <c r="AJ3" s="7"/>
      <c r="AK3" s="8"/>
      <c r="AL3" s="1135"/>
      <c r="AM3" s="31"/>
      <c r="AN3" s="31"/>
      <c r="AO3" s="779"/>
      <c r="AP3" s="752"/>
      <c r="AQ3" s="554"/>
      <c r="AR3" s="554"/>
      <c r="AS3" s="554"/>
      <c r="AT3" s="554"/>
      <c r="AU3" s="554"/>
      <c r="AV3" s="554"/>
      <c r="AW3" s="556"/>
      <c r="AX3" s="790"/>
      <c r="AY3" s="611"/>
      <c r="AZ3" s="1872"/>
      <c r="BA3" s="2911" t="e">
        <f>IF(VLOOKUP(AE12,ViasMayores,2,FALSE)="Mayor",IF(VLOOKUP(AE12,$C$15:$F$25,3,FALSE)="",NivelesLA_ViaMayorNoSubvía,""),IF(VLOOKUP(AE12,$C$15:$F$25,3,FALSE)="",NivelesLA_ViaMenorNosubvía,NivelesLA_ViaMenorSubvía))</f>
        <v>#N/A</v>
      </c>
      <c r="BB3" s="1872"/>
      <c r="BC3" s="1872"/>
      <c r="BD3" s="1872"/>
      <c r="BE3" s="1872"/>
      <c r="BF3" s="1872"/>
      <c r="BG3" s="1872"/>
      <c r="BH3" s="1872"/>
      <c r="BI3" s="1872"/>
      <c r="BJ3" s="1872"/>
      <c r="BK3" s="1872"/>
    </row>
    <row r="4" spans="1:63" ht="12" customHeight="1" thickBot="1" x14ac:dyDescent="0.25">
      <c r="A4" s="31"/>
      <c r="B4" s="513"/>
      <c r="C4" s="3187"/>
      <c r="D4" s="3187"/>
      <c r="E4" s="3187"/>
      <c r="F4" s="3187"/>
      <c r="G4" s="3187"/>
      <c r="H4" s="3187"/>
      <c r="I4" s="10"/>
      <c r="J4" s="3188" t="s">
        <v>1326</v>
      </c>
      <c r="K4" s="3188"/>
      <c r="L4" s="3189" t="str">
        <f>IF(OR(General!$F$22="",General!$F$22=0),"",General!$F$22)</f>
        <v/>
      </c>
      <c r="M4" s="3189"/>
      <c r="N4" s="3189"/>
      <c r="O4" s="3189"/>
      <c r="P4" s="3189"/>
      <c r="Q4" s="11"/>
      <c r="S4" s="614"/>
      <c r="T4" s="512"/>
      <c r="U4" s="31"/>
      <c r="V4" s="513"/>
      <c r="W4" s="3187"/>
      <c r="X4" s="3187"/>
      <c r="Y4" s="3187"/>
      <c r="Z4" s="3187"/>
      <c r="AA4" s="3187"/>
      <c r="AB4" s="3187"/>
      <c r="AC4" s="10"/>
      <c r="AD4" s="3188" t="s">
        <v>1326</v>
      </c>
      <c r="AE4" s="3188"/>
      <c r="AF4" s="3189" t="str">
        <f>IF(OR(General!$F$22="",General!$F$22=0),"",General!$F$22)</f>
        <v/>
      </c>
      <c r="AG4" s="3189"/>
      <c r="AH4" s="3189"/>
      <c r="AI4" s="3189"/>
      <c r="AJ4" s="3189"/>
      <c r="AK4" s="11"/>
      <c r="AL4" s="1135"/>
      <c r="AM4" s="31"/>
      <c r="AN4" s="31"/>
      <c r="AO4" s="779"/>
      <c r="AP4" s="760"/>
      <c r="AQ4" s="720"/>
      <c r="AR4" s="178"/>
      <c r="AS4" s="178"/>
      <c r="AT4" s="178"/>
      <c r="AU4" s="178"/>
      <c r="AV4" s="178"/>
      <c r="AW4" s="753"/>
      <c r="AX4" s="790"/>
      <c r="AY4" s="611"/>
      <c r="AZ4" s="1872"/>
      <c r="BA4" s="1872"/>
      <c r="BB4" s="1872"/>
      <c r="BC4" s="1872"/>
      <c r="BD4" s="1872"/>
      <c r="BE4" s="1872"/>
      <c r="BF4" s="1872"/>
      <c r="BG4" s="1872"/>
      <c r="BH4" s="1872"/>
      <c r="BI4" s="1872"/>
      <c r="BJ4" s="1872"/>
      <c r="BK4" s="1872"/>
    </row>
    <row r="5" spans="1:63" ht="12" customHeight="1" thickBot="1" x14ac:dyDescent="0.25">
      <c r="A5" s="31"/>
      <c r="B5" s="513"/>
      <c r="C5" s="3187"/>
      <c r="D5" s="3187"/>
      <c r="E5" s="3187"/>
      <c r="F5" s="3187"/>
      <c r="G5" s="3187"/>
      <c r="H5" s="3187"/>
      <c r="I5" s="10"/>
      <c r="J5" s="3181" t="s">
        <v>1327</v>
      </c>
      <c r="K5" s="3181"/>
      <c r="L5" s="3002" t="str">
        <f>PDs!$J$8</f>
        <v/>
      </c>
      <c r="M5" s="3002"/>
      <c r="N5" s="3002"/>
      <c r="O5" s="2467" t="s">
        <v>1328</v>
      </c>
      <c r="P5" s="2455" t="str">
        <f>Principal!$O$6</f>
        <v>0</v>
      </c>
      <c r="Q5" s="12"/>
      <c r="S5" s="614"/>
      <c r="T5" s="512"/>
      <c r="U5" s="31"/>
      <c r="V5" s="513"/>
      <c r="W5" s="3187"/>
      <c r="X5" s="3187"/>
      <c r="Y5" s="3187"/>
      <c r="Z5" s="3187"/>
      <c r="AA5" s="3187"/>
      <c r="AB5" s="3187"/>
      <c r="AC5" s="10"/>
      <c r="AD5" s="3181" t="s">
        <v>1327</v>
      </c>
      <c r="AE5" s="3181"/>
      <c r="AF5" s="3002" t="str">
        <f>PDs!$J$8</f>
        <v/>
      </c>
      <c r="AG5" s="3002"/>
      <c r="AH5" s="3002"/>
      <c r="AI5" s="2467" t="s">
        <v>1328</v>
      </c>
      <c r="AJ5" s="2455" t="str">
        <f>Principal!$O$6</f>
        <v>0</v>
      </c>
      <c r="AK5" s="12"/>
      <c r="AL5" s="1135"/>
      <c r="AM5" s="31"/>
      <c r="AN5" s="31"/>
      <c r="AO5" s="779"/>
      <c r="AP5" s="759"/>
      <c r="AQ5" s="721"/>
      <c r="AR5" s="553"/>
      <c r="AS5" s="3182" t="s">
        <v>7035</v>
      </c>
      <c r="AT5" s="3182"/>
      <c r="AU5" s="3182"/>
      <c r="AV5" s="3182"/>
      <c r="AW5" s="754"/>
      <c r="AX5" s="790"/>
      <c r="AY5" s="611"/>
      <c r="AZ5" s="1872"/>
      <c r="BA5" s="1872"/>
      <c r="BB5" s="1872"/>
      <c r="BC5" s="1872"/>
      <c r="BD5" s="1872"/>
      <c r="BE5" s="1872"/>
      <c r="BF5" s="1872"/>
      <c r="BG5" s="1872"/>
      <c r="BH5" s="1872"/>
      <c r="BI5" s="1872"/>
      <c r="BJ5" s="1872"/>
      <c r="BK5" s="1872"/>
    </row>
    <row r="6" spans="1:63" ht="12" customHeight="1" thickBot="1" x14ac:dyDescent="0.25">
      <c r="A6" s="31"/>
      <c r="B6" s="513"/>
      <c r="C6" s="3187"/>
      <c r="D6" s="3187"/>
      <c r="E6" s="3187"/>
      <c r="F6" s="3187"/>
      <c r="G6" s="3187"/>
      <c r="H6" s="3187"/>
      <c r="I6" s="10"/>
      <c r="J6" s="3182" t="s">
        <v>1688</v>
      </c>
      <c r="K6" s="3182"/>
      <c r="L6" s="3182"/>
      <c r="M6" s="3182"/>
      <c r="N6" s="3182"/>
      <c r="O6" s="3182"/>
      <c r="P6" s="3182"/>
      <c r="Q6" s="12"/>
      <c r="S6" s="614"/>
      <c r="T6" s="512"/>
      <c r="U6" s="31"/>
      <c r="V6" s="513"/>
      <c r="W6" s="3187"/>
      <c r="X6" s="3187"/>
      <c r="Y6" s="3187"/>
      <c r="Z6" s="3187"/>
      <c r="AA6" s="3187"/>
      <c r="AB6" s="3187"/>
      <c r="AC6" s="10"/>
      <c r="AD6" s="3182" t="s">
        <v>1689</v>
      </c>
      <c r="AE6" s="3182"/>
      <c r="AF6" s="3182"/>
      <c r="AG6" s="3182"/>
      <c r="AH6" s="3182"/>
      <c r="AI6" s="3182"/>
      <c r="AJ6" s="3182"/>
      <c r="AK6" s="12"/>
      <c r="AL6" s="1135"/>
      <c r="AM6" s="31"/>
      <c r="AN6" s="31"/>
      <c r="AO6" s="779"/>
      <c r="AP6" s="755"/>
      <c r="AR6" s="748"/>
      <c r="AS6" s="3182"/>
      <c r="AT6" s="3182"/>
      <c r="AU6" s="3182"/>
      <c r="AV6" s="3182"/>
      <c r="AW6" s="754"/>
      <c r="AX6" s="790"/>
      <c r="AY6" s="611"/>
      <c r="AZ6" s="1872"/>
      <c r="BA6" s="1872"/>
      <c r="BB6" s="1872"/>
      <c r="BC6" s="1872"/>
      <c r="BD6" s="1872"/>
      <c r="BE6" s="1872"/>
      <c r="BF6" s="1872"/>
      <c r="BG6" s="1872"/>
      <c r="BH6" s="1872"/>
      <c r="BI6" s="1872"/>
      <c r="BJ6" s="1872"/>
      <c r="BK6" s="1872"/>
    </row>
    <row r="7" spans="1:63" ht="12" customHeight="1" thickBot="1" x14ac:dyDescent="0.25">
      <c r="A7" s="31"/>
      <c r="B7" s="513"/>
      <c r="C7" s="3187"/>
      <c r="D7" s="3187"/>
      <c r="E7" s="3187"/>
      <c r="F7" s="3187"/>
      <c r="G7" s="3187"/>
      <c r="H7" s="3187"/>
      <c r="I7" s="10"/>
      <c r="J7" s="3182"/>
      <c r="K7" s="3182"/>
      <c r="L7" s="3182"/>
      <c r="M7" s="3182"/>
      <c r="N7" s="3182"/>
      <c r="O7" s="3182"/>
      <c r="P7" s="3182"/>
      <c r="Q7" s="12"/>
      <c r="S7" s="614"/>
      <c r="T7" s="512"/>
      <c r="U7" s="31"/>
      <c r="V7" s="513"/>
      <c r="W7" s="3187"/>
      <c r="X7" s="3187"/>
      <c r="Y7" s="3187"/>
      <c r="Z7" s="3187"/>
      <c r="AA7" s="3187"/>
      <c r="AB7" s="3187"/>
      <c r="AC7" s="10"/>
      <c r="AD7" s="3182"/>
      <c r="AE7" s="3182"/>
      <c r="AF7" s="3182"/>
      <c r="AG7" s="3182"/>
      <c r="AH7" s="3182"/>
      <c r="AI7" s="3182"/>
      <c r="AJ7" s="3182"/>
      <c r="AK7" s="12"/>
      <c r="AL7" s="1135"/>
      <c r="AM7" s="31"/>
      <c r="AN7" s="31"/>
      <c r="AO7" s="779"/>
      <c r="AP7" s="755"/>
      <c r="AQ7" s="748"/>
      <c r="AR7" s="748"/>
      <c r="AS7" s="748"/>
      <c r="AT7" s="748"/>
      <c r="AU7" s="748"/>
      <c r="AV7" s="748"/>
      <c r="AW7" s="754"/>
      <c r="AX7" s="790"/>
      <c r="AY7" s="611"/>
      <c r="AZ7" s="1872"/>
      <c r="BA7" s="1872"/>
      <c r="BB7" s="1872"/>
      <c r="BC7" s="1872"/>
      <c r="BD7" s="1872"/>
      <c r="BE7" s="1872"/>
      <c r="BF7" s="1872"/>
      <c r="BG7" s="1872"/>
      <c r="BH7" s="1872"/>
      <c r="BI7" s="1872"/>
      <c r="BJ7" s="1872"/>
      <c r="BK7" s="1872"/>
    </row>
    <row r="8" spans="1:63" ht="12" customHeight="1" thickBot="1" x14ac:dyDescent="0.25">
      <c r="A8" s="31"/>
      <c r="B8" s="513"/>
      <c r="C8" s="3187"/>
      <c r="D8" s="3187"/>
      <c r="E8" s="3187"/>
      <c r="F8" s="3187"/>
      <c r="G8" s="3187"/>
      <c r="H8" s="3187"/>
      <c r="I8" s="13"/>
      <c r="J8" s="13"/>
      <c r="K8" s="13"/>
      <c r="L8" s="13"/>
      <c r="M8" s="13"/>
      <c r="N8" s="13"/>
      <c r="O8" s="13"/>
      <c r="P8" s="13"/>
      <c r="Q8" s="14"/>
      <c r="S8" s="614"/>
      <c r="T8" s="512"/>
      <c r="U8" s="31"/>
      <c r="V8" s="513"/>
      <c r="W8" s="3187"/>
      <c r="X8" s="3187"/>
      <c r="Y8" s="3187"/>
      <c r="Z8" s="3187"/>
      <c r="AA8" s="3187"/>
      <c r="AB8" s="3187"/>
      <c r="AC8" s="13"/>
      <c r="AD8" s="13"/>
      <c r="AE8" s="13"/>
      <c r="AF8" s="13"/>
      <c r="AG8" s="13"/>
      <c r="AH8" s="13"/>
      <c r="AI8" s="13"/>
      <c r="AJ8" s="13"/>
      <c r="AK8" s="14"/>
      <c r="AL8" s="1135"/>
      <c r="AM8" s="31"/>
      <c r="AN8" s="31"/>
      <c r="AO8" s="779"/>
      <c r="AP8" s="756"/>
      <c r="AQ8" s="757"/>
      <c r="AR8" s="757"/>
      <c r="AS8" s="757"/>
      <c r="AT8" s="757"/>
      <c r="AU8" s="757"/>
      <c r="AV8" s="757"/>
      <c r="AW8" s="758"/>
      <c r="AX8" s="790"/>
      <c r="AY8" s="611"/>
      <c r="AZ8" s="1872"/>
      <c r="BA8" s="1872"/>
      <c r="BB8" s="1872"/>
      <c r="BC8" s="1872"/>
      <c r="BD8" s="1872"/>
      <c r="BE8" s="1872"/>
      <c r="BF8" s="1872"/>
      <c r="BG8" s="1872"/>
      <c r="BH8" s="1872"/>
      <c r="BI8" s="1872"/>
      <c r="BJ8" s="1872"/>
      <c r="BK8" s="1872"/>
    </row>
    <row r="9" spans="1:63" ht="12" customHeight="1" thickBot="1" x14ac:dyDescent="0.25">
      <c r="A9" s="31"/>
      <c r="B9" s="513"/>
      <c r="S9" s="614"/>
      <c r="T9" s="512"/>
      <c r="U9" s="31"/>
      <c r="V9" s="513"/>
      <c r="AL9" s="1135"/>
      <c r="AM9" s="31"/>
      <c r="AN9" s="31"/>
      <c r="AO9" s="779"/>
      <c r="AX9" s="790"/>
      <c r="AY9" s="611"/>
      <c r="AZ9" s="1872"/>
      <c r="BA9" s="1872"/>
      <c r="BB9" s="1872"/>
      <c r="BC9" s="1872"/>
      <c r="BD9" s="1872"/>
      <c r="BE9" s="1872"/>
      <c r="BF9" s="1872"/>
      <c r="BG9" s="1872"/>
      <c r="BH9" s="1872"/>
      <c r="BI9" s="1872"/>
      <c r="BJ9" s="1872"/>
      <c r="BK9" s="1872"/>
    </row>
    <row r="10" spans="1:63" ht="12" customHeight="1" thickBot="1" x14ac:dyDescent="0.25">
      <c r="A10" s="31"/>
      <c r="B10" s="513"/>
      <c r="C10" s="3197" t="s">
        <v>1516</v>
      </c>
      <c r="D10" s="3198"/>
      <c r="E10" s="3198"/>
      <c r="F10" s="3198"/>
      <c r="G10" s="3198"/>
      <c r="H10" s="3199"/>
      <c r="J10" s="3341" t="s">
        <v>1690</v>
      </c>
      <c r="K10" s="4629"/>
      <c r="L10" s="4629"/>
      <c r="M10" s="4630"/>
      <c r="O10" s="3228" t="s">
        <v>1515</v>
      </c>
      <c r="P10" s="3229"/>
      <c r="Q10" s="3302"/>
      <c r="S10" s="614"/>
      <c r="T10" s="512"/>
      <c r="U10" s="31"/>
      <c r="V10" s="513"/>
      <c r="W10" s="3108" t="s">
        <v>8939</v>
      </c>
      <c r="X10" s="3109"/>
      <c r="Y10" s="3109"/>
      <c r="Z10" s="3109"/>
      <c r="AA10" s="3109"/>
      <c r="AB10" s="3109"/>
      <c r="AC10" s="3110"/>
      <c r="AD10" s="1239"/>
      <c r="AE10" s="4631" t="s">
        <v>1692</v>
      </c>
      <c r="AF10" s="4632"/>
      <c r="AG10" s="4632"/>
      <c r="AH10" s="4632"/>
      <c r="AI10" s="4632"/>
      <c r="AJ10" s="4632"/>
      <c r="AK10" s="1533">
        <f>IF(Tablas!G551&gt;0,0,SUM(I15:I25))-COUNTA(Místicos!AG12:AJ50)</f>
        <v>0</v>
      </c>
      <c r="AL10" s="1135"/>
      <c r="AM10" s="31"/>
      <c r="AN10" s="31"/>
      <c r="AO10" s="779"/>
      <c r="AQ10" s="4736" t="s">
        <v>7040</v>
      </c>
      <c r="AR10" s="4737"/>
      <c r="AS10" s="4738"/>
      <c r="AT10" s="4739" t="s">
        <v>7041</v>
      </c>
      <c r="AU10" s="4740"/>
      <c r="AV10" s="4741"/>
      <c r="AX10" s="790"/>
      <c r="AY10" s="611"/>
      <c r="AZ10" s="1872"/>
      <c r="BA10" s="2897" t="s">
        <v>7114</v>
      </c>
      <c r="BB10" s="2897" t="s">
        <v>7115</v>
      </c>
      <c r="BC10" s="2897" t="s">
        <v>7116</v>
      </c>
      <c r="BD10" s="1872"/>
      <c r="BE10" s="1872"/>
      <c r="BF10" s="1872"/>
      <c r="BG10" s="1872"/>
      <c r="BH10" s="1872"/>
      <c r="BI10" s="1872"/>
      <c r="BJ10" s="1872"/>
      <c r="BK10" s="1872"/>
    </row>
    <row r="11" spans="1:63" ht="12" customHeight="1" thickBot="1" x14ac:dyDescent="0.25">
      <c r="A11" s="31"/>
      <c r="B11" s="513"/>
      <c r="C11" s="4656" t="s">
        <v>1693</v>
      </c>
      <c r="D11" s="4638"/>
      <c r="E11" s="4637" t="s">
        <v>1694</v>
      </c>
      <c r="F11" s="4638"/>
      <c r="G11" s="4625" t="s">
        <v>1695</v>
      </c>
      <c r="H11" s="4626"/>
      <c r="J11" s="4627" t="s">
        <v>1696</v>
      </c>
      <c r="K11" s="4628"/>
      <c r="L11" s="4606" t="s">
        <v>1513</v>
      </c>
      <c r="M11" s="4607"/>
      <c r="O11" s="2349" t="s">
        <v>1396</v>
      </c>
      <c r="P11" s="97" t="s">
        <v>1568</v>
      </c>
      <c r="Q11" s="2350" t="s">
        <v>1697</v>
      </c>
      <c r="S11" s="614"/>
      <c r="T11" s="512"/>
      <c r="U11" s="31"/>
      <c r="V11" s="513"/>
      <c r="W11" s="4653" t="s">
        <v>1699</v>
      </c>
      <c r="X11" s="3192"/>
      <c r="Y11" s="3192" t="s">
        <v>1698</v>
      </c>
      <c r="Z11" s="3192"/>
      <c r="AA11" s="3192"/>
      <c r="AB11" s="3192"/>
      <c r="AC11" s="1730" t="s">
        <v>1406</v>
      </c>
      <c r="AD11" s="612" t="s">
        <v>7256</v>
      </c>
      <c r="AE11" s="3555" t="s">
        <v>1700</v>
      </c>
      <c r="AF11" s="3556"/>
      <c r="AG11" s="3556" t="s">
        <v>1698</v>
      </c>
      <c r="AH11" s="3556"/>
      <c r="AI11" s="3556"/>
      <c r="AJ11" s="3556"/>
      <c r="AK11" s="1730" t="s">
        <v>1406</v>
      </c>
      <c r="AL11" s="1135"/>
      <c r="AM11" s="31"/>
      <c r="AN11" s="31"/>
      <c r="AO11" s="779"/>
      <c r="AX11" s="790"/>
      <c r="AY11" s="611"/>
      <c r="AZ11" s="1872"/>
      <c r="BA11" s="2914" t="b">
        <f>$AP$44="Onmyodo"</f>
        <v>0</v>
      </c>
      <c r="BB11" s="2914" t="b">
        <f>$AP$44="Vodoun"</f>
        <v>0</v>
      </c>
      <c r="BC11" s="2914" t="b">
        <f>$AP$44="Shamanica"</f>
        <v>0</v>
      </c>
      <c r="BD11" s="1872"/>
      <c r="BE11" s="1872"/>
      <c r="BF11" s="1872"/>
      <c r="BG11" s="1872"/>
      <c r="BH11" s="1872"/>
      <c r="BI11" s="1872"/>
      <c r="BJ11" s="1872"/>
      <c r="BK11" s="1872"/>
    </row>
    <row r="12" spans="1:63" ht="12" customHeight="1" thickBot="1" x14ac:dyDescent="0.25">
      <c r="A12" s="31"/>
      <c r="B12" s="513"/>
      <c r="C12" s="4639">
        <f>NiveldeMagia_final</f>
        <v>0</v>
      </c>
      <c r="D12" s="4640"/>
      <c r="E12" s="4633">
        <f>SUM(G15:G25)+G12+H26</f>
        <v>0</v>
      </c>
      <c r="F12" s="4634"/>
      <c r="G12" s="4643">
        <f>Metamagia!$T$37</f>
        <v>0</v>
      </c>
      <c r="H12" s="4644"/>
      <c r="J12" s="4539">
        <f>((Múltiploderegeneración_final-PDs!$Z$91-PDs!$Z$92)+(Múltiploderegeneración_final-PDs!Z91-PDs!Z92)*Tablas!$G$407+2*(Múltiploderegeneración_final-PDs!$Z$91-PDs!$Z$92)*Tablas!$G$408+3*(Múltiploderegeneración_final-PDs!$Z$91-PDs!$Z$92)*Tablas!$G$409+(Múltiploderegeneración_final-PDs!$Z$91-PDs!$Z$92)*Tablas!$H$1300+L21)*(IF(OR(Tablas!$G$549&gt;0,Tablas!$H$1394&gt;0),0.5,IF(OR(Tablas!$G$550&gt;0,Tablas!$H$1395&gt;0),0,1)))+PDs!$Z$91+PDs!$Z$92+-H61</f>
        <v>0</v>
      </c>
      <c r="K12" s="4540"/>
      <c r="L12" s="4543">
        <f>ACT_final+L21</f>
        <v>0</v>
      </c>
      <c r="M12" s="4544"/>
      <c r="O12" s="4547">
        <f>Turno_Nat_final</f>
        <v>40</v>
      </c>
      <c r="P12" s="4549">
        <f>IF(OR(PDs!E99="Proyección Mágica como ataque",PDs!E100="Proyección Mágica como ataque"),PDs!V22+ProyecciónMágica_final-PDs!V93,ProyecciónMágica_final+Q14)</f>
        <v>0</v>
      </c>
      <c r="Q12" s="4551">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IF(AC12="",0,VLOOKUP(AC12,Tablas!$M$1052:$N$1061,2))</f>
        <v>0</v>
      </c>
      <c r="W12" s="4586"/>
      <c r="X12" s="3787"/>
      <c r="Y12" s="4657"/>
      <c r="Z12" s="4658"/>
      <c r="AA12" s="4658"/>
      <c r="AB12" s="4659"/>
      <c r="AC12" s="579" t="str">
        <f>IF(Místicos!Y12=0,"",VLOOKUP(Místicos!Y12,Tabla_Conjuros,3,FALSE))</f>
        <v/>
      </c>
      <c r="AD12" s="2617" t="str">
        <f t="shared" ref="AD12:AD50" si="0">AE12&amp;AK12</f>
        <v/>
      </c>
      <c r="AE12" s="4586"/>
      <c r="AF12" s="3787"/>
      <c r="AG12" s="4657"/>
      <c r="AH12" s="4658"/>
      <c r="AI12" s="4658"/>
      <c r="AJ12" s="4659"/>
      <c r="AK12" s="1578"/>
      <c r="AL12" s="1240">
        <f>IF(Místicos!AG12=0,0,VLOOKUP(Místicos!AG12,Tabla_Conjuros,3,FALSE)-10)</f>
        <v>0</v>
      </c>
      <c r="AM12" s="1415" t="str">
        <f>IF(AK12=0,"Conjuros_LibreAcceso","Conjuros_LibreAcceso"&amp;(TRUNC(AK12/10)*10+10))</f>
        <v>Conjuros_LibreAcceso</v>
      </c>
      <c r="AN12" s="1415"/>
      <c r="AO12" s="779"/>
      <c r="AP12" s="4733" t="s">
        <v>7081</v>
      </c>
      <c r="AQ12" s="4734"/>
      <c r="AR12" s="4734"/>
      <c r="AS12" s="4734"/>
      <c r="AT12" s="4734"/>
      <c r="AU12" s="4734"/>
      <c r="AV12" s="4734"/>
      <c r="AW12" s="4735"/>
      <c r="AX12" s="791">
        <f>IF(AQ12=0,0,VLOOKUP(AQ12,Tablas!#REF!,2,FALSE)-10)</f>
        <v>0</v>
      </c>
      <c r="AY12" s="611"/>
      <c r="AZ12" s="2900"/>
      <c r="BA12" s="4604" t="s">
        <v>7113</v>
      </c>
      <c r="BB12" s="4604"/>
      <c r="BC12" s="4604"/>
      <c r="BD12" s="4604" t="s">
        <v>7125</v>
      </c>
      <c r="BE12" s="4604"/>
      <c r="BF12" s="4604"/>
      <c r="BG12" s="4604" t="s">
        <v>7126</v>
      </c>
      <c r="BH12" s="4604"/>
      <c r="BI12" s="4604"/>
      <c r="BJ12" s="1872"/>
      <c r="BK12" s="1872"/>
    </row>
    <row r="13" spans="1:63" ht="12" customHeight="1" thickBot="1" x14ac:dyDescent="0.25">
      <c r="A13" s="31"/>
      <c r="B13" s="513"/>
      <c r="C13" s="4641"/>
      <c r="D13" s="4642"/>
      <c r="E13" s="4635"/>
      <c r="F13" s="4636"/>
      <c r="G13" s="4643"/>
      <c r="H13" s="4644"/>
      <c r="J13" s="4541"/>
      <c r="K13" s="4542"/>
      <c r="L13" s="4545"/>
      <c r="M13" s="4546"/>
      <c r="O13" s="4548"/>
      <c r="P13" s="4550"/>
      <c r="Q13" s="4552"/>
      <c r="S13" s="614"/>
      <c r="T13" s="512" t="str">
        <f t="shared" ref="T13:T50" si="1">"Conjuros"&amp;IF(W13="","","_"&amp;SUBSTITUTE(W13," ",""))</f>
        <v>Conjuros</v>
      </c>
      <c r="U13" s="31"/>
      <c r="V13" s="715">
        <f>IF(AC13="",0,VLOOKUP(AC13,Tablas!$M$1052:$N$1061,2))</f>
        <v>0</v>
      </c>
      <c r="W13" s="4587"/>
      <c r="X13" s="3790"/>
      <c r="Y13" s="4599"/>
      <c r="Z13" s="4600"/>
      <c r="AA13" s="4600"/>
      <c r="AB13" s="4601"/>
      <c r="AC13" s="578" t="str">
        <f>IF(Místicos!Y13=0,"",VLOOKUP(Místicos!Y13,Tabla_Conjuros,3,FALSE))</f>
        <v/>
      </c>
      <c r="AD13" s="2617" t="str">
        <f t="shared" si="0"/>
        <v/>
      </c>
      <c r="AE13" s="4592"/>
      <c r="AF13" s="4593"/>
      <c r="AG13" s="4599"/>
      <c r="AH13" s="4600"/>
      <c r="AI13" s="4600"/>
      <c r="AJ13" s="4601"/>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00"/>
      <c r="BA13" s="1893" t="s">
        <v>10203</v>
      </c>
      <c r="BB13" s="1893" t="s">
        <v>7112</v>
      </c>
      <c r="BC13" s="1893" t="s">
        <v>7108</v>
      </c>
      <c r="BD13" s="1893" t="s">
        <v>7117</v>
      </c>
      <c r="BE13" s="1893" t="s">
        <v>7140</v>
      </c>
      <c r="BF13" s="1893" t="s">
        <v>7120</v>
      </c>
      <c r="BG13" s="1893">
        <v>-40</v>
      </c>
      <c r="BH13" s="1893" t="s">
        <v>7112</v>
      </c>
      <c r="BI13" s="1893" t="s">
        <v>1459</v>
      </c>
      <c r="BJ13" s="1872"/>
      <c r="BK13" s="1872"/>
    </row>
    <row r="14" spans="1:63" ht="12" customHeight="1" thickBot="1" x14ac:dyDescent="0.25">
      <c r="A14" s="31"/>
      <c r="B14" s="513"/>
      <c r="C14" s="4649" t="s">
        <v>1699</v>
      </c>
      <c r="D14" s="4650"/>
      <c r="E14" s="4651" t="s">
        <v>1701</v>
      </c>
      <c r="F14" s="4652"/>
      <c r="G14" s="536" t="s">
        <v>1702</v>
      </c>
      <c r="H14" s="707" t="s">
        <v>1406</v>
      </c>
      <c r="I14" s="822"/>
      <c r="J14" s="4562" t="s">
        <v>1705</v>
      </c>
      <c r="K14" s="4563"/>
      <c r="L14" s="4564">
        <f>VLOOKUP($L$12,Tabla_MagiaInnata,2)</f>
        <v>0</v>
      </c>
      <c r="M14" s="4565"/>
      <c r="O14" s="4556" t="s">
        <v>9820</v>
      </c>
      <c r="P14" s="4557"/>
      <c r="Q14" s="4560"/>
      <c r="S14" s="614"/>
      <c r="T14" s="512" t="str">
        <f t="shared" si="1"/>
        <v>Conjuros</v>
      </c>
      <c r="U14" s="31"/>
      <c r="V14" s="715">
        <f>IF(AC14="",0,VLOOKUP(AC14,Tablas!$M$1052:$N$1061,2))</f>
        <v>0</v>
      </c>
      <c r="W14" s="4586"/>
      <c r="X14" s="3787"/>
      <c r="Y14" s="4596"/>
      <c r="Z14" s="4597"/>
      <c r="AA14" s="4597"/>
      <c r="AB14" s="4598"/>
      <c r="AC14" s="579" t="str">
        <f>IF(Místicos!Y14=0,"",VLOOKUP(Místicos!Y14,Tabla_Conjuros,3,FALSE))</f>
        <v/>
      </c>
      <c r="AD14" s="2617" t="str">
        <f t="shared" si="0"/>
        <v/>
      </c>
      <c r="AE14" s="4586"/>
      <c r="AF14" s="3787"/>
      <c r="AG14" s="4596"/>
      <c r="AH14" s="4597"/>
      <c r="AI14" s="4597"/>
      <c r="AJ14" s="4598"/>
      <c r="AK14" s="1578"/>
      <c r="AL14" s="1240">
        <f>IF(Místicos!AG14=0,0,VLOOKUP(Místicos!AG14,Tabla_Conjuros,3,FALSE)-10)</f>
        <v>0</v>
      </c>
      <c r="AM14" s="1415" t="str">
        <f t="shared" si="2"/>
        <v>Conjuros_LibreAcceso</v>
      </c>
      <c r="AN14" s="512"/>
      <c r="AO14" s="779"/>
      <c r="AP14" s="4752" t="s">
        <v>7073</v>
      </c>
      <c r="AQ14" s="4750"/>
      <c r="AR14" s="4750"/>
      <c r="AS14" s="4749" t="s">
        <v>7098</v>
      </c>
      <c r="AT14" s="4750"/>
      <c r="AU14" s="4750"/>
      <c r="AV14" s="4750"/>
      <c r="AW14" s="4751"/>
      <c r="AX14" s="791"/>
      <c r="AY14" s="611"/>
      <c r="AZ14" s="2900"/>
      <c r="BA14" s="1893" t="s">
        <v>7350</v>
      </c>
      <c r="BB14" s="1893" t="s">
        <v>7112</v>
      </c>
      <c r="BC14" s="1893" t="s">
        <v>7109</v>
      </c>
      <c r="BD14" s="1893" t="s">
        <v>7118</v>
      </c>
      <c r="BE14" s="1893" t="s">
        <v>7141</v>
      </c>
      <c r="BF14" s="1893" t="s">
        <v>7121</v>
      </c>
      <c r="BG14" s="1893">
        <v>-20</v>
      </c>
      <c r="BH14" s="1893" t="s">
        <v>7112</v>
      </c>
      <c r="BI14" s="1893" t="s">
        <v>7127</v>
      </c>
      <c r="BJ14" s="1872"/>
      <c r="BK14" s="1872"/>
    </row>
    <row r="15" spans="1:63" ht="12" customHeight="1" thickBot="1" x14ac:dyDescent="0.25">
      <c r="A15" s="31"/>
      <c r="B15" s="935"/>
      <c r="C15" s="4645"/>
      <c r="D15" s="4646"/>
      <c r="E15" s="4647"/>
      <c r="F15" s="4648"/>
      <c r="G15" s="1642"/>
      <c r="H15" s="708">
        <f t="shared" ref="H15:H25" si="3">IF(C15="",0,MIN(100,G15/VLOOKUP(C15,Tabla_VíasOpuestas,7,FALSE)+VLOOKUP(C15,Tabla_VíasOpuestas,5,FALSE)))</f>
        <v>0</v>
      </c>
      <c r="I15" s="718">
        <f>IF(H15&gt;3,VLOOKUP(H15,Tabla_NumeroConjurosLA,IF(VLOOKUP(C15,ViasMayores,2,FALSE)="Mayor",2,3))-IF(Místicos!E15=0,0,TRUNC((H15+6)/10)),0)</f>
        <v>0</v>
      </c>
      <c r="J15" s="4612" t="str">
        <f>IF(OR(Tablas!G428&gt;0,Tablas!G429&gt;0,Tablas!G430&gt;0,Tablas!G431&gt;0,Tablas!G432&gt;0,Tablas!G433&gt;0,Tablas!G434&gt;0,Tablas!G435&gt;0,Tablas!G436&gt;0,Tablas!G437&gt;0,Tablas!G438&gt;0,Tablas!G439&gt;0),"+20 a la ACT: Des. elemental",IF(AND(Tablas!H1222&gt;0,OR(TipoDeCriatura="Entre mundos, Elemental",TipoDeCriatura="Ánima, Elemental")),"+20 a la ACT: Ser elemental",""))</f>
        <v/>
      </c>
      <c r="K15" s="4613"/>
      <c r="L15" s="4613"/>
      <c r="M15" s="4614"/>
      <c r="O15" s="4558"/>
      <c r="P15" s="4559"/>
      <c r="Q15" s="4561"/>
      <c r="S15" s="614"/>
      <c r="T15" s="512" t="str">
        <f t="shared" si="1"/>
        <v>Conjuros</v>
      </c>
      <c r="U15" s="31"/>
      <c r="V15" s="715">
        <f>IF(AC15="",0,VLOOKUP(AC15,Tablas!$M$1052:$N$1061,2))</f>
        <v>0</v>
      </c>
      <c r="W15" s="4587"/>
      <c r="X15" s="3790"/>
      <c r="Y15" s="4599"/>
      <c r="Z15" s="4600"/>
      <c r="AA15" s="4600"/>
      <c r="AB15" s="4601"/>
      <c r="AC15" s="578" t="str">
        <f>IF(Místicos!Y15=0,"",VLOOKUP(Místicos!Y15,Tabla_Conjuros,3,FALSE))</f>
        <v/>
      </c>
      <c r="AD15" s="2617" t="str">
        <f t="shared" si="0"/>
        <v/>
      </c>
      <c r="AE15" s="4592"/>
      <c r="AF15" s="4593"/>
      <c r="AG15" s="4599"/>
      <c r="AH15" s="4600"/>
      <c r="AI15" s="4600"/>
      <c r="AJ15" s="4601"/>
      <c r="AK15" s="1650"/>
      <c r="AL15" s="1240">
        <f>IF(Místicos!AG15=0,0,VLOOKUP(Místicos!AG15,Tabla_Conjuros,3,FALSE)-10)</f>
        <v>0</v>
      </c>
      <c r="AM15" s="1415" t="str">
        <f t="shared" si="2"/>
        <v>Conjuros_LibreAcceso</v>
      </c>
      <c r="AN15" s="512"/>
      <c r="AO15" s="779"/>
      <c r="AP15" s="764" t="s">
        <v>1406</v>
      </c>
      <c r="AQ15" s="4581" t="s">
        <v>7044</v>
      </c>
      <c r="AR15" s="4581"/>
      <c r="AS15" s="765" t="s">
        <v>1570</v>
      </c>
      <c r="AT15" s="180" t="s">
        <v>134</v>
      </c>
      <c r="AU15" s="180" t="s">
        <v>2176</v>
      </c>
      <c r="AV15" s="180" t="s">
        <v>1468</v>
      </c>
      <c r="AW15" s="763" t="s">
        <v>7071</v>
      </c>
      <c r="AX15" s="791"/>
      <c r="AY15" s="611"/>
      <c r="AZ15" s="2900"/>
      <c r="BA15" s="1893" t="s">
        <v>7351</v>
      </c>
      <c r="BB15" s="1893" t="s">
        <v>7112</v>
      </c>
      <c r="BC15" s="1893" t="s">
        <v>1581</v>
      </c>
      <c r="BD15" s="1893" t="s">
        <v>7119</v>
      </c>
      <c r="BE15" s="1893" t="s">
        <v>7142</v>
      </c>
      <c r="BF15" s="1893" t="s">
        <v>7122</v>
      </c>
      <c r="BG15" s="1893">
        <v>0</v>
      </c>
      <c r="BH15" s="1893" t="s">
        <v>7112</v>
      </c>
      <c r="BI15" s="1893" t="s">
        <v>7128</v>
      </c>
      <c r="BJ15" s="1872"/>
      <c r="BK15" s="1872"/>
    </row>
    <row r="16" spans="1:63" ht="12" customHeight="1" thickBot="1" x14ac:dyDescent="0.25">
      <c r="A16" s="31"/>
      <c r="B16" s="935"/>
      <c r="C16" s="4570"/>
      <c r="D16" s="4571"/>
      <c r="E16" s="4572"/>
      <c r="F16" s="4573"/>
      <c r="G16" s="1646"/>
      <c r="H16" s="709">
        <f t="shared" si="3"/>
        <v>0</v>
      </c>
      <c r="I16" s="718">
        <f>IF(H16&gt;3,VLOOKUP(H16,Tabla_NumeroConjurosLA,IF(VLOOKUP(C16,ViasMayores,2,FALSE)="Mayor",2,3))-IF(Místicos!E16=0,0,TRUNC((H16+6)/10)),0)</f>
        <v>0</v>
      </c>
      <c r="S16" s="614"/>
      <c r="T16" s="512" t="str">
        <f t="shared" si="1"/>
        <v>Conjuros</v>
      </c>
      <c r="U16" s="31"/>
      <c r="V16" s="715">
        <f>IF(AC16="",0,VLOOKUP(AC16,Tablas!$M$1052:$N$1061,2))</f>
        <v>0</v>
      </c>
      <c r="W16" s="4586"/>
      <c r="X16" s="3787"/>
      <c r="Y16" s="4596"/>
      <c r="Z16" s="4597"/>
      <c r="AA16" s="4597"/>
      <c r="AB16" s="4598"/>
      <c r="AC16" s="579" t="str">
        <f>IF(Místicos!Y16=0,"",VLOOKUP(Místicos!Y16,Tabla_Conjuros,3,FALSE))</f>
        <v/>
      </c>
      <c r="AD16" s="2617" t="str">
        <f t="shared" si="0"/>
        <v/>
      </c>
      <c r="AE16" s="4586"/>
      <c r="AF16" s="3787"/>
      <c r="AG16" s="4596"/>
      <c r="AH16" s="4597"/>
      <c r="AI16" s="4597"/>
      <c r="AJ16" s="4598"/>
      <c r="AK16" s="1578"/>
      <c r="AL16" s="1240">
        <f>IF(Místicos!AG16=0,0,VLOOKUP(Místicos!AG16,Tabla_Conjuros,3,FALSE)-10)</f>
        <v>0</v>
      </c>
      <c r="AM16" s="1415" t="str">
        <f t="shared" si="2"/>
        <v>Conjuros_LibreAcceso</v>
      </c>
      <c r="AN16" s="512"/>
      <c r="AO16" s="779"/>
      <c r="AP16" s="770">
        <v>1</v>
      </c>
      <c r="AQ16" s="4722">
        <f>VLOOKUP(AP16,Tabla_MagiaNatural_DifBase,2,FALSE)+IF(NOT($AT$10="Magia Natural"),4,0)+IF($AS$32="",0,IF(ISNUMBER(SEARCH("(",$AS$32)),-4,-2))</f>
        <v>18</v>
      </c>
      <c r="AR16" s="4722"/>
      <c r="AS16" s="768">
        <v>20</v>
      </c>
      <c r="AT16" s="769" t="s">
        <v>1384</v>
      </c>
      <c r="AU16" s="769">
        <v>40</v>
      </c>
      <c r="AV16" s="769">
        <v>80</v>
      </c>
      <c r="AW16" s="771">
        <v>4</v>
      </c>
      <c r="AX16" s="791"/>
      <c r="AY16" s="611"/>
      <c r="AZ16" s="2900"/>
      <c r="BA16" s="1893" t="s">
        <v>7352</v>
      </c>
      <c r="BB16" s="1893" t="s">
        <v>7112</v>
      </c>
      <c r="BC16" s="1893" t="s">
        <v>7110</v>
      </c>
      <c r="BD16" s="1893" t="s">
        <v>6156</v>
      </c>
      <c r="BE16" s="1893" t="s">
        <v>7143</v>
      </c>
      <c r="BF16" s="1893" t="s">
        <v>7123</v>
      </c>
      <c r="BG16" s="1893">
        <v>20</v>
      </c>
      <c r="BH16" s="1893" t="s">
        <v>7112</v>
      </c>
      <c r="BI16" s="1893" t="s">
        <v>7128</v>
      </c>
      <c r="BJ16" s="1872"/>
      <c r="BK16" s="1872"/>
    </row>
    <row r="17" spans="1:63" ht="12" customHeight="1" thickBot="1" x14ac:dyDescent="0.25">
      <c r="A17" s="31"/>
      <c r="B17" s="935"/>
      <c r="C17" s="4568"/>
      <c r="D17" s="4569"/>
      <c r="E17" s="4574"/>
      <c r="F17" s="4575"/>
      <c r="G17" s="1643"/>
      <c r="H17" s="708">
        <f t="shared" si="3"/>
        <v>0</v>
      </c>
      <c r="I17" s="718">
        <f>IF(H17&gt;3,VLOOKUP(H17,Tabla_NumeroConjurosLA,IF(VLOOKUP(C17,ViasMayores,2,FALSE)="Mayor",2,3))-IF(Místicos!E17=0,0,TRUNC((H17+6)/10)),0)</f>
        <v>0</v>
      </c>
      <c r="J17" s="4553" t="s">
        <v>1512</v>
      </c>
      <c r="K17" s="4554"/>
      <c r="L17" s="4554"/>
      <c r="M17" s="4554"/>
      <c r="N17" s="4554"/>
      <c r="O17" s="4554"/>
      <c r="P17" s="4554"/>
      <c r="Q17" s="4555"/>
      <c r="S17" s="614"/>
      <c r="T17" s="512" t="str">
        <f t="shared" si="1"/>
        <v>Conjuros</v>
      </c>
      <c r="U17" s="31"/>
      <c r="V17" s="715">
        <f>IF(AC17="",0,VLOOKUP(AC17,Tablas!$M$1052:$N$1061,2))</f>
        <v>0</v>
      </c>
      <c r="W17" s="4587"/>
      <c r="X17" s="3790"/>
      <c r="Y17" s="4599"/>
      <c r="Z17" s="4600"/>
      <c r="AA17" s="4600"/>
      <c r="AB17" s="4601"/>
      <c r="AC17" s="578" t="str">
        <f>IF(Místicos!Y17=0,"",VLOOKUP(Místicos!Y17,Tabla_Conjuros,3,FALSE))</f>
        <v/>
      </c>
      <c r="AD17" s="2617" t="str">
        <f t="shared" si="0"/>
        <v/>
      </c>
      <c r="AE17" s="4592"/>
      <c r="AF17" s="4593"/>
      <c r="AG17" s="4599"/>
      <c r="AH17" s="4600"/>
      <c r="AI17" s="4600"/>
      <c r="AJ17" s="4601"/>
      <c r="AK17" s="1650"/>
      <c r="AL17" s="1240">
        <f>IF(Místicos!AG17=0,0,VLOOKUP(Místicos!AG17,Tabla_Conjuros,3,FALSE)-10)</f>
        <v>0</v>
      </c>
      <c r="AM17" s="1415" t="str">
        <f t="shared" si="2"/>
        <v>Conjuros_LibreAcceso</v>
      </c>
      <c r="AN17" s="512"/>
      <c r="AO17" s="779"/>
      <c r="AP17" s="770">
        <v>2</v>
      </c>
      <c r="AQ17" s="4722">
        <f>VLOOKUP(AP17,Tabla_MagiaNatural_DifBase,2,FALSE)+IF(NOT($AT$10="Magia Natural"),4,0)+IF($AS$32="",0,IF(ISNUMBER(SEARCH("(",$AS$32)),-4,-2))</f>
        <v>22</v>
      </c>
      <c r="AR17" s="4722"/>
      <c r="AS17" s="768">
        <v>50</v>
      </c>
      <c r="AT17" s="769" t="s">
        <v>5669</v>
      </c>
      <c r="AU17" s="769">
        <v>150</v>
      </c>
      <c r="AV17" s="769">
        <v>100</v>
      </c>
      <c r="AW17" s="771">
        <v>6</v>
      </c>
      <c r="AX17" s="791"/>
      <c r="AY17" s="611"/>
      <c r="AZ17" s="2900"/>
      <c r="BA17" s="1893" t="s">
        <v>7353</v>
      </c>
      <c r="BB17" s="1893" t="s">
        <v>7112</v>
      </c>
      <c r="BC17" s="1893" t="s">
        <v>7111</v>
      </c>
      <c r="BD17" s="1893" t="s">
        <v>3416</v>
      </c>
      <c r="BE17" s="1893" t="s">
        <v>7144</v>
      </c>
      <c r="BF17" s="1893" t="s">
        <v>7124</v>
      </c>
      <c r="BG17" s="1893">
        <v>40</v>
      </c>
      <c r="BH17" s="1893" t="s">
        <v>7112</v>
      </c>
      <c r="BI17" s="1893" t="s">
        <v>7129</v>
      </c>
      <c r="BJ17" s="1872"/>
      <c r="BK17" s="1872"/>
    </row>
    <row r="18" spans="1:63" ht="12" customHeight="1" x14ac:dyDescent="0.2">
      <c r="A18" s="31"/>
      <c r="B18" s="935"/>
      <c r="C18" s="4566"/>
      <c r="D18" s="4567"/>
      <c r="E18" s="4572"/>
      <c r="F18" s="4573"/>
      <c r="G18" s="1646"/>
      <c r="H18" s="709">
        <f t="shared" si="3"/>
        <v>0</v>
      </c>
      <c r="I18" s="718">
        <f>IF(H18&gt;3,VLOOKUP(H18,Tabla_NumeroConjurosLA,IF(VLOOKUP(C18,ViasMayores,2,FALSE)="Mayor",2,3))-IF(Místicos!E18=0,0,TRUNC((H18+6)/10)),0)</f>
        <v>0</v>
      </c>
      <c r="J18" s="4619" t="s">
        <v>1706</v>
      </c>
      <c r="K18" s="4621">
        <f>Zeón_final+L20-IF(AT10="Onmyodo",SUM($AW$62:$AW$72),0)</f>
        <v>0</v>
      </c>
      <c r="L18" s="4622"/>
      <c r="M18" s="4608"/>
      <c r="N18" s="4608"/>
      <c r="O18" s="4608"/>
      <c r="P18" s="4608"/>
      <c r="Q18" s="4609"/>
      <c r="S18" s="614"/>
      <c r="T18" s="512" t="str">
        <f t="shared" si="1"/>
        <v>Conjuros</v>
      </c>
      <c r="U18" s="31"/>
      <c r="V18" s="715">
        <f>IF(AC18="",0,VLOOKUP(AC18,Tablas!$M$1052:$N$1061,2))</f>
        <v>0</v>
      </c>
      <c r="W18" s="4586"/>
      <c r="X18" s="3787"/>
      <c r="Y18" s="4596"/>
      <c r="Z18" s="4597"/>
      <c r="AA18" s="4597"/>
      <c r="AB18" s="4598"/>
      <c r="AC18" s="579" t="str">
        <f>IF(Místicos!Y18=0,"",VLOOKUP(Místicos!Y18,Tabla_Conjuros,3,FALSE))</f>
        <v/>
      </c>
      <c r="AD18" s="2617" t="str">
        <f t="shared" si="0"/>
        <v/>
      </c>
      <c r="AE18" s="4586"/>
      <c r="AF18" s="3787"/>
      <c r="AG18" s="4596"/>
      <c r="AH18" s="4597"/>
      <c r="AI18" s="4597"/>
      <c r="AJ18" s="4598"/>
      <c r="AK18" s="1578"/>
      <c r="AL18" s="1240">
        <f>IF(Místicos!AG18=0,0,VLOOKUP(Místicos!AG18,Tabla_Conjuros,3,FALSE)-10)</f>
        <v>0</v>
      </c>
      <c r="AM18" s="1415" t="str">
        <f t="shared" si="2"/>
        <v>Conjuros_LibreAcceso</v>
      </c>
      <c r="AN18" s="512"/>
      <c r="AO18" s="779"/>
      <c r="AP18" s="770">
        <v>3</v>
      </c>
      <c r="AQ18" s="4722">
        <f>VLOOKUP(AP18,Tabla_MagiaNatural_DifBase,2,FALSE)+IF(NOT($AT$10="Magia Natural"),4,0)+IF($AS$32="",0,IF(ISNUMBER(SEARCH("(",$AS$32)),-4,-2))</f>
        <v>28</v>
      </c>
      <c r="AR18" s="4722"/>
      <c r="AS18" s="768">
        <v>100</v>
      </c>
      <c r="AT18" s="769" t="s">
        <v>7087</v>
      </c>
      <c r="AU18" s="769">
        <v>500</v>
      </c>
      <c r="AV18" s="769">
        <v>120</v>
      </c>
      <c r="AW18" s="771">
        <v>9</v>
      </c>
      <c r="AX18" s="791"/>
      <c r="AY18" s="611"/>
      <c r="AZ18" s="2900"/>
      <c r="BA18" s="1893" t="s">
        <v>7354</v>
      </c>
      <c r="BB18" s="1893" t="s">
        <v>7112</v>
      </c>
      <c r="BC18" s="1893" t="s">
        <v>7112</v>
      </c>
      <c r="BD18" s="1893" t="s">
        <v>3417</v>
      </c>
      <c r="BE18" s="1893" t="s">
        <v>7145</v>
      </c>
      <c r="BF18" s="1893" t="s">
        <v>7112</v>
      </c>
      <c r="BG18" s="1893">
        <v>80</v>
      </c>
      <c r="BH18" s="1893" t="s">
        <v>7112</v>
      </c>
      <c r="BI18" s="1893" t="s">
        <v>7112</v>
      </c>
      <c r="BJ18" s="1872"/>
      <c r="BK18" s="1872"/>
    </row>
    <row r="19" spans="1:63" ht="12" customHeight="1" x14ac:dyDescent="0.2">
      <c r="A19" s="31"/>
      <c r="B19" s="935"/>
      <c r="C19" s="4568"/>
      <c r="D19" s="4569"/>
      <c r="E19" s="4574"/>
      <c r="F19" s="4575"/>
      <c r="G19" s="1643"/>
      <c r="H19" s="708">
        <f t="shared" si="3"/>
        <v>0</v>
      </c>
      <c r="I19" s="718">
        <f>IF(H19&gt;3,VLOOKUP(H19,Tabla_NumeroConjurosLA,IF(VLOOKUP(C19,ViasMayores,2,FALSE)="Mayor",2,3))-IF(Místicos!E19=0,0,TRUNC((H19+6)/10)),0)</f>
        <v>0</v>
      </c>
      <c r="J19" s="4620"/>
      <c r="K19" s="4623"/>
      <c r="L19" s="4624"/>
      <c r="M19" s="4608"/>
      <c r="N19" s="4608"/>
      <c r="O19" s="4608"/>
      <c r="P19" s="4608"/>
      <c r="Q19" s="4609"/>
      <c r="S19" s="614"/>
      <c r="T19" s="512" t="str">
        <f t="shared" si="1"/>
        <v>Conjuros</v>
      </c>
      <c r="U19" s="31"/>
      <c r="V19" s="715">
        <f>IF(AC19="",0,VLOOKUP(AC19,Tablas!$M$1052:$N$1061,2))</f>
        <v>0</v>
      </c>
      <c r="W19" s="4587"/>
      <c r="X19" s="3790"/>
      <c r="Y19" s="4599"/>
      <c r="Z19" s="4600"/>
      <c r="AA19" s="4600"/>
      <c r="AB19" s="4601"/>
      <c r="AC19" s="578" t="str">
        <f>IF(Místicos!Y19=0,"",VLOOKUP(Místicos!Y19,Tabla_Conjuros,3,FALSE))</f>
        <v/>
      </c>
      <c r="AD19" s="2617" t="str">
        <f t="shared" si="0"/>
        <v/>
      </c>
      <c r="AE19" s="4592"/>
      <c r="AF19" s="4593"/>
      <c r="AG19" s="4599"/>
      <c r="AH19" s="4600"/>
      <c r="AI19" s="4600"/>
      <c r="AJ19" s="4601"/>
      <c r="AK19" s="1650"/>
      <c r="AL19" s="1240">
        <f>IF(Místicos!AG19=0,0,VLOOKUP(Místicos!AG19,Tabla_Conjuros,3,FALSE)-10)</f>
        <v>0</v>
      </c>
      <c r="AM19" s="1415" t="str">
        <f t="shared" si="2"/>
        <v>Conjuros_LibreAcceso</v>
      </c>
      <c r="AN19" s="512"/>
      <c r="AO19" s="779"/>
      <c r="AP19" s="770">
        <v>4</v>
      </c>
      <c r="AQ19" s="4722">
        <f>VLOOKUP(AP19,Tabla_MagiaNatural_DifBase,2,FALSE)+IF(NOT($AT$10="Magia Natural"),4,0)+IF($AS$32="",0,IF(ISNUMBER(SEARCH("(",$AS$32)),-4,-2))</f>
        <v>34</v>
      </c>
      <c r="AR19" s="4722"/>
      <c r="AS19" s="768">
        <v>150</v>
      </c>
      <c r="AT19" s="769" t="s">
        <v>5672</v>
      </c>
      <c r="AU19" s="769">
        <v>1000</v>
      </c>
      <c r="AV19" s="769">
        <v>160</v>
      </c>
      <c r="AW19" s="771">
        <v>12</v>
      </c>
      <c r="AX19" s="791"/>
      <c r="AY19" s="611"/>
      <c r="AZ19" s="2900"/>
      <c r="BA19" s="1893" t="s">
        <v>7355</v>
      </c>
      <c r="BB19" s="1893" t="s">
        <v>7112</v>
      </c>
      <c r="BC19" s="1893" t="s">
        <v>7112</v>
      </c>
      <c r="BD19" s="1893" t="s">
        <v>3418</v>
      </c>
      <c r="BE19" s="1893" t="s">
        <v>7146</v>
      </c>
      <c r="BF19" s="1893"/>
      <c r="BG19" s="1893">
        <v>120</v>
      </c>
      <c r="BH19" s="1893" t="s">
        <v>7112</v>
      </c>
      <c r="BI19" s="1893" t="s">
        <v>7112</v>
      </c>
      <c r="BJ19" s="1872"/>
      <c r="BK19" s="1872"/>
    </row>
    <row r="20" spans="1:63" ht="12" customHeight="1" thickBot="1" x14ac:dyDescent="0.25">
      <c r="A20" s="31"/>
      <c r="B20" s="935"/>
      <c r="C20" s="4570"/>
      <c r="D20" s="4571"/>
      <c r="E20" s="4572"/>
      <c r="F20" s="4573"/>
      <c r="G20" s="1646"/>
      <c r="H20" s="709">
        <f t="shared" si="3"/>
        <v>0</v>
      </c>
      <c r="I20" s="718">
        <f>IF(H20&gt;3,VLOOKUP(H20,Tabla_NumeroConjurosLA,IF(VLOOKUP(C20,ViasMayores,2,FALSE)="Mayor",2,3))-IF(Místicos!E20=0,0,TRUNC((H20+6)/10)),0)</f>
        <v>0</v>
      </c>
      <c r="J20" s="4576" t="s">
        <v>1707</v>
      </c>
      <c r="K20" s="4577"/>
      <c r="L20" s="2433"/>
      <c r="M20" s="4608"/>
      <c r="N20" s="4608"/>
      <c r="O20" s="4608"/>
      <c r="P20" s="4608"/>
      <c r="Q20" s="4609"/>
      <c r="S20" s="614"/>
      <c r="T20" s="512" t="str">
        <f t="shared" si="1"/>
        <v>Conjuros</v>
      </c>
      <c r="U20" s="31"/>
      <c r="V20" s="715">
        <f>IF(AC20="",0,VLOOKUP(AC20,Tablas!$M$1052:$N$1061,2))</f>
        <v>0</v>
      </c>
      <c r="W20" s="4586"/>
      <c r="X20" s="3787"/>
      <c r="Y20" s="4596"/>
      <c r="Z20" s="4597"/>
      <c r="AA20" s="4597"/>
      <c r="AB20" s="4598"/>
      <c r="AC20" s="579" t="str">
        <f>IF(Místicos!Y20=0,"",VLOOKUP(Místicos!Y20,Tabla_Conjuros,3,FALSE))</f>
        <v/>
      </c>
      <c r="AD20" s="2617" t="str">
        <f t="shared" si="0"/>
        <v/>
      </c>
      <c r="AE20" s="4586"/>
      <c r="AF20" s="3787"/>
      <c r="AG20" s="4596"/>
      <c r="AH20" s="4597"/>
      <c r="AI20" s="4597"/>
      <c r="AJ20" s="4598"/>
      <c r="AK20" s="1578"/>
      <c r="AL20" s="1240">
        <f>IF(Místicos!AG20=0,0,VLOOKUP(Místicos!AG20,Tabla_Conjuros,3,FALSE)-10)</f>
        <v>0</v>
      </c>
      <c r="AM20" s="1415" t="str">
        <f t="shared" si="2"/>
        <v>Conjuros_LibreAcceso</v>
      </c>
      <c r="AN20" s="512"/>
      <c r="AO20" s="779"/>
      <c r="AP20" s="772">
        <v>5</v>
      </c>
      <c r="AQ20" s="4763">
        <f>VLOOKUP(AP20,Tabla_MagiaNatural_DifBase,2,FALSE)+IF(NOT($AT$10="Magia Natural"),4,0)+IF($AS$32="",0,IF(ISNUMBER(SEARCH("(",$AS$32)),-4,-2))</f>
        <v>40</v>
      </c>
      <c r="AR20" s="4763"/>
      <c r="AS20" s="773">
        <v>250</v>
      </c>
      <c r="AT20" s="774" t="s">
        <v>7086</v>
      </c>
      <c r="AU20" s="774">
        <v>2500</v>
      </c>
      <c r="AV20" s="774">
        <v>180</v>
      </c>
      <c r="AW20" s="775">
        <v>16</v>
      </c>
      <c r="AX20" s="791"/>
      <c r="AY20" s="611"/>
      <c r="AZ20" s="2900"/>
      <c r="BA20" s="1893" t="s">
        <v>2797</v>
      </c>
      <c r="BB20" s="1893" t="s">
        <v>7112</v>
      </c>
      <c r="BC20" s="1893" t="s">
        <v>7112</v>
      </c>
      <c r="BD20" s="1893" t="s">
        <v>7112</v>
      </c>
      <c r="BE20" s="1893" t="s">
        <v>7112</v>
      </c>
      <c r="BF20" s="1893" t="s">
        <v>7130</v>
      </c>
      <c r="BG20" s="1893" t="s">
        <v>7112</v>
      </c>
      <c r="BH20" s="1893" t="s">
        <v>7112</v>
      </c>
      <c r="BI20" s="1893" t="s">
        <v>7112</v>
      </c>
      <c r="BJ20" s="1893" t="s">
        <v>7112</v>
      </c>
      <c r="BK20" s="1872"/>
    </row>
    <row r="21" spans="1:63" ht="12" customHeight="1" thickBot="1" x14ac:dyDescent="0.25">
      <c r="A21" s="31"/>
      <c r="B21" s="935"/>
      <c r="C21" s="4654"/>
      <c r="D21" s="4655"/>
      <c r="E21" s="4574"/>
      <c r="F21" s="4575"/>
      <c r="G21" s="1643"/>
      <c r="H21" s="708">
        <f t="shared" si="3"/>
        <v>0</v>
      </c>
      <c r="I21" s="718">
        <f>IF(H21&gt;3,VLOOKUP(H21,Tabla_NumeroConjurosLA,IF(VLOOKUP(C21,ViasMayores,2,FALSE)="Mayor",2,3))-IF(Místicos!E21=0,0,TRUNC((H21+6)/10)),0)</f>
        <v>0</v>
      </c>
      <c r="J21" s="4578" t="s">
        <v>1709</v>
      </c>
      <c r="K21" s="4579"/>
      <c r="L21" s="2434"/>
      <c r="M21" s="4610"/>
      <c r="N21" s="4610"/>
      <c r="O21" s="4610"/>
      <c r="P21" s="4610"/>
      <c r="Q21" s="4611"/>
      <c r="S21" s="614"/>
      <c r="T21" s="512" t="str">
        <f t="shared" si="1"/>
        <v>Conjuros</v>
      </c>
      <c r="U21" s="31"/>
      <c r="V21" s="715">
        <f>IF(AC21="",0,VLOOKUP(AC21,Tablas!$M$1052:$N$1061,2))</f>
        <v>0</v>
      </c>
      <c r="W21" s="4587"/>
      <c r="X21" s="3790"/>
      <c r="Y21" s="4599"/>
      <c r="Z21" s="4600"/>
      <c r="AA21" s="4600"/>
      <c r="AB21" s="4601"/>
      <c r="AC21" s="578" t="str">
        <f>IF(Místicos!Y21=0,"",VLOOKUP(Místicos!Y21,Tabla_Conjuros,3,FALSE))</f>
        <v/>
      </c>
      <c r="AD21" s="2617" t="str">
        <f t="shared" si="0"/>
        <v/>
      </c>
      <c r="AE21" s="4592"/>
      <c r="AF21" s="4593"/>
      <c r="AG21" s="4599"/>
      <c r="AH21" s="4600"/>
      <c r="AI21" s="4600"/>
      <c r="AJ21" s="4601"/>
      <c r="AK21" s="1650"/>
      <c r="AL21" s="1240">
        <f>IF(Místicos!AG21=0,0,VLOOKUP(Místicos!AG21,Tabla_Conjuros,3,FALSE)-10)</f>
        <v>0</v>
      </c>
      <c r="AM21" s="1415" t="str">
        <f t="shared" si="2"/>
        <v>Conjuros_LibreAcceso</v>
      </c>
      <c r="AN21" s="512"/>
      <c r="AO21" s="779"/>
      <c r="AX21" s="791"/>
      <c r="AY21" s="611"/>
      <c r="AZ21" s="2900"/>
      <c r="BA21" s="1893" t="s">
        <v>7112</v>
      </c>
      <c r="BB21" s="1893" t="s">
        <v>7112</v>
      </c>
      <c r="BC21" s="1893" t="s">
        <v>7131</v>
      </c>
      <c r="BD21" s="1893" t="s">
        <v>7112</v>
      </c>
      <c r="BE21" s="1893" t="s">
        <v>7138</v>
      </c>
      <c r="BF21" s="1893" t="s">
        <v>7134</v>
      </c>
      <c r="BG21" s="1893" t="s">
        <v>7112</v>
      </c>
      <c r="BH21" s="1893" t="s">
        <v>7112</v>
      </c>
      <c r="BI21" s="1893" t="s">
        <v>7112</v>
      </c>
      <c r="BJ21" s="1893" t="s">
        <v>7112</v>
      </c>
      <c r="BK21" s="1893" t="s">
        <v>7112</v>
      </c>
    </row>
    <row r="22" spans="1:63" ht="12" customHeight="1" thickBot="1" x14ac:dyDescent="0.25">
      <c r="A22" s="31"/>
      <c r="B22" s="935"/>
      <c r="C22" s="4570"/>
      <c r="D22" s="4571"/>
      <c r="E22" s="4572"/>
      <c r="F22" s="4573"/>
      <c r="G22" s="1646"/>
      <c r="H22" s="709">
        <f t="shared" si="3"/>
        <v>0</v>
      </c>
      <c r="I22" s="718">
        <f>IF(H22&gt;3,VLOOKUP(H22,Tabla_NumeroConjurosLA,IF(VLOOKUP(C22,ViasMayores,2,FALSE)="Mayor",2,3))-IF(Místicos!E22=0,0,TRUNC((H22+6)/10)),0)</f>
        <v>0</v>
      </c>
      <c r="S22" s="614"/>
      <c r="T22" s="512" t="str">
        <f t="shared" si="1"/>
        <v>Conjuros</v>
      </c>
      <c r="U22" s="31"/>
      <c r="V22" s="715">
        <f>IF(AC22="",0,VLOOKUP(AC22,Tablas!$M$1052:$N$1061,2))</f>
        <v>0</v>
      </c>
      <c r="W22" s="4586"/>
      <c r="X22" s="3787"/>
      <c r="Y22" s="4596"/>
      <c r="Z22" s="4597"/>
      <c r="AA22" s="4597"/>
      <c r="AB22" s="4598"/>
      <c r="AC22" s="579" t="str">
        <f>IF(Místicos!Y22=0,"",VLOOKUP(Místicos!Y22,Tabla_Conjuros,3,FALSE))</f>
        <v/>
      </c>
      <c r="AD22" s="2617" t="str">
        <f t="shared" si="0"/>
        <v/>
      </c>
      <c r="AE22" s="4586"/>
      <c r="AF22" s="3787"/>
      <c r="AG22" s="4596"/>
      <c r="AH22" s="4597"/>
      <c r="AI22" s="4597"/>
      <c r="AJ22" s="4598"/>
      <c r="AK22" s="1578"/>
      <c r="AL22" s="1240">
        <f>IF(Místicos!AG22=0,0,VLOOKUP(Místicos!AG22,Tabla_Conjuros,3,FALSE)-10)</f>
        <v>0</v>
      </c>
      <c r="AM22" s="1415" t="str">
        <f t="shared" si="2"/>
        <v>Conjuros_LibreAcceso</v>
      </c>
      <c r="AN22" s="512"/>
      <c r="AO22" s="779"/>
      <c r="AP22" s="4752" t="s">
        <v>7094</v>
      </c>
      <c r="AQ22" s="4750"/>
      <c r="AR22" s="4750"/>
      <c r="AS22" s="4750"/>
      <c r="AT22" s="4750"/>
      <c r="AU22" s="4750"/>
      <c r="AV22" s="4750"/>
      <c r="AW22" s="4751"/>
      <c r="AX22" s="791"/>
      <c r="AY22" s="611"/>
      <c r="AZ22" s="2900"/>
      <c r="BA22" s="1893" t="s">
        <v>7112</v>
      </c>
      <c r="BB22" s="1893" t="s">
        <v>7112</v>
      </c>
      <c r="BC22" s="1872" t="s">
        <v>7132</v>
      </c>
      <c r="BD22" s="1893" t="s">
        <v>7112</v>
      </c>
      <c r="BE22" s="1893" t="s">
        <v>7136</v>
      </c>
      <c r="BF22" s="1872" t="s">
        <v>1459</v>
      </c>
      <c r="BG22" s="1893" t="s">
        <v>7112</v>
      </c>
      <c r="BH22" s="1893" t="s">
        <v>7112</v>
      </c>
      <c r="BI22" s="1872"/>
      <c r="BJ22" s="1893" t="s">
        <v>7112</v>
      </c>
      <c r="BK22" s="1893" t="s">
        <v>7112</v>
      </c>
    </row>
    <row r="23" spans="1:63" ht="12" customHeight="1" thickBot="1" x14ac:dyDescent="0.25">
      <c r="A23" s="31"/>
      <c r="B23" s="935"/>
      <c r="C23" s="4654"/>
      <c r="D23" s="4655"/>
      <c r="E23" s="4574"/>
      <c r="F23" s="4575"/>
      <c r="G23" s="1643"/>
      <c r="H23" s="708">
        <f t="shared" si="3"/>
        <v>0</v>
      </c>
      <c r="I23" s="718">
        <f>IF(H23&gt;3,VLOOKUP(H23,Tabla_NumeroConjurosLA,IF(VLOOKUP(C23,ViasMayores,2,FALSE)="Mayor",2,3))-IF(Místicos!E23=0,0,TRUNC((H23+6)/10)),0)</f>
        <v>0</v>
      </c>
      <c r="J23" s="3156" t="s">
        <v>1712</v>
      </c>
      <c r="K23" s="3157"/>
      <c r="L23" s="3157"/>
      <c r="M23" s="3229"/>
      <c r="N23" s="3157"/>
      <c r="O23" s="3157"/>
      <c r="P23" s="3157"/>
      <c r="Q23" s="3158"/>
      <c r="S23" s="614"/>
      <c r="T23" s="512" t="str">
        <f t="shared" si="1"/>
        <v>Conjuros</v>
      </c>
      <c r="U23" s="31"/>
      <c r="V23" s="715">
        <f>IF(AC23="",0,VLOOKUP(AC23,Tablas!$M$1052:$N$1061,2))</f>
        <v>0</v>
      </c>
      <c r="W23" s="4587"/>
      <c r="X23" s="3790"/>
      <c r="Y23" s="4599"/>
      <c r="Z23" s="4600"/>
      <c r="AA23" s="4600"/>
      <c r="AB23" s="4601"/>
      <c r="AC23" s="578" t="str">
        <f>IF(Místicos!Y23=0,"",VLOOKUP(Místicos!Y23,Tabla_Conjuros,3,FALSE))</f>
        <v/>
      </c>
      <c r="AD23" s="2617" t="str">
        <f t="shared" si="0"/>
        <v/>
      </c>
      <c r="AE23" s="4592"/>
      <c r="AF23" s="4593"/>
      <c r="AG23" s="4599"/>
      <c r="AH23" s="4600"/>
      <c r="AI23" s="4600"/>
      <c r="AJ23" s="4601"/>
      <c r="AK23" s="1650"/>
      <c r="AL23" s="1240">
        <f>IF(Místicos!AG23=0,0,VLOOKUP(Místicos!AG23,Tabla_Conjuros,3,FALSE)-10)</f>
        <v>0</v>
      </c>
      <c r="AM23" s="1415" t="str">
        <f t="shared" si="2"/>
        <v>Conjuros_LibreAcceso</v>
      </c>
      <c r="AN23" s="512"/>
      <c r="AO23" s="779"/>
      <c r="AP23" s="4744" t="s">
        <v>7045</v>
      </c>
      <c r="AQ23" s="4581"/>
      <c r="AR23" s="1543" t="s">
        <v>7095</v>
      </c>
      <c r="AS23" s="4581" t="s">
        <v>7047</v>
      </c>
      <c r="AT23" s="4581"/>
      <c r="AU23" s="1543" t="s">
        <v>7095</v>
      </c>
      <c r="AV23" s="180" t="s">
        <v>2694</v>
      </c>
      <c r="AW23" s="763" t="s">
        <v>7095</v>
      </c>
      <c r="AX23" s="791"/>
      <c r="AY23" s="611"/>
      <c r="AZ23" s="2900"/>
      <c r="BA23" s="1872"/>
      <c r="BB23" s="1872"/>
      <c r="BC23" s="1872" t="s">
        <v>7133</v>
      </c>
      <c r="BD23" s="1893" t="s">
        <v>7112</v>
      </c>
      <c r="BE23" s="1893" t="s">
        <v>7137</v>
      </c>
      <c r="BF23" s="1872" t="s">
        <v>7135</v>
      </c>
      <c r="BG23" s="1893" t="s">
        <v>7112</v>
      </c>
      <c r="BH23" s="1893" t="s">
        <v>7112</v>
      </c>
      <c r="BI23" s="1872"/>
      <c r="BJ23" s="1872"/>
      <c r="BK23" s="1872"/>
    </row>
    <row r="24" spans="1:63" ht="12" customHeight="1" x14ac:dyDescent="0.2">
      <c r="A24" s="31"/>
      <c r="B24" s="935"/>
      <c r="C24" s="4570"/>
      <c r="D24" s="4571"/>
      <c r="E24" s="4572"/>
      <c r="F24" s="4573"/>
      <c r="G24" s="1646"/>
      <c r="H24" s="709">
        <f t="shared" si="3"/>
        <v>0</v>
      </c>
      <c r="I24" s="718">
        <f>IF(H24&gt;3,VLOOKUP(H24,Tabla_NumeroConjurosLA,IF(VLOOKUP(C24,ViasMayores,2,FALSE)="Mayor",2,3))-IF(Místicos!E24=0,0,TRUNC((H24+6)/10)),0)</f>
        <v>0</v>
      </c>
      <c r="J24" s="4582" t="s">
        <v>1378</v>
      </c>
      <c r="K24" s="4583"/>
      <c r="L24" s="1732" t="s">
        <v>1421</v>
      </c>
      <c r="M24" s="1731" t="s">
        <v>1352</v>
      </c>
      <c r="N24" s="4584" t="s">
        <v>1714</v>
      </c>
      <c r="O24" s="4585"/>
      <c r="P24" s="4585"/>
      <c r="Q24" s="1733" t="str">
        <f>IF(P25="Invocador","No","Nv. "&amp;PDs!R15+Tablas!G396+2*Tablas!G397+3*Tablas!G398)</f>
        <v>Nv. 0</v>
      </c>
      <c r="S24" s="614"/>
      <c r="T24" s="512" t="str">
        <f t="shared" si="1"/>
        <v>Conjuros</v>
      </c>
      <c r="U24" s="31"/>
      <c r="V24" s="715">
        <f>IF(AC24="",0,VLOOKUP(AC24,Tablas!$M$1052:$N$1061,2))</f>
        <v>0</v>
      </c>
      <c r="W24" s="4586"/>
      <c r="X24" s="3787"/>
      <c r="Y24" s="4596"/>
      <c r="Z24" s="4597"/>
      <c r="AA24" s="4597"/>
      <c r="AB24" s="4598"/>
      <c r="AC24" s="579" t="str">
        <f>IF(Místicos!Y24=0,"",VLOOKUP(Místicos!Y24,Tabla_Conjuros,3,FALSE))</f>
        <v/>
      </c>
      <c r="AD24" s="2617" t="str">
        <f t="shared" si="0"/>
        <v/>
      </c>
      <c r="AE24" s="4586"/>
      <c r="AF24" s="3787"/>
      <c r="AG24" s="4596"/>
      <c r="AH24" s="4597"/>
      <c r="AI24" s="4597"/>
      <c r="AJ24" s="4598"/>
      <c r="AK24" s="1578"/>
      <c r="AL24" s="1240">
        <f>IF(Místicos!AG24=0,0,VLOOKUP(Místicos!AG24,Tabla_Conjuros,3,FALSE)-10)</f>
        <v>0</v>
      </c>
      <c r="AM24" s="1415" t="str">
        <f t="shared" si="2"/>
        <v>Conjuros_LibreAcceso</v>
      </c>
      <c r="AN24" s="512"/>
      <c r="AO24" s="779"/>
      <c r="AP24" s="4745" t="s">
        <v>7046</v>
      </c>
      <c r="AQ24" s="4746"/>
      <c r="AR24" s="1534" t="s">
        <v>7064</v>
      </c>
      <c r="AS24" s="4753" t="s">
        <v>7048</v>
      </c>
      <c r="AT24" s="4746"/>
      <c r="AU24" s="1535" t="s">
        <v>7064</v>
      </c>
      <c r="AV24" s="1536" t="s">
        <v>7053</v>
      </c>
      <c r="AW24" s="1537" t="s">
        <v>7080</v>
      </c>
      <c r="AX24" s="791"/>
      <c r="AY24" s="611"/>
      <c r="AZ24" s="2900"/>
      <c r="BA24" s="1872" t="s">
        <v>7139</v>
      </c>
      <c r="BB24" s="1872" t="s">
        <v>7139</v>
      </c>
      <c r="BC24" s="1872" t="s">
        <v>7139</v>
      </c>
      <c r="BD24" s="1872" t="s">
        <v>7139</v>
      </c>
      <c r="BE24" s="1872" t="s">
        <v>7139</v>
      </c>
      <c r="BF24" s="1872" t="s">
        <v>7139</v>
      </c>
      <c r="BG24" s="1872" t="s">
        <v>7139</v>
      </c>
      <c r="BH24" s="1872" t="s">
        <v>7139</v>
      </c>
      <c r="BI24" s="1872" t="s">
        <v>7139</v>
      </c>
      <c r="BJ24" s="1872" t="s">
        <v>7139</v>
      </c>
      <c r="BK24" s="1872" t="s">
        <v>7139</v>
      </c>
    </row>
    <row r="25" spans="1:63" ht="12" customHeight="1" x14ac:dyDescent="0.2">
      <c r="A25" s="31"/>
      <c r="B25" s="935"/>
      <c r="C25" s="4588"/>
      <c r="D25" s="4589"/>
      <c r="E25" s="4590"/>
      <c r="F25" s="4591"/>
      <c r="G25" s="1644"/>
      <c r="H25" s="710">
        <f t="shared" si="3"/>
        <v>0</v>
      </c>
      <c r="I25" s="718">
        <f>IF(H25&gt;3,VLOOKUP(H25,Tabla_NumeroConjurosLA,IF(VLOOKUP(C25,ViasMayores,2,FALSE)="Mayor",2,3))-IF(Místicos!E25=0,0,TRUNC((H25+6)/10)),0)</f>
        <v>0</v>
      </c>
      <c r="J25" s="4602" t="s">
        <v>1518</v>
      </c>
      <c r="K25" s="4603"/>
      <c r="L25" s="2435"/>
      <c r="M25" s="1647">
        <f>Convocar_final+L25</f>
        <v>0</v>
      </c>
      <c r="N25" s="3730" t="s">
        <v>1716</v>
      </c>
      <c r="O25" s="3730"/>
      <c r="P25" s="4594"/>
      <c r="Q25" s="3469"/>
      <c r="S25" s="614"/>
      <c r="T25" s="512" t="str">
        <f t="shared" si="1"/>
        <v>Conjuros</v>
      </c>
      <c r="U25" s="31"/>
      <c r="V25" s="715">
        <f>IF(AC25="",0,VLOOKUP(AC25,Tablas!$M$1052:$N$1061,2))</f>
        <v>0</v>
      </c>
      <c r="W25" s="4587"/>
      <c r="X25" s="3790"/>
      <c r="Y25" s="4599"/>
      <c r="Z25" s="4600"/>
      <c r="AA25" s="4600"/>
      <c r="AB25" s="4601"/>
      <c r="AC25" s="578" t="str">
        <f>IF(Místicos!Y25=0,"",VLOOKUP(Místicos!Y25,Tabla_Conjuros,3,FALSE))</f>
        <v/>
      </c>
      <c r="AD25" s="2617" t="str">
        <f t="shared" si="0"/>
        <v/>
      </c>
      <c r="AE25" s="4592"/>
      <c r="AF25" s="4593"/>
      <c r="AG25" s="4599"/>
      <c r="AH25" s="4600"/>
      <c r="AI25" s="4600"/>
      <c r="AJ25" s="4601"/>
      <c r="AK25" s="1650"/>
      <c r="AL25" s="1240">
        <f>IF(Místicos!AG25=0,0,VLOOKUP(Místicos!AG25,Tabla_Conjuros,3,FALSE)-10)</f>
        <v>0</v>
      </c>
      <c r="AM25" s="1415" t="str">
        <f t="shared" si="2"/>
        <v>Conjuros_LibreAcceso</v>
      </c>
      <c r="AN25" s="512"/>
      <c r="AO25" s="779"/>
      <c r="AP25" s="4747" t="s">
        <v>7042</v>
      </c>
      <c r="AQ25" s="4678"/>
      <c r="AR25" s="766" t="s">
        <v>2904</v>
      </c>
      <c r="AS25" s="4677" t="s">
        <v>1736</v>
      </c>
      <c r="AT25" s="4678"/>
      <c r="AU25" s="767" t="s">
        <v>2904</v>
      </c>
      <c r="AV25" s="1524" t="s">
        <v>7054</v>
      </c>
      <c r="AW25" s="1538" t="s">
        <v>3171</v>
      </c>
      <c r="AX25" s="791"/>
      <c r="AY25" s="611"/>
      <c r="AZ25" s="2900"/>
      <c r="BA25" s="1872"/>
      <c r="BB25" s="1872"/>
      <c r="BC25" s="1872"/>
      <c r="BD25" s="1872"/>
      <c r="BE25" s="1872"/>
      <c r="BF25" s="1872"/>
      <c r="BG25" s="1872"/>
      <c r="BH25" s="1872"/>
      <c r="BI25" s="1872"/>
      <c r="BJ25" s="1872"/>
      <c r="BK25" s="1872"/>
    </row>
    <row r="26" spans="1:63" ht="12" customHeight="1" thickBot="1" x14ac:dyDescent="0.25">
      <c r="A26" s="31"/>
      <c r="B26" s="513"/>
      <c r="C26" s="3548" t="s">
        <v>1691</v>
      </c>
      <c r="D26" s="4769"/>
      <c r="E26" s="4769"/>
      <c r="F26" s="4769"/>
      <c r="G26" s="4770"/>
      <c r="H26" s="749">
        <f>SUM(V12:V50)</f>
        <v>0</v>
      </c>
      <c r="I26" s="822"/>
      <c r="J26" s="4602" t="s">
        <v>1519</v>
      </c>
      <c r="K26" s="4603"/>
      <c r="L26" s="2436"/>
      <c r="M26" s="1648">
        <f>Controlar_final+L26</f>
        <v>0</v>
      </c>
      <c r="N26" s="4615" t="str">
        <f>IF(P25=0,"",IF(P25="Invocador","Invocador: No puede convocar criaturas","Elementalismo: +30 sobre seres afines, -30 sobre el resto, -60 sobre opuestos"))</f>
        <v/>
      </c>
      <c r="O26" s="4615"/>
      <c r="P26" s="4615"/>
      <c r="Q26" s="4616"/>
      <c r="S26" s="614"/>
      <c r="T26" s="512" t="str">
        <f t="shared" si="1"/>
        <v>Conjuros</v>
      </c>
      <c r="U26" s="31"/>
      <c r="V26" s="715">
        <f>IF(AC26="",0,VLOOKUP(AC26,Tablas!$M$1052:$N$1061,2))</f>
        <v>0</v>
      </c>
      <c r="W26" s="4586"/>
      <c r="X26" s="3787"/>
      <c r="Y26" s="4596"/>
      <c r="Z26" s="4597"/>
      <c r="AA26" s="4597"/>
      <c r="AB26" s="4598"/>
      <c r="AC26" s="579" t="str">
        <f>IF(Místicos!Y26=0,"",VLOOKUP(Místicos!Y26,Tabla_Conjuros,3,FALSE))</f>
        <v/>
      </c>
      <c r="AD26" s="2617" t="str">
        <f t="shared" si="0"/>
        <v/>
      </c>
      <c r="AE26" s="4586"/>
      <c r="AF26" s="3787"/>
      <c r="AG26" s="4596"/>
      <c r="AH26" s="4597"/>
      <c r="AI26" s="4597"/>
      <c r="AJ26" s="4598"/>
      <c r="AK26" s="1578"/>
      <c r="AL26" s="1240">
        <f>IF(Místicos!AG26=0,0,VLOOKUP(Místicos!AG26,Tabla_Conjuros,3,FALSE)-10)</f>
        <v>0</v>
      </c>
      <c r="AM26" s="1415" t="str">
        <f t="shared" si="2"/>
        <v>Conjuros_LibreAcceso</v>
      </c>
      <c r="AN26" s="512"/>
      <c r="AO26" s="779"/>
      <c r="AP26" s="4747" t="s">
        <v>7050</v>
      </c>
      <c r="AQ26" s="4678"/>
      <c r="AR26" s="766" t="s">
        <v>2904</v>
      </c>
      <c r="AS26" s="4677" t="s">
        <v>1738</v>
      </c>
      <c r="AT26" s="4678"/>
      <c r="AU26" s="767" t="s">
        <v>2865</v>
      </c>
      <c r="AV26" s="1524" t="s">
        <v>7055</v>
      </c>
      <c r="AW26" s="1522" t="s">
        <v>7064</v>
      </c>
      <c r="AX26" s="791"/>
      <c r="AY26" s="611"/>
      <c r="AZ26" s="2900"/>
      <c r="BA26" s="1872"/>
      <c r="BB26" s="1872"/>
      <c r="BC26" s="1872"/>
      <c r="BD26" s="1872"/>
      <c r="BE26" s="1872"/>
      <c r="BF26" s="1872"/>
      <c r="BG26" s="1872"/>
      <c r="BH26" s="1872"/>
      <c r="BI26" s="1872"/>
      <c r="BJ26" s="1872"/>
      <c r="BK26" s="1872"/>
    </row>
    <row r="27" spans="1:63" ht="12" customHeight="1" thickBot="1" x14ac:dyDescent="0.25">
      <c r="A27" s="31"/>
      <c r="B27" s="513"/>
      <c r="C27" s="4662" t="s">
        <v>7034</v>
      </c>
      <c r="D27" s="4663"/>
      <c r="E27" s="3299" t="str">
        <f>Tablas!$R$1075</f>
        <v/>
      </c>
      <c r="F27" s="3299"/>
      <c r="G27" s="3299"/>
      <c r="H27" s="4666"/>
      <c r="J27" s="4602" t="s">
        <v>1520</v>
      </c>
      <c r="K27" s="4603"/>
      <c r="L27" s="2436"/>
      <c r="M27" s="1648">
        <f>Atar_final+L27</f>
        <v>0</v>
      </c>
      <c r="N27" s="4615"/>
      <c r="O27" s="4615"/>
      <c r="P27" s="4615"/>
      <c r="Q27" s="4616"/>
      <c r="S27" s="614"/>
      <c r="T27" s="512" t="str">
        <f t="shared" si="1"/>
        <v>Conjuros</v>
      </c>
      <c r="U27" s="31"/>
      <c r="V27" s="715">
        <f>IF(AC27="",0,VLOOKUP(AC27,Tablas!$M$1052:$N$1061,2))</f>
        <v>0</v>
      </c>
      <c r="W27" s="4587"/>
      <c r="X27" s="3790"/>
      <c r="Y27" s="4599"/>
      <c r="Z27" s="4600"/>
      <c r="AA27" s="4600"/>
      <c r="AB27" s="4601"/>
      <c r="AC27" s="578" t="str">
        <f>IF(Místicos!Y27=0,"",VLOOKUP(Místicos!Y27,Tabla_Conjuros,3,FALSE))</f>
        <v/>
      </c>
      <c r="AD27" s="2617" t="str">
        <f t="shared" si="0"/>
        <v/>
      </c>
      <c r="AE27" s="4592"/>
      <c r="AF27" s="4593"/>
      <c r="AG27" s="4599"/>
      <c r="AH27" s="4600"/>
      <c r="AI27" s="4600"/>
      <c r="AJ27" s="4601"/>
      <c r="AK27" s="1650"/>
      <c r="AL27" s="1240">
        <f>IF(Místicos!AG27=0,0,VLOOKUP(Místicos!AG27,Tabla_Conjuros,3,FALSE)-10)</f>
        <v>0</v>
      </c>
      <c r="AM27" s="1415" t="str">
        <f t="shared" si="2"/>
        <v>Conjuros_LibreAcceso</v>
      </c>
      <c r="AN27" s="512"/>
      <c r="AO27" s="779"/>
      <c r="AP27" s="4747" t="s">
        <v>7051</v>
      </c>
      <c r="AQ27" s="4678"/>
      <c r="AR27" s="766" t="s">
        <v>2865</v>
      </c>
      <c r="AS27" s="4677" t="s">
        <v>7049</v>
      </c>
      <c r="AT27" s="4678"/>
      <c r="AU27" s="767" t="s">
        <v>2866</v>
      </c>
      <c r="AV27" s="1524" t="s">
        <v>7056</v>
      </c>
      <c r="AW27" s="1522">
        <v>-2</v>
      </c>
      <c r="AX27" s="791"/>
      <c r="AY27" s="611"/>
      <c r="AZ27" s="2900"/>
      <c r="BA27" s="1872"/>
      <c r="BB27" s="1872"/>
      <c r="BC27" s="1872"/>
      <c r="BD27" s="1872"/>
      <c r="BE27" s="1872"/>
      <c r="BF27" s="1872"/>
      <c r="BG27" s="1872"/>
      <c r="BH27" s="1872"/>
      <c r="BI27" s="1872"/>
      <c r="BJ27" s="1872"/>
      <c r="BK27" s="1872"/>
    </row>
    <row r="28" spans="1:63" ht="12" customHeight="1" thickBot="1" x14ac:dyDescent="0.25">
      <c r="A28" s="31"/>
      <c r="B28" s="513"/>
      <c r="C28" s="4664"/>
      <c r="D28" s="4665"/>
      <c r="E28" s="3288"/>
      <c r="F28" s="3288"/>
      <c r="G28" s="3288"/>
      <c r="H28" s="4667"/>
      <c r="J28" s="4675" t="s">
        <v>1521</v>
      </c>
      <c r="K28" s="4676"/>
      <c r="L28" s="2437"/>
      <c r="M28" s="1734">
        <f>Desconvocar_final+L28</f>
        <v>0</v>
      </c>
      <c r="N28" s="4617"/>
      <c r="O28" s="4617"/>
      <c r="P28" s="4617"/>
      <c r="Q28" s="4618"/>
      <c r="S28" s="614"/>
      <c r="T28" s="512" t="str">
        <f t="shared" si="1"/>
        <v>Conjuros</v>
      </c>
      <c r="U28" s="31"/>
      <c r="V28" s="715">
        <f>IF(AC28="",0,VLOOKUP(AC28,Tablas!$M$1052:$N$1061,2))</f>
        <v>0</v>
      </c>
      <c r="W28" s="4586"/>
      <c r="X28" s="3787"/>
      <c r="Y28" s="4596"/>
      <c r="Z28" s="4597"/>
      <c r="AA28" s="4597"/>
      <c r="AB28" s="4598"/>
      <c r="AC28" s="579" t="str">
        <f>IF(Místicos!Y28=0,"",VLOOKUP(Místicos!Y28,Tabla_Conjuros,3,FALSE))</f>
        <v/>
      </c>
      <c r="AD28" s="2617" t="str">
        <f t="shared" si="0"/>
        <v/>
      </c>
      <c r="AE28" s="4586"/>
      <c r="AF28" s="3787"/>
      <c r="AG28" s="4596"/>
      <c r="AH28" s="4597"/>
      <c r="AI28" s="4597"/>
      <c r="AJ28" s="4598"/>
      <c r="AK28" s="1578"/>
      <c r="AL28" s="1240">
        <f>IF(Místicos!AG28=0,0,VLOOKUP(Místicos!AG28,Tabla_Conjuros,3,FALSE)-10)</f>
        <v>0</v>
      </c>
      <c r="AM28" s="1415" t="str">
        <f t="shared" si="2"/>
        <v>Conjuros_LibreAcceso</v>
      </c>
      <c r="AN28" s="512"/>
      <c r="AO28" s="779"/>
      <c r="AP28" s="4747" t="s">
        <v>7052</v>
      </c>
      <c r="AQ28" s="4678"/>
      <c r="AR28" s="766" t="s">
        <v>2866</v>
      </c>
      <c r="AS28" s="4677" t="s">
        <v>1740</v>
      </c>
      <c r="AT28" s="4678"/>
      <c r="AU28" s="767" t="s">
        <v>3171</v>
      </c>
      <c r="AV28" s="1524" t="s">
        <v>7057</v>
      </c>
      <c r="AW28" s="1522">
        <v>-4</v>
      </c>
      <c r="AX28" s="791"/>
      <c r="AY28" s="611"/>
      <c r="AZ28" s="2900"/>
      <c r="BA28" s="1872"/>
      <c r="BB28" s="1872"/>
      <c r="BC28" s="1872"/>
      <c r="BD28" s="1872"/>
      <c r="BE28" s="1872"/>
      <c r="BF28" s="1872"/>
      <c r="BG28" s="1872"/>
      <c r="BH28" s="1872"/>
      <c r="BI28" s="1872"/>
      <c r="BJ28" s="1872"/>
      <c r="BK28" s="1872"/>
    </row>
    <row r="29" spans="1:63" ht="12" customHeight="1" thickBot="1" x14ac:dyDescent="0.25">
      <c r="A29" s="31"/>
      <c r="B29" s="513"/>
      <c r="C29" s="467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2"/>
      <c r="E29" s="4672"/>
      <c r="F29" s="4672"/>
      <c r="G29" s="4672"/>
      <c r="H29" s="4673"/>
      <c r="S29" s="614"/>
      <c r="T29" s="512" t="str">
        <f t="shared" si="1"/>
        <v>Conjuros</v>
      </c>
      <c r="U29" s="31"/>
      <c r="V29" s="715">
        <f>IF(AC29="",0,VLOOKUP(AC29,Tablas!$M$1052:$N$1061,2))</f>
        <v>0</v>
      </c>
      <c r="W29" s="4587"/>
      <c r="X29" s="3790"/>
      <c r="Y29" s="4599"/>
      <c r="Z29" s="4600"/>
      <c r="AA29" s="4600"/>
      <c r="AB29" s="4601"/>
      <c r="AC29" s="578" t="str">
        <f>IF(Místicos!Y29=0,"",VLOOKUP(Místicos!Y29,Tabla_Conjuros,3,FALSE))</f>
        <v/>
      </c>
      <c r="AD29" s="2617" t="str">
        <f t="shared" si="0"/>
        <v/>
      </c>
      <c r="AE29" s="4592"/>
      <c r="AF29" s="4593"/>
      <c r="AG29" s="4599"/>
      <c r="AH29" s="4600"/>
      <c r="AI29" s="4600"/>
      <c r="AJ29" s="4601"/>
      <c r="AK29" s="1650"/>
      <c r="AL29" s="1240">
        <f>IF(Místicos!AG29=0,0,VLOOKUP(Místicos!AG29,Tabla_Conjuros,3,FALSE)-10)</f>
        <v>0</v>
      </c>
      <c r="AM29" s="1415" t="str">
        <f t="shared" si="2"/>
        <v>Conjuros_LibreAcceso</v>
      </c>
      <c r="AN29" s="512"/>
      <c r="AO29" s="779"/>
      <c r="AP29" s="4748" t="s">
        <v>7088</v>
      </c>
      <c r="AQ29" s="4743"/>
      <c r="AR29" s="1539" t="s">
        <v>3171</v>
      </c>
      <c r="AS29" s="4742" t="s">
        <v>1743</v>
      </c>
      <c r="AT29" s="4743"/>
      <c r="AU29" s="1540" t="s">
        <v>7065</v>
      </c>
      <c r="AV29" s="1524" t="s">
        <v>7058</v>
      </c>
      <c r="AW29" s="1522">
        <v>-6</v>
      </c>
      <c r="AX29" s="791"/>
      <c r="AY29" s="611"/>
      <c r="AZ29" s="2900"/>
      <c r="BA29" s="1872"/>
      <c r="BB29" s="1872"/>
      <c r="BC29" s="1872"/>
      <c r="BD29" s="1872"/>
      <c r="BE29" s="1872"/>
      <c r="BF29" s="1872"/>
      <c r="BG29" s="1872"/>
      <c r="BH29" s="1872"/>
      <c r="BI29" s="1872"/>
      <c r="BJ29" s="1872"/>
      <c r="BK29" s="1872"/>
    </row>
    <row r="30" spans="1:63" ht="12" customHeight="1" thickBot="1" x14ac:dyDescent="0.25">
      <c r="A30" s="31"/>
      <c r="B30" s="513"/>
      <c r="S30" s="614"/>
      <c r="T30" s="512" t="str">
        <f t="shared" si="1"/>
        <v>Conjuros</v>
      </c>
      <c r="U30" s="31"/>
      <c r="V30" s="715">
        <f>IF(AC30="",0,VLOOKUP(AC30,Tablas!$M$1052:$N$1061,2))</f>
        <v>0</v>
      </c>
      <c r="W30" s="4586"/>
      <c r="X30" s="3787"/>
      <c r="Y30" s="4596"/>
      <c r="Z30" s="4597"/>
      <c r="AA30" s="4597"/>
      <c r="AB30" s="4598"/>
      <c r="AC30" s="579" t="str">
        <f>IF(Místicos!Y30=0,"",VLOOKUP(Místicos!Y30,Tabla_Conjuros,3,FALSE))</f>
        <v/>
      </c>
      <c r="AD30" s="2617" t="str">
        <f t="shared" si="0"/>
        <v/>
      </c>
      <c r="AE30" s="4586"/>
      <c r="AF30" s="3787"/>
      <c r="AG30" s="4596"/>
      <c r="AH30" s="4597"/>
      <c r="AI30" s="4597"/>
      <c r="AJ30" s="4598"/>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7059</v>
      </c>
      <c r="AW30" s="1522">
        <v>-8</v>
      </c>
      <c r="AX30" s="791"/>
      <c r="AY30" s="611"/>
      <c r="AZ30" s="2900"/>
      <c r="BA30" s="1872"/>
      <c r="BB30" s="1872"/>
      <c r="BC30" s="1872"/>
      <c r="BD30" s="1872"/>
      <c r="BE30" s="1872"/>
      <c r="BF30" s="1872"/>
      <c r="BG30" s="1872"/>
      <c r="BH30" s="1872"/>
      <c r="BI30" s="1872"/>
      <c r="BJ30" s="1872"/>
      <c r="BK30" s="1872"/>
    </row>
    <row r="31" spans="1:63" ht="12" customHeight="1" thickBot="1" x14ac:dyDescent="0.25">
      <c r="A31" s="31"/>
      <c r="B31" s="513"/>
      <c r="C31" s="4660" t="s">
        <v>1718</v>
      </c>
      <c r="D31" s="4660"/>
      <c r="E31" s="4660"/>
      <c r="F31" s="4660"/>
      <c r="G31" s="4660"/>
      <c r="H31" s="3998" t="s">
        <v>1719</v>
      </c>
      <c r="J31" s="3228" t="s">
        <v>1720</v>
      </c>
      <c r="K31" s="3229"/>
      <c r="L31" s="3229"/>
      <c r="M31" s="3229"/>
      <c r="N31" s="3229"/>
      <c r="O31" s="3229"/>
      <c r="P31" s="3229"/>
      <c r="Q31" s="3302"/>
      <c r="S31" s="614"/>
      <c r="T31" s="512" t="str">
        <f t="shared" si="1"/>
        <v>Conjuros</v>
      </c>
      <c r="U31" s="31"/>
      <c r="V31" s="715">
        <f>IF(AC31="",0,VLOOKUP(AC31,Tablas!$M$1052:$N$1061,2))</f>
        <v>0</v>
      </c>
      <c r="W31" s="4587"/>
      <c r="X31" s="3790"/>
      <c r="Y31" s="4599"/>
      <c r="Z31" s="4600"/>
      <c r="AA31" s="4600"/>
      <c r="AB31" s="4601"/>
      <c r="AC31" s="578" t="str">
        <f>IF(Místicos!Y31=0,"",VLOOKUP(Místicos!Y31,Tabla_Conjuros,3,FALSE))</f>
        <v/>
      </c>
      <c r="AD31" s="2617" t="str">
        <f t="shared" si="0"/>
        <v/>
      </c>
      <c r="AE31" s="4592"/>
      <c r="AF31" s="4593"/>
      <c r="AG31" s="4599"/>
      <c r="AH31" s="4600"/>
      <c r="AI31" s="4600"/>
      <c r="AJ31" s="4601"/>
      <c r="AK31" s="1650"/>
      <c r="AL31" s="1240">
        <f>IF(Místicos!AG31=0,0,VLOOKUP(Místicos!AG31,Tabla_Conjuros,3,FALSE)-10)</f>
        <v>0</v>
      </c>
      <c r="AM31" s="1415" t="str">
        <f t="shared" si="2"/>
        <v>Conjuros_LibreAcceso</v>
      </c>
      <c r="AN31" s="512"/>
      <c r="AO31" s="779"/>
      <c r="AP31" s="699"/>
      <c r="AQ31" s="4731" t="s">
        <v>2695</v>
      </c>
      <c r="AR31" s="4732"/>
      <c r="AS31" s="4761" t="s">
        <v>6377</v>
      </c>
      <c r="AT31" s="4762"/>
      <c r="AU31" s="653"/>
      <c r="AV31" s="1541" t="s">
        <v>7060</v>
      </c>
      <c r="AW31" s="1522">
        <v>-10</v>
      </c>
      <c r="AX31" s="791"/>
      <c r="AY31" s="611"/>
      <c r="AZ31" s="2900"/>
      <c r="BA31" s="1872"/>
      <c r="BB31" s="1872"/>
      <c r="BC31" s="1872"/>
      <c r="BD31" s="1872"/>
      <c r="BE31" s="1872"/>
      <c r="BF31" s="1872"/>
      <c r="BG31" s="1872"/>
      <c r="BH31" s="1872"/>
      <c r="BI31" s="1872"/>
      <c r="BJ31" s="1872"/>
      <c r="BK31" s="1872"/>
    </row>
    <row r="32" spans="1:63" ht="12" customHeight="1" thickBot="1" x14ac:dyDescent="0.25">
      <c r="A32" s="31"/>
      <c r="B32" s="513"/>
      <c r="C32" s="4674" t="s">
        <v>1721</v>
      </c>
      <c r="D32" s="4674"/>
      <c r="E32" s="4674"/>
      <c r="F32" s="4674"/>
      <c r="G32" s="4674"/>
      <c r="H32" s="3998"/>
      <c r="J32" s="4661" t="s">
        <v>1444</v>
      </c>
      <c r="K32" s="3221"/>
      <c r="L32" s="3221"/>
      <c r="M32" s="3221"/>
      <c r="N32" s="3221"/>
      <c r="O32" s="3221"/>
      <c r="P32" s="719" t="s">
        <v>1722</v>
      </c>
      <c r="Q32" s="704" t="s">
        <v>1512</v>
      </c>
      <c r="S32" s="614"/>
      <c r="T32" s="512" t="str">
        <f t="shared" si="1"/>
        <v>Conjuros</v>
      </c>
      <c r="U32" s="31"/>
      <c r="V32" s="715">
        <f>IF(AC32="",0,VLOOKUP(AC32,Tablas!$M$1052:$N$1061,2))</f>
        <v>0</v>
      </c>
      <c r="W32" s="4586"/>
      <c r="X32" s="3787"/>
      <c r="Y32" s="4596"/>
      <c r="Z32" s="4597"/>
      <c r="AA32" s="4597"/>
      <c r="AB32" s="4598"/>
      <c r="AC32" s="579" t="str">
        <f>IF(Místicos!Y32=0,"",VLOOKUP(Místicos!Y32,Tabla_Conjuros,3,FALSE))</f>
        <v/>
      </c>
      <c r="AD32" s="2617" t="str">
        <f t="shared" si="0"/>
        <v/>
      </c>
      <c r="AE32" s="4586"/>
      <c r="AF32" s="3787"/>
      <c r="AG32" s="4596"/>
      <c r="AH32" s="4597"/>
      <c r="AI32" s="4597"/>
      <c r="AJ32" s="4598"/>
      <c r="AK32" s="1578"/>
      <c r="AL32" s="1240">
        <f>IF(Místicos!AG32=0,0,VLOOKUP(Místicos!AG32,Tabla_Conjuros,3,FALSE)-10)</f>
        <v>0</v>
      </c>
      <c r="AM32" s="1415" t="str">
        <f t="shared" si="2"/>
        <v>Conjuros_LibreAcceso</v>
      </c>
      <c r="AN32" s="512"/>
      <c r="AO32" s="779"/>
      <c r="AP32" s="699"/>
      <c r="AQ32" s="4757">
        <f>Presencia_final*2+Bono_Des</f>
        <v>40</v>
      </c>
      <c r="AR32" s="4758"/>
      <c r="AS32" s="4574"/>
      <c r="AT32" s="4754"/>
      <c r="AU32" s="653"/>
      <c r="AV32" s="1541" t="s">
        <v>7061</v>
      </c>
      <c r="AW32" s="1522">
        <v>-12</v>
      </c>
      <c r="AX32" s="791"/>
      <c r="AY32" s="611"/>
      <c r="AZ32" s="2900"/>
      <c r="BA32" s="1872"/>
      <c r="BB32" s="1872"/>
      <c r="BC32" s="1872"/>
      <c r="BD32" s="1872"/>
      <c r="BE32" s="1872"/>
      <c r="BF32" s="1872"/>
      <c r="BG32" s="1872"/>
      <c r="BH32" s="1872"/>
      <c r="BI32" s="1872"/>
      <c r="BJ32" s="1872"/>
      <c r="BK32" s="1872"/>
    </row>
    <row r="33" spans="1:63" ht="12" customHeight="1" thickBot="1" x14ac:dyDescent="0.25">
      <c r="A33" s="31"/>
      <c r="B33" s="513"/>
      <c r="C33" s="4668"/>
      <c r="D33" s="4669"/>
      <c r="E33" s="4669"/>
      <c r="F33" s="4669"/>
      <c r="G33" s="4670"/>
      <c r="H33" s="1604"/>
      <c r="J33" s="4724"/>
      <c r="K33" s="4725"/>
      <c r="L33" s="4725"/>
      <c r="M33" s="4725"/>
      <c r="N33" s="4725"/>
      <c r="O33" s="4725"/>
      <c r="P33" s="681" t="str">
        <f>IF(J33=0,"",VLOOKUP(J33,Tablas!$AB$1041:$AD$1210,2,FALSE))</f>
        <v/>
      </c>
      <c r="Q33" s="705" t="str">
        <f>IF(J33=0,"",VLOOKUP(J33,Tablas!$AB$1041:$AD$1210,3,FALSE)*IF($P$25="Invocador",0.5,1))</f>
        <v/>
      </c>
      <c r="S33" s="614"/>
      <c r="T33" s="512" t="str">
        <f t="shared" si="1"/>
        <v>Conjuros</v>
      </c>
      <c r="U33" s="31"/>
      <c r="V33" s="715">
        <f>IF(AC33="",0,VLOOKUP(AC33,Tablas!$M$1052:$N$1061,2))</f>
        <v>0</v>
      </c>
      <c r="W33" s="4587"/>
      <c r="X33" s="3790"/>
      <c r="Y33" s="4599"/>
      <c r="Z33" s="4600"/>
      <c r="AA33" s="4600"/>
      <c r="AB33" s="4601"/>
      <c r="AC33" s="578" t="str">
        <f>IF(Místicos!Y33=0,"",VLOOKUP(Místicos!Y33,Tabla_Conjuros,3,FALSE))</f>
        <v/>
      </c>
      <c r="AD33" s="2617" t="str">
        <f t="shared" si="0"/>
        <v/>
      </c>
      <c r="AE33" s="4592"/>
      <c r="AF33" s="4593"/>
      <c r="AG33" s="4599"/>
      <c r="AH33" s="4600"/>
      <c r="AI33" s="4600"/>
      <c r="AJ33" s="4601"/>
      <c r="AK33" s="1650"/>
      <c r="AL33" s="1240">
        <f>IF(Místicos!AG33=0,0,VLOOKUP(Místicos!AG33,Tabla_Conjuros,3,FALSE)-10)</f>
        <v>0</v>
      </c>
      <c r="AM33" s="1415" t="str">
        <f t="shared" si="2"/>
        <v>Conjuros_LibreAcceso</v>
      </c>
      <c r="AN33" s="512"/>
      <c r="AO33" s="779"/>
      <c r="AP33" s="699"/>
      <c r="AQ33" s="4759"/>
      <c r="AR33" s="4760"/>
      <c r="AS33" s="4755"/>
      <c r="AT33" s="4756"/>
      <c r="AU33" s="653"/>
      <c r="AV33" s="1541" t="s">
        <v>7062</v>
      </c>
      <c r="AW33" s="1522">
        <v>-14</v>
      </c>
      <c r="AX33" s="791"/>
      <c r="AY33" s="611"/>
      <c r="AZ33" s="2900"/>
      <c r="BA33" s="1872" t="s">
        <v>10152</v>
      </c>
      <c r="BB33" s="1872" t="s">
        <v>10153</v>
      </c>
      <c r="BC33" s="1872" t="s">
        <v>1687</v>
      </c>
      <c r="BD33" s="1872" t="s">
        <v>10154</v>
      </c>
      <c r="BE33" s="1872" t="s">
        <v>10155</v>
      </c>
      <c r="BF33" s="1872" t="s">
        <v>10157</v>
      </c>
      <c r="BG33" s="1872" t="s">
        <v>10156</v>
      </c>
      <c r="BH33" s="1872"/>
      <c r="BI33" s="1872"/>
      <c r="BJ33" s="1872"/>
      <c r="BK33" s="1872"/>
    </row>
    <row r="34" spans="1:63" ht="12" customHeight="1" thickBot="1" x14ac:dyDescent="0.25">
      <c r="A34" s="31"/>
      <c r="B34" s="513"/>
      <c r="C34" s="4537"/>
      <c r="D34" s="4537"/>
      <c r="E34" s="4537"/>
      <c r="F34" s="4537"/>
      <c r="G34" s="4537"/>
      <c r="H34" s="1649"/>
      <c r="J34" s="4535"/>
      <c r="K34" s="4536"/>
      <c r="L34" s="4536"/>
      <c r="M34" s="4536"/>
      <c r="N34" s="4536"/>
      <c r="O34" s="4536"/>
      <c r="P34" s="682" t="str">
        <f>IF(J34=0,"",VLOOKUP(J34,Tablas!$AB$1041:$AD$1210,2,FALSE))</f>
        <v/>
      </c>
      <c r="Q34" s="706" t="str">
        <f>IF(J34=0,"",VLOOKUP(J34,Tablas!$AB$1041:$AD$1210,3,FALSE)*IF($P$25="Invocador",0.5,1))</f>
        <v/>
      </c>
      <c r="S34" s="614"/>
      <c r="T34" s="512" t="str">
        <f t="shared" si="1"/>
        <v>Conjuros</v>
      </c>
      <c r="U34" s="31"/>
      <c r="V34" s="715">
        <f>IF(AC34="",0,VLOOKUP(AC34,Tablas!$M$1052:$N$1061,2))</f>
        <v>0</v>
      </c>
      <c r="W34" s="4586"/>
      <c r="X34" s="3787"/>
      <c r="Y34" s="4596"/>
      <c r="Z34" s="4597"/>
      <c r="AA34" s="4597"/>
      <c r="AB34" s="4598"/>
      <c r="AC34" s="579" t="str">
        <f>IF(Místicos!Y34=0,"",VLOOKUP(Místicos!Y34,Tabla_Conjuros,3,FALSE))</f>
        <v/>
      </c>
      <c r="AD34" s="2617" t="str">
        <f t="shared" si="0"/>
        <v/>
      </c>
      <c r="AE34" s="4586"/>
      <c r="AF34" s="3787"/>
      <c r="AG34" s="4596"/>
      <c r="AH34" s="4597"/>
      <c r="AI34" s="4597"/>
      <c r="AJ34" s="4598"/>
      <c r="AK34" s="1578"/>
      <c r="AL34" s="1240">
        <f>IF(Místicos!AG34=0,0,VLOOKUP(Místicos!AG34,Tabla_Conjuros,3,FALSE)-10)</f>
        <v>0</v>
      </c>
      <c r="AM34" s="1415" t="str">
        <f t="shared" si="2"/>
        <v>Conjuros_LibreAcceso</v>
      </c>
      <c r="AN34" s="512"/>
      <c r="AO34" s="779"/>
      <c r="AP34" s="699"/>
      <c r="AQ34" s="699"/>
      <c r="AR34" s="699"/>
      <c r="AS34" s="699"/>
      <c r="AT34" s="653"/>
      <c r="AU34" s="653"/>
      <c r="AV34" s="1542" t="s">
        <v>7063</v>
      </c>
      <c r="AW34" s="1523">
        <v>-16</v>
      </c>
      <c r="AX34" s="791"/>
      <c r="AY34" s="611"/>
      <c r="AZ34" s="2900"/>
      <c r="BA34" s="1872" t="b">
        <f>ISNUMBER(FIND("inhumanidad",LOWER(C33)))</f>
        <v>0</v>
      </c>
      <c r="BB34" s="2930" t="b">
        <f>IF(BA34,OR(ISNUMBER(FIND("intermedio",LOWER(C33))),ISNUMBER(FIND("avanzado",LOWER(C33)))))</f>
        <v>0</v>
      </c>
      <c r="BC34" s="2930" t="b">
        <f>IF(BA34,ISNUMBER(FIND("arcano",LOWER(C33))))</f>
        <v>0</v>
      </c>
      <c r="BD34" s="1872" t="b">
        <f>IF(BA34,AND(ISNUMBER(FIND("base",LOWER(C33))),OR(ISNUMBER(FIND("movimiento",LOWER(C33))),ISNUMBER(FIND("mov",LOWER(C33))),ISNUMBER(FIND("tm",LOWER(C33))))))</f>
        <v>0</v>
      </c>
      <c r="BE34" s="1872" t="b">
        <f>IF(BB34,AND(ISNUMBER(FIND("avanzado",LOWER(C33))),OR(ISNUMBER(FIND("movimiento",LOWER(C33))),ISNUMBER(FIND("mov",LOWER(C33))),ISNUMBER(FIND("tm",LOWER(C33))))))</f>
        <v>0</v>
      </c>
      <c r="BF34" s="1872" t="b">
        <f>IF(BA34,AND(ISNUMBER(FIND("base",LOWER(C33))),OR(ISNUMBER(FIND("fue",LOWER(C33))),ISNUMBER(FIND("peso",LOWER(C33))),ISNUMBER(FIND("ip",LOWER(C33))))))</f>
        <v>0</v>
      </c>
      <c r="BG34" s="1872" t="b">
        <f>IF(BB34,AND(ISNUMBER(FIND("avanzado",LOWER(C33))),OR(ISNUMBER(FIND("fue",LOWER(C33))),ISNUMBER(FIND("peso",LOWER(C33))),ISNUMBER(FIND("ip",LOWER(C33))))))</f>
        <v>0</v>
      </c>
      <c r="BH34" s="1872"/>
      <c r="BI34" s="1872"/>
      <c r="BJ34" s="1872"/>
      <c r="BK34" s="1872"/>
    </row>
    <row r="35" spans="1:63" ht="12" customHeight="1" thickBot="1" x14ac:dyDescent="0.25">
      <c r="A35" s="31"/>
      <c r="B35" s="513"/>
      <c r="C35" s="4538"/>
      <c r="D35" s="4538"/>
      <c r="E35" s="4538"/>
      <c r="F35" s="4538"/>
      <c r="G35" s="4538"/>
      <c r="H35" s="1604"/>
      <c r="J35" s="4680"/>
      <c r="K35" s="4681"/>
      <c r="L35" s="4681"/>
      <c r="M35" s="4681"/>
      <c r="N35" s="4681"/>
      <c r="O35" s="4681"/>
      <c r="P35" s="681" t="str">
        <f>IF(J35=0,"",VLOOKUP(J35,Tablas!$AB$1041:$AD$1210,2,FALSE))</f>
        <v/>
      </c>
      <c r="Q35" s="705" t="str">
        <f>IF(J35=0,"",VLOOKUP(J35,Tablas!$AB$1041:$AD$1210,3,FALSE)*IF($P$25="Invocador",0.5,1))</f>
        <v/>
      </c>
      <c r="S35" s="614"/>
      <c r="T35" s="512" t="str">
        <f t="shared" si="1"/>
        <v>Conjuros</v>
      </c>
      <c r="U35" s="31"/>
      <c r="V35" s="715">
        <f>IF(AC35="",0,VLOOKUP(AC35,Tablas!$M$1052:$N$1061,2))</f>
        <v>0</v>
      </c>
      <c r="W35" s="4587"/>
      <c r="X35" s="3790"/>
      <c r="Y35" s="4599"/>
      <c r="Z35" s="4600"/>
      <c r="AA35" s="4600"/>
      <c r="AB35" s="4601"/>
      <c r="AC35" s="578" t="str">
        <f>IF(Místicos!Y35=0,"",VLOOKUP(Místicos!Y35,Tabla_Conjuros,3,FALSE))</f>
        <v/>
      </c>
      <c r="AD35" s="2617" t="str">
        <f t="shared" si="0"/>
        <v/>
      </c>
      <c r="AE35" s="4592"/>
      <c r="AF35" s="4593"/>
      <c r="AG35" s="4599"/>
      <c r="AH35" s="4600"/>
      <c r="AI35" s="4600"/>
      <c r="AJ35" s="4601"/>
      <c r="AK35" s="1650"/>
      <c r="AL35" s="1240">
        <f>IF(Místicos!AG35=0,0,VLOOKUP(Místicos!AG35,Tabla_Conjuros,3,FALSE)-10)</f>
        <v>0</v>
      </c>
      <c r="AM35" s="1415" t="str">
        <f t="shared" si="2"/>
        <v>Conjuros_LibreAcceso</v>
      </c>
      <c r="AN35" s="512"/>
      <c r="AO35" s="779"/>
      <c r="AX35" s="791"/>
      <c r="AY35" s="611"/>
      <c r="AZ35" s="2900"/>
      <c r="BA35" s="1872" t="b">
        <f t="shared" ref="BA35:BA60" si="4">ISNUMBER(FIND("inhumanidad",LOWER(C34)))</f>
        <v>0</v>
      </c>
      <c r="BB35" s="2930" t="b">
        <f t="shared" ref="BB35:BB60" si="5">IF(BA35,OR(ISNUMBER(FIND("intermedio",LOWER(C34))),ISNUMBER(FIND("avanzado",LOWER(C34)))))</f>
        <v>0</v>
      </c>
      <c r="BC35" s="2930" t="b">
        <f t="shared" ref="BC35:BC60" si="6">IF(BA35,ISNUMBER(FIND("arcano",LOWER(C34))))</f>
        <v>0</v>
      </c>
      <c r="BD35" s="1872" t="b">
        <f t="shared" ref="BD35:BD60" si="7">IF(BA35,AND(ISNUMBER(FIND("base",LOWER(C34))),OR(ISNUMBER(FIND("movimiento",LOWER(C34))),ISNUMBER(FIND("mov",LOWER(C34))),ISNUMBER(FIND("tm",LOWER(C34))))))</f>
        <v>0</v>
      </c>
      <c r="BE35" s="1872" t="b">
        <f t="shared" ref="BE35:BE60" si="8">IF(BB35,AND(ISNUMBER(FIND("avanzado",LOWER(C34))),OR(ISNUMBER(FIND("movimiento",LOWER(C34))),ISNUMBER(FIND("mov",LOWER(C34))),ISNUMBER(FIND("tm",LOWER(C34))))))</f>
        <v>0</v>
      </c>
      <c r="BF35" s="1872" t="b">
        <f t="shared" ref="BF35:BF60" si="9">IF(BA35,AND(ISNUMBER(FIND("base",LOWER(C34))),OR(ISNUMBER(FIND("fue",LOWER(C34))),ISNUMBER(FIND("peso",LOWER(C34))),ISNUMBER(FIND("ip",LOWER(C34))))))</f>
        <v>0</v>
      </c>
      <c r="BG35" s="1872" t="b">
        <f t="shared" ref="BG35:BG60" si="10">IF(BB35,AND(ISNUMBER(FIND("avanzado",LOWER(C34))),OR(ISNUMBER(FIND("fue",LOWER(C34))),ISNUMBER(FIND("peso",LOWER(C34))),ISNUMBER(FIND("ip",LOWER(C34))))))</f>
        <v>0</v>
      </c>
      <c r="BH35" s="1872"/>
      <c r="BI35" s="1872"/>
      <c r="BJ35" s="1872"/>
      <c r="BK35" s="1872"/>
    </row>
    <row r="36" spans="1:63" ht="12" customHeight="1" thickBot="1" x14ac:dyDescent="0.25">
      <c r="A36" s="31"/>
      <c r="B36" s="513"/>
      <c r="C36" s="4537"/>
      <c r="D36" s="4537"/>
      <c r="E36" s="4537"/>
      <c r="F36" s="4537"/>
      <c r="G36" s="4537"/>
      <c r="H36" s="1649"/>
      <c r="J36" s="4535"/>
      <c r="K36" s="4536"/>
      <c r="L36" s="4536"/>
      <c r="M36" s="4536"/>
      <c r="N36" s="4536"/>
      <c r="O36" s="4536"/>
      <c r="P36" s="682" t="str">
        <f>IF(J36=0,"",VLOOKUP(J36,Tablas!$AB$1041:$AD$1210,2,FALSE))</f>
        <v/>
      </c>
      <c r="Q36" s="706" t="str">
        <f>IF(J36=0,"",VLOOKUP(J36,Tablas!$AB$1041:$AD$1210,3,FALSE)*IF($P$25="Invocador",0.5,1))</f>
        <v/>
      </c>
      <c r="S36" s="614"/>
      <c r="T36" s="512" t="str">
        <f t="shared" si="1"/>
        <v>Conjuros</v>
      </c>
      <c r="U36" s="31"/>
      <c r="V36" s="715">
        <f>IF(AC36="",0,VLOOKUP(AC36,Tablas!$M$1052:$N$1061,2))</f>
        <v>0</v>
      </c>
      <c r="W36" s="4586"/>
      <c r="X36" s="3787"/>
      <c r="Y36" s="4596"/>
      <c r="Z36" s="4597"/>
      <c r="AA36" s="4597"/>
      <c r="AB36" s="4598"/>
      <c r="AC36" s="579" t="str">
        <f>IF(Místicos!Y36=0,"",VLOOKUP(Místicos!Y36,Tabla_Conjuros,3,FALSE))</f>
        <v/>
      </c>
      <c r="AD36" s="2617" t="str">
        <f t="shared" si="0"/>
        <v/>
      </c>
      <c r="AE36" s="4586"/>
      <c r="AF36" s="3787"/>
      <c r="AG36" s="4596"/>
      <c r="AH36" s="4597"/>
      <c r="AI36" s="4597"/>
      <c r="AJ36" s="4598"/>
      <c r="AK36" s="1578"/>
      <c r="AL36" s="1240">
        <f>IF(Místicos!AG36=0,0,VLOOKUP(Místicos!AG36,Tabla_Conjuros,3,FALSE)-10)</f>
        <v>0</v>
      </c>
      <c r="AM36" s="1415" t="str">
        <f t="shared" si="2"/>
        <v>Conjuros_LibreAcceso</v>
      </c>
      <c r="AN36" s="512"/>
      <c r="AO36" s="779"/>
      <c r="AP36" s="4752" t="s">
        <v>7072</v>
      </c>
      <c r="AQ36" s="4750"/>
      <c r="AR36" s="4750"/>
      <c r="AS36" s="4750"/>
      <c r="AT36" s="4750"/>
      <c r="AU36" s="4750"/>
      <c r="AV36" s="4750"/>
      <c r="AW36" s="4751"/>
      <c r="AX36" s="791"/>
      <c r="AY36" s="611"/>
      <c r="AZ36" s="2900"/>
      <c r="BA36" s="1872" t="b">
        <f t="shared" si="4"/>
        <v>0</v>
      </c>
      <c r="BB36" s="2930" t="b">
        <f t="shared" si="5"/>
        <v>0</v>
      </c>
      <c r="BC36" s="2930" t="b">
        <f t="shared" si="6"/>
        <v>0</v>
      </c>
      <c r="BD36" s="1872" t="b">
        <f t="shared" si="7"/>
        <v>0</v>
      </c>
      <c r="BE36" s="1872" t="b">
        <f t="shared" si="8"/>
        <v>0</v>
      </c>
      <c r="BF36" s="1872" t="b">
        <f t="shared" si="9"/>
        <v>0</v>
      </c>
      <c r="BG36" s="1872" t="b">
        <f t="shared" si="10"/>
        <v>0</v>
      </c>
      <c r="BH36" s="1872"/>
      <c r="BI36" s="1872"/>
      <c r="BJ36" s="1872"/>
      <c r="BK36" s="1872"/>
    </row>
    <row r="37" spans="1:63" ht="12" customHeight="1" x14ac:dyDescent="0.2">
      <c r="A37" s="31"/>
      <c r="B37" s="513"/>
      <c r="C37" s="4538"/>
      <c r="D37" s="4538"/>
      <c r="E37" s="4538"/>
      <c r="F37" s="4538"/>
      <c r="G37" s="4538"/>
      <c r="H37" s="1604"/>
      <c r="J37" s="4680"/>
      <c r="K37" s="4681"/>
      <c r="L37" s="4681"/>
      <c r="M37" s="4681"/>
      <c r="N37" s="4681"/>
      <c r="O37" s="4681"/>
      <c r="P37" s="681" t="str">
        <f>IF(J37=0,"",VLOOKUP(J37,Tablas!$AB$1041:$AD$1210,2,FALSE))</f>
        <v/>
      </c>
      <c r="Q37" s="705" t="str">
        <f>IF(J37=0,"",VLOOKUP(J37,Tablas!$AB$1041:$AD$1210,3,FALSE)*IF($P$25="Invocador",0.5,1))</f>
        <v/>
      </c>
      <c r="S37" s="614"/>
      <c r="T37" s="512" t="str">
        <f t="shared" si="1"/>
        <v>Conjuros</v>
      </c>
      <c r="U37" s="31"/>
      <c r="V37" s="715">
        <f>IF(AC37="",0,VLOOKUP(AC37,Tablas!$M$1052:$N$1061,2))</f>
        <v>0</v>
      </c>
      <c r="W37" s="4587"/>
      <c r="X37" s="3790"/>
      <c r="Y37" s="4599"/>
      <c r="Z37" s="4600"/>
      <c r="AA37" s="4600"/>
      <c r="AB37" s="4601"/>
      <c r="AC37" s="578" t="str">
        <f>IF(Místicos!Y37=0,"",VLOOKUP(Místicos!Y37,Tabla_Conjuros,3,FALSE))</f>
        <v/>
      </c>
      <c r="AD37" s="2617" t="str">
        <f t="shared" si="0"/>
        <v/>
      </c>
      <c r="AE37" s="4592"/>
      <c r="AF37" s="4593"/>
      <c r="AG37" s="4599"/>
      <c r="AH37" s="4600"/>
      <c r="AI37" s="4600"/>
      <c r="AJ37" s="4601"/>
      <c r="AK37" s="1650"/>
      <c r="AL37" s="1240">
        <f>IF(Místicos!AG37=0,0,VLOOKUP(Místicos!AG37,Tabla_Conjuros,3,FALSE)-10)</f>
        <v>0</v>
      </c>
      <c r="AM37" s="1415" t="str">
        <f t="shared" si="2"/>
        <v>Conjuros_LibreAcceso</v>
      </c>
      <c r="AN37" s="512"/>
      <c r="AO37" s="780"/>
      <c r="AP37" s="783" t="s">
        <v>7066</v>
      </c>
      <c r="AQ37" s="4677" t="s">
        <v>7093</v>
      </c>
      <c r="AR37" s="4678"/>
      <c r="AS37" s="4678"/>
      <c r="AT37" s="4678"/>
      <c r="AU37" s="4678"/>
      <c r="AV37" s="4678"/>
      <c r="AW37" s="4679"/>
      <c r="AX37" s="791"/>
      <c r="AY37" s="611"/>
      <c r="AZ37" s="2900"/>
      <c r="BA37" s="1872" t="b">
        <f t="shared" si="4"/>
        <v>0</v>
      </c>
      <c r="BB37" s="2930" t="b">
        <f t="shared" si="5"/>
        <v>0</v>
      </c>
      <c r="BC37" s="2930" t="b">
        <f t="shared" si="6"/>
        <v>0</v>
      </c>
      <c r="BD37" s="1872" t="b">
        <f t="shared" si="7"/>
        <v>0</v>
      </c>
      <c r="BE37" s="1872" t="b">
        <f t="shared" si="8"/>
        <v>0</v>
      </c>
      <c r="BF37" s="1872" t="b">
        <f t="shared" si="9"/>
        <v>0</v>
      </c>
      <c r="BG37" s="1872" t="b">
        <f t="shared" si="10"/>
        <v>0</v>
      </c>
      <c r="BH37" s="1872"/>
      <c r="BI37" s="1872"/>
      <c r="BJ37" s="1872"/>
      <c r="BK37" s="1872"/>
    </row>
    <row r="38" spans="1:63" ht="12" customHeight="1" x14ac:dyDescent="0.2">
      <c r="A38" s="31"/>
      <c r="B38" s="513"/>
      <c r="C38" s="4537"/>
      <c r="D38" s="4537"/>
      <c r="E38" s="4537"/>
      <c r="F38" s="4537"/>
      <c r="G38" s="4537"/>
      <c r="H38" s="1649"/>
      <c r="J38" s="4535"/>
      <c r="K38" s="4536"/>
      <c r="L38" s="4536"/>
      <c r="M38" s="4536"/>
      <c r="N38" s="4536"/>
      <c r="O38" s="4536"/>
      <c r="P38" s="682" t="str">
        <f>IF(J38=0,"",VLOOKUP(J38,Tablas!$AB$1041:$AD$1210,2,FALSE))</f>
        <v/>
      </c>
      <c r="Q38" s="706" t="str">
        <f>IF(J38=0,"",VLOOKUP(J38,Tablas!$AB$1041:$AD$1210,3,FALSE)*IF($P$25="Invocador",0.5,1))</f>
        <v/>
      </c>
      <c r="S38" s="614"/>
      <c r="T38" s="512" t="str">
        <f t="shared" si="1"/>
        <v>Conjuros</v>
      </c>
      <c r="U38" s="31"/>
      <c r="V38" s="715">
        <f>IF(AC38="",0,VLOOKUP(AC38,Tablas!$M$1052:$N$1061,2))</f>
        <v>0</v>
      </c>
      <c r="W38" s="4586"/>
      <c r="X38" s="3787"/>
      <c r="Y38" s="4596"/>
      <c r="Z38" s="4597"/>
      <c r="AA38" s="4597"/>
      <c r="AB38" s="4598"/>
      <c r="AC38" s="579" t="str">
        <f>IF(Místicos!Y38=0,"",VLOOKUP(Místicos!Y38,Tabla_Conjuros,3,FALSE))</f>
        <v/>
      </c>
      <c r="AD38" s="2617" t="str">
        <f t="shared" si="0"/>
        <v/>
      </c>
      <c r="AE38" s="4586"/>
      <c r="AF38" s="3787"/>
      <c r="AG38" s="4596"/>
      <c r="AH38" s="4597"/>
      <c r="AI38" s="4597"/>
      <c r="AJ38" s="4598"/>
      <c r="AK38" s="1578"/>
      <c r="AL38" s="1240">
        <f>IF(Místicos!AG38=0,0,VLOOKUP(Místicos!AG38,Tabla_Conjuros,3,FALSE)-10)</f>
        <v>0</v>
      </c>
      <c r="AM38" s="1415" t="str">
        <f t="shared" si="2"/>
        <v>Conjuros_LibreAcceso</v>
      </c>
      <c r="AN38" s="512"/>
      <c r="AO38" s="780"/>
      <c r="AP38" s="783" t="s">
        <v>7067</v>
      </c>
      <c r="AQ38" s="4766" t="s">
        <v>7092</v>
      </c>
      <c r="AR38" s="4679"/>
      <c r="AS38" s="4679"/>
      <c r="AT38" s="4679"/>
      <c r="AU38" s="4679"/>
      <c r="AV38" s="4679"/>
      <c r="AW38" s="4679"/>
      <c r="AX38" s="791"/>
      <c r="AY38" s="611"/>
      <c r="AZ38" s="2900"/>
      <c r="BA38" s="1872" t="b">
        <f t="shared" si="4"/>
        <v>0</v>
      </c>
      <c r="BB38" s="2930" t="b">
        <f t="shared" si="5"/>
        <v>0</v>
      </c>
      <c r="BC38" s="2930" t="b">
        <f t="shared" si="6"/>
        <v>0</v>
      </c>
      <c r="BD38" s="1872" t="b">
        <f t="shared" si="7"/>
        <v>0</v>
      </c>
      <c r="BE38" s="1872" t="b">
        <f t="shared" si="8"/>
        <v>0</v>
      </c>
      <c r="BF38" s="1872" t="b">
        <f t="shared" si="9"/>
        <v>0</v>
      </c>
      <c r="BG38" s="1872" t="b">
        <f t="shared" si="10"/>
        <v>0</v>
      </c>
      <c r="BH38" s="1872"/>
      <c r="BI38" s="1872"/>
      <c r="BJ38" s="1872"/>
      <c r="BK38" s="1872"/>
    </row>
    <row r="39" spans="1:63" ht="12" customHeight="1" x14ac:dyDescent="0.2">
      <c r="A39" s="31"/>
      <c r="B39" s="513"/>
      <c r="C39" s="4538"/>
      <c r="D39" s="4538"/>
      <c r="E39" s="4538"/>
      <c r="F39" s="4538"/>
      <c r="G39" s="4538"/>
      <c r="H39" s="1604"/>
      <c r="J39" s="4680"/>
      <c r="K39" s="4681"/>
      <c r="L39" s="4681"/>
      <c r="M39" s="4681"/>
      <c r="N39" s="4681"/>
      <c r="O39" s="4681"/>
      <c r="P39" s="681" t="str">
        <f>IF(J39=0,"",VLOOKUP(J39,Tablas!$AB$1041:$AD$1210,2,FALSE))</f>
        <v/>
      </c>
      <c r="Q39" s="705" t="str">
        <f>IF(J39=0,"",VLOOKUP(J39,Tablas!$AB$1041:$AD$1210,3,FALSE)*IF($P$25="Invocador",0.5,1))</f>
        <v/>
      </c>
      <c r="S39" s="614"/>
      <c r="T39" s="512" t="str">
        <f t="shared" si="1"/>
        <v>Conjuros</v>
      </c>
      <c r="U39" s="31"/>
      <c r="V39" s="715">
        <f>IF(AC39="",0,VLOOKUP(AC39,Tablas!$M$1052:$N$1061,2))</f>
        <v>0</v>
      </c>
      <c r="W39" s="4587"/>
      <c r="X39" s="3790"/>
      <c r="Y39" s="4599"/>
      <c r="Z39" s="4600"/>
      <c r="AA39" s="4600"/>
      <c r="AB39" s="4601"/>
      <c r="AC39" s="578" t="str">
        <f>IF(Místicos!Y39=0,"",VLOOKUP(Místicos!Y39,Tabla_Conjuros,3,FALSE))</f>
        <v/>
      </c>
      <c r="AD39" s="2617" t="str">
        <f t="shared" si="0"/>
        <v/>
      </c>
      <c r="AE39" s="4592"/>
      <c r="AF39" s="4593"/>
      <c r="AG39" s="4599"/>
      <c r="AH39" s="4600"/>
      <c r="AI39" s="4600"/>
      <c r="AJ39" s="4601"/>
      <c r="AK39" s="1650"/>
      <c r="AL39" s="1240">
        <f>IF(Místicos!AG39=0,0,VLOOKUP(Místicos!AG39,Tabla_Conjuros,3,FALSE)-10)</f>
        <v>0</v>
      </c>
      <c r="AM39" s="1415" t="str">
        <f t="shared" si="2"/>
        <v>Conjuros_LibreAcceso</v>
      </c>
      <c r="AN39" s="512"/>
      <c r="AO39" s="780"/>
      <c r="AP39" s="783" t="s">
        <v>7068</v>
      </c>
      <c r="AQ39" s="4766" t="s">
        <v>7091</v>
      </c>
      <c r="AR39" s="4679"/>
      <c r="AS39" s="4679"/>
      <c r="AT39" s="4679"/>
      <c r="AU39" s="4679"/>
      <c r="AV39" s="4679"/>
      <c r="AW39" s="4679"/>
      <c r="AX39" s="791"/>
      <c r="AY39" s="611"/>
      <c r="AZ39" s="2900"/>
      <c r="BA39" s="1872" t="b">
        <f t="shared" si="4"/>
        <v>0</v>
      </c>
      <c r="BB39" s="2930" t="b">
        <f t="shared" si="5"/>
        <v>0</v>
      </c>
      <c r="BC39" s="2930" t="b">
        <f t="shared" si="6"/>
        <v>0</v>
      </c>
      <c r="BD39" s="1872" t="b">
        <f t="shared" si="7"/>
        <v>0</v>
      </c>
      <c r="BE39" s="1872" t="b">
        <f t="shared" si="8"/>
        <v>0</v>
      </c>
      <c r="BF39" s="1872" t="b">
        <f t="shared" si="9"/>
        <v>0</v>
      </c>
      <c r="BG39" s="1872" t="b">
        <f t="shared" si="10"/>
        <v>0</v>
      </c>
      <c r="BH39" s="1872"/>
      <c r="BI39" s="1872"/>
      <c r="BJ39" s="1872"/>
      <c r="BK39" s="1872"/>
    </row>
    <row r="40" spans="1:63" ht="12" customHeight="1" x14ac:dyDescent="0.2">
      <c r="A40" s="31"/>
      <c r="B40" s="513"/>
      <c r="C40" s="4537"/>
      <c r="D40" s="4537"/>
      <c r="E40" s="4537"/>
      <c r="F40" s="4537"/>
      <c r="G40" s="4537"/>
      <c r="H40" s="1649"/>
      <c r="J40" s="4535"/>
      <c r="K40" s="4536"/>
      <c r="L40" s="4536"/>
      <c r="M40" s="4536"/>
      <c r="N40" s="4536"/>
      <c r="O40" s="4536"/>
      <c r="P40" s="682" t="str">
        <f>IF(J40=0,"",VLOOKUP(J40,Tablas!$AB$1041:$AD$1210,2,FALSE))</f>
        <v/>
      </c>
      <c r="Q40" s="706" t="str">
        <f>IF(J40=0,"",VLOOKUP(J40,Tablas!$AB$1041:$AD$1210,3,FALSE)*IF($P$25="Invocador",0.5,1))</f>
        <v/>
      </c>
      <c r="S40" s="614"/>
      <c r="T40" s="512" t="str">
        <f t="shared" si="1"/>
        <v>Conjuros</v>
      </c>
      <c r="U40" s="31"/>
      <c r="V40" s="715">
        <f>IF(AC40="",0,VLOOKUP(AC40,Tablas!$M$1052:$N$1061,2))</f>
        <v>0</v>
      </c>
      <c r="W40" s="4586"/>
      <c r="X40" s="3787"/>
      <c r="Y40" s="4596"/>
      <c r="Z40" s="4597"/>
      <c r="AA40" s="4597"/>
      <c r="AB40" s="4598"/>
      <c r="AC40" s="579" t="str">
        <f>IF(Místicos!Y40=0,"",VLOOKUP(Místicos!Y40,Tabla_Conjuros,3,FALSE))</f>
        <v/>
      </c>
      <c r="AD40" s="2617" t="str">
        <f t="shared" si="0"/>
        <v/>
      </c>
      <c r="AE40" s="4586"/>
      <c r="AF40" s="3787"/>
      <c r="AG40" s="4596"/>
      <c r="AH40" s="4597"/>
      <c r="AI40" s="4597"/>
      <c r="AJ40" s="4598"/>
      <c r="AK40" s="1578"/>
      <c r="AL40" s="1240">
        <f>IF(Místicos!AG40=0,0,VLOOKUP(Místicos!AG40,Tabla_Conjuros,3,FALSE)-10)</f>
        <v>0</v>
      </c>
      <c r="AM40" s="1415" t="str">
        <f t="shared" si="2"/>
        <v>Conjuros_LibreAcceso</v>
      </c>
      <c r="AN40" s="512"/>
      <c r="AO40" s="780"/>
      <c r="AP40" s="783" t="s">
        <v>7069</v>
      </c>
      <c r="AQ40" s="4766" t="s">
        <v>7100</v>
      </c>
      <c r="AR40" s="4679"/>
      <c r="AS40" s="4679"/>
      <c r="AT40" s="4679"/>
      <c r="AU40" s="4679"/>
      <c r="AV40" s="4679"/>
      <c r="AW40" s="4679"/>
      <c r="AX40" s="791"/>
      <c r="AY40" s="611"/>
      <c r="AZ40" s="2900"/>
      <c r="BA40" s="1872" t="b">
        <f t="shared" si="4"/>
        <v>0</v>
      </c>
      <c r="BB40" s="2930" t="b">
        <f t="shared" si="5"/>
        <v>0</v>
      </c>
      <c r="BC40" s="2930" t="b">
        <f t="shared" si="6"/>
        <v>0</v>
      </c>
      <c r="BD40" s="1872" t="b">
        <f t="shared" si="7"/>
        <v>0</v>
      </c>
      <c r="BE40" s="1872" t="b">
        <f t="shared" si="8"/>
        <v>0</v>
      </c>
      <c r="BF40" s="1872" t="b">
        <f t="shared" si="9"/>
        <v>0</v>
      </c>
      <c r="BG40" s="1872" t="b">
        <f t="shared" si="10"/>
        <v>0</v>
      </c>
      <c r="BH40" s="1872"/>
      <c r="BI40" s="1872"/>
      <c r="BJ40" s="1872"/>
      <c r="BK40" s="1872"/>
    </row>
    <row r="41" spans="1:63" ht="12" customHeight="1" x14ac:dyDescent="0.2">
      <c r="A41" s="31"/>
      <c r="B41" s="513"/>
      <c r="C41" s="4538"/>
      <c r="D41" s="4538"/>
      <c r="E41" s="4538"/>
      <c r="F41" s="4538"/>
      <c r="G41" s="4538"/>
      <c r="H41" s="1604"/>
      <c r="J41" s="4680"/>
      <c r="K41" s="4681"/>
      <c r="L41" s="4681"/>
      <c r="M41" s="4681"/>
      <c r="N41" s="4681"/>
      <c r="O41" s="4681"/>
      <c r="P41" s="681" t="str">
        <f>IF(J41=0,"",VLOOKUP(J41,Tablas!$AB$1041:$AD$1210,2,FALSE))</f>
        <v/>
      </c>
      <c r="Q41" s="705" t="str">
        <f>IF(J41=0,"",VLOOKUP(J41,Tablas!$AB$1041:$AD$1210,3,FALSE)*IF($P$25="Invocador",0.5,1))</f>
        <v/>
      </c>
      <c r="S41" s="614"/>
      <c r="T41" s="512" t="str">
        <f t="shared" si="1"/>
        <v>Conjuros</v>
      </c>
      <c r="U41" s="31"/>
      <c r="V41" s="715">
        <f>IF(AC41="",0,VLOOKUP(AC41,Tablas!$M$1052:$N$1061,2))</f>
        <v>0</v>
      </c>
      <c r="W41" s="4587"/>
      <c r="X41" s="3790"/>
      <c r="Y41" s="4599"/>
      <c r="Z41" s="4600"/>
      <c r="AA41" s="4600"/>
      <c r="AB41" s="4601"/>
      <c r="AC41" s="578" t="str">
        <f>IF(Místicos!Y41=0,"",VLOOKUP(Místicos!Y41,Tabla_Conjuros,3,FALSE))</f>
        <v/>
      </c>
      <c r="AD41" s="2617" t="str">
        <f t="shared" si="0"/>
        <v/>
      </c>
      <c r="AE41" s="4592"/>
      <c r="AF41" s="4593"/>
      <c r="AG41" s="4599"/>
      <c r="AH41" s="4600"/>
      <c r="AI41" s="4600"/>
      <c r="AJ41" s="4601"/>
      <c r="AK41" s="1650"/>
      <c r="AL41" s="1240">
        <f>IF(Místicos!AG41=0,0,VLOOKUP(Místicos!AG41,Tabla_Conjuros,3,FALSE)-10)</f>
        <v>0</v>
      </c>
      <c r="AM41" s="1415" t="str">
        <f t="shared" si="2"/>
        <v>Conjuros_LibreAcceso</v>
      </c>
      <c r="AN41" s="512"/>
      <c r="AO41" s="780"/>
      <c r="AP41" s="783" t="s">
        <v>7070</v>
      </c>
      <c r="AQ41" s="4766" t="s">
        <v>7090</v>
      </c>
      <c r="AR41" s="4679"/>
      <c r="AS41" s="4679"/>
      <c r="AT41" s="4679"/>
      <c r="AU41" s="4679"/>
      <c r="AV41" s="4679"/>
      <c r="AW41" s="4679"/>
      <c r="AX41" s="791"/>
      <c r="AY41" s="611"/>
      <c r="AZ41" s="2900"/>
      <c r="BA41" s="1872" t="b">
        <f t="shared" si="4"/>
        <v>0</v>
      </c>
      <c r="BB41" s="2930" t="b">
        <f t="shared" si="5"/>
        <v>0</v>
      </c>
      <c r="BC41" s="2930" t="b">
        <f t="shared" si="6"/>
        <v>0</v>
      </c>
      <c r="BD41" s="1872" t="b">
        <f t="shared" si="7"/>
        <v>0</v>
      </c>
      <c r="BE41" s="1872" t="b">
        <f t="shared" si="8"/>
        <v>0</v>
      </c>
      <c r="BF41" s="1872" t="b">
        <f t="shared" si="9"/>
        <v>0</v>
      </c>
      <c r="BG41" s="1872" t="b">
        <f t="shared" si="10"/>
        <v>0</v>
      </c>
      <c r="BH41" s="1872"/>
      <c r="BI41" s="1872"/>
      <c r="BJ41" s="1872"/>
      <c r="BK41" s="1872"/>
    </row>
    <row r="42" spans="1:63" ht="12" customHeight="1" thickBot="1" x14ac:dyDescent="0.25">
      <c r="A42" s="31"/>
      <c r="B42" s="513"/>
      <c r="C42" s="4537"/>
      <c r="D42" s="4537"/>
      <c r="E42" s="4537"/>
      <c r="F42" s="4537"/>
      <c r="G42" s="4537"/>
      <c r="H42" s="1649"/>
      <c r="J42" s="4535"/>
      <c r="K42" s="4536"/>
      <c r="L42" s="4536"/>
      <c r="M42" s="4536"/>
      <c r="N42" s="4536"/>
      <c r="O42" s="4536"/>
      <c r="P42" s="682" t="str">
        <f>IF(J42=0,"",VLOOKUP(J42,Tablas!$AB$1041:$AD$1210,2,FALSE))</f>
        <v/>
      </c>
      <c r="Q42" s="706" t="str">
        <f>IF(J42=0,"",VLOOKUP(J42,Tablas!$AB$1041:$AD$1210,3,FALSE)*IF($P$25="Invocador",0.5,1))</f>
        <v/>
      </c>
      <c r="S42" s="614"/>
      <c r="T42" s="512" t="str">
        <f t="shared" si="1"/>
        <v>Conjuros</v>
      </c>
      <c r="U42" s="31"/>
      <c r="V42" s="715">
        <f>IF(AC42="",0,VLOOKUP(AC42,Tablas!$M$1052:$N$1061,2))</f>
        <v>0</v>
      </c>
      <c r="W42" s="4586"/>
      <c r="X42" s="3787"/>
      <c r="Y42" s="4596"/>
      <c r="Z42" s="4597"/>
      <c r="AA42" s="4597"/>
      <c r="AB42" s="4598"/>
      <c r="AC42" s="579" t="str">
        <f>IF(Místicos!Y42=0,"",VLOOKUP(Místicos!Y42,Tabla_Conjuros,3,FALSE))</f>
        <v/>
      </c>
      <c r="AD42" s="2617" t="str">
        <f t="shared" si="0"/>
        <v/>
      </c>
      <c r="AE42" s="4586"/>
      <c r="AF42" s="3787"/>
      <c r="AG42" s="4596"/>
      <c r="AH42" s="4597"/>
      <c r="AI42" s="4597"/>
      <c r="AJ42" s="4598"/>
      <c r="AK42" s="1578"/>
      <c r="AL42" s="1240">
        <f>IF(Místicos!AG42=0,0,VLOOKUP(Místicos!AG42,Tabla_Conjuros,3,FALSE)-10)</f>
        <v>0</v>
      </c>
      <c r="AM42" s="1415" t="str">
        <f t="shared" si="2"/>
        <v>Conjuros_LibreAcceso</v>
      </c>
      <c r="AN42" s="512"/>
      <c r="AO42" s="780"/>
      <c r="AP42" s="784">
        <v>-9</v>
      </c>
      <c r="AQ42" s="4767" t="s">
        <v>7089</v>
      </c>
      <c r="AR42" s="4768"/>
      <c r="AS42" s="4768"/>
      <c r="AT42" s="4768"/>
      <c r="AU42" s="4768"/>
      <c r="AV42" s="4768"/>
      <c r="AW42" s="4768"/>
      <c r="AX42" s="791"/>
      <c r="AY42" s="611"/>
      <c r="AZ42" s="2900"/>
      <c r="BA42" s="1872" t="b">
        <f t="shared" si="4"/>
        <v>0</v>
      </c>
      <c r="BB42" s="2930" t="b">
        <f t="shared" si="5"/>
        <v>0</v>
      </c>
      <c r="BC42" s="2930" t="b">
        <f t="shared" si="6"/>
        <v>0</v>
      </c>
      <c r="BD42" s="1872" t="b">
        <f t="shared" si="7"/>
        <v>0</v>
      </c>
      <c r="BE42" s="1872" t="b">
        <f t="shared" si="8"/>
        <v>0</v>
      </c>
      <c r="BF42" s="1872" t="b">
        <f t="shared" si="9"/>
        <v>0</v>
      </c>
      <c r="BG42" s="1872" t="b">
        <f t="shared" si="10"/>
        <v>0</v>
      </c>
      <c r="BH42" s="1872"/>
      <c r="BI42" s="1872"/>
      <c r="BJ42" s="1872"/>
      <c r="BK42" s="1872"/>
    </row>
    <row r="43" spans="1:63" ht="12" customHeight="1" x14ac:dyDescent="0.2">
      <c r="A43" s="31"/>
      <c r="B43" s="513"/>
      <c r="C43" s="4538"/>
      <c r="D43" s="4538"/>
      <c r="E43" s="4538"/>
      <c r="F43" s="4538"/>
      <c r="G43" s="4538"/>
      <c r="H43" s="1604"/>
      <c r="J43" s="4680"/>
      <c r="K43" s="4681"/>
      <c r="L43" s="4681"/>
      <c r="M43" s="4681"/>
      <c r="N43" s="4681"/>
      <c r="O43" s="4681"/>
      <c r="P43" s="681" t="str">
        <f>IF(J43=0,"",VLOOKUP(J43,Tablas!$AB$1041:$AD$1210,2,FALSE))</f>
        <v/>
      </c>
      <c r="Q43" s="705" t="str">
        <f>IF(J43=0,"",VLOOKUP(J43,Tablas!$AB$1041:$AD$1210,3,FALSE)*IF($P$25="Invocador",0.5,1))</f>
        <v/>
      </c>
      <c r="S43" s="614"/>
      <c r="T43" s="512" t="str">
        <f t="shared" si="1"/>
        <v>Conjuros</v>
      </c>
      <c r="U43" s="31"/>
      <c r="V43" s="715">
        <f>IF(AC43="",0,VLOOKUP(AC43,Tablas!$M$1052:$N$1061,2))</f>
        <v>0</v>
      </c>
      <c r="W43" s="4587"/>
      <c r="X43" s="3790"/>
      <c r="Y43" s="4599"/>
      <c r="Z43" s="4600"/>
      <c r="AA43" s="4600"/>
      <c r="AB43" s="4601"/>
      <c r="AC43" s="578" t="str">
        <f>IF(Místicos!Y43=0,"",VLOOKUP(Místicos!Y43,Tabla_Conjuros,3,FALSE))</f>
        <v/>
      </c>
      <c r="AD43" s="2617" t="str">
        <f t="shared" si="0"/>
        <v/>
      </c>
      <c r="AE43" s="4592"/>
      <c r="AF43" s="4593"/>
      <c r="AG43" s="4599"/>
      <c r="AH43" s="4600"/>
      <c r="AI43" s="4600"/>
      <c r="AJ43" s="4601"/>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00"/>
      <c r="BA43" s="1872" t="b">
        <f t="shared" si="4"/>
        <v>0</v>
      </c>
      <c r="BB43" s="2930" t="b">
        <f t="shared" si="5"/>
        <v>0</v>
      </c>
      <c r="BC43" s="2930" t="b">
        <f t="shared" si="6"/>
        <v>0</v>
      </c>
      <c r="BD43" s="1872" t="b">
        <f t="shared" si="7"/>
        <v>0</v>
      </c>
      <c r="BE43" s="1872" t="b">
        <f t="shared" si="8"/>
        <v>0</v>
      </c>
      <c r="BF43" s="1872" t="b">
        <f t="shared" si="9"/>
        <v>0</v>
      </c>
      <c r="BG43" s="1872" t="b">
        <f t="shared" si="10"/>
        <v>0</v>
      </c>
      <c r="BH43" s="1872"/>
      <c r="BI43" s="1872"/>
      <c r="BJ43" s="1872"/>
      <c r="BK43" s="1872"/>
    </row>
    <row r="44" spans="1:63" ht="12" customHeight="1" x14ac:dyDescent="0.2">
      <c r="A44" s="31"/>
      <c r="B44" s="513"/>
      <c r="C44" s="4537"/>
      <c r="D44" s="4537"/>
      <c r="E44" s="4537"/>
      <c r="F44" s="4537"/>
      <c r="G44" s="4537"/>
      <c r="H44" s="1649"/>
      <c r="J44" s="4535"/>
      <c r="K44" s="4536"/>
      <c r="L44" s="4536"/>
      <c r="M44" s="4536"/>
      <c r="N44" s="4536"/>
      <c r="O44" s="4536"/>
      <c r="P44" s="682" t="str">
        <f>IF(J44=0,"",VLOOKUP(J44,Tablas!$AB$1041:$AD$1210,2,FALSE))</f>
        <v/>
      </c>
      <c r="Q44" s="706" t="str">
        <f>IF(J44=0,"",VLOOKUP(J44,Tablas!$AB$1041:$AD$1210,3,FALSE)*IF($P$25="Invocador",0.5,1))</f>
        <v/>
      </c>
      <c r="S44" s="614"/>
      <c r="T44" s="512" t="str">
        <f t="shared" si="1"/>
        <v>Conjuros</v>
      </c>
      <c r="U44" s="31"/>
      <c r="V44" s="715">
        <f>IF(AC44="",0,VLOOKUP(AC44,Tablas!$M$1052:$N$1061,2))</f>
        <v>0</v>
      </c>
      <c r="W44" s="4586"/>
      <c r="X44" s="3787"/>
      <c r="Y44" s="4596"/>
      <c r="Z44" s="4597"/>
      <c r="AA44" s="4597"/>
      <c r="AB44" s="4598"/>
      <c r="AC44" s="579" t="str">
        <f>IF(Místicos!Y44=0,"",VLOOKUP(Místicos!Y44,Tabla_Conjuros,3,FALSE))</f>
        <v/>
      </c>
      <c r="AD44" s="2617" t="str">
        <f t="shared" si="0"/>
        <v/>
      </c>
      <c r="AE44" s="4586"/>
      <c r="AF44" s="3787"/>
      <c r="AG44" s="4596"/>
      <c r="AH44" s="4597"/>
      <c r="AI44" s="4597"/>
      <c r="AJ44" s="4598"/>
      <c r="AK44" s="1578"/>
      <c r="AL44" s="1240">
        <f>IF(Místicos!AG44=0,0,VLOOKUP(Místicos!AG44,Tabla_Conjuros,3,FALSE)-10)</f>
        <v>0</v>
      </c>
      <c r="AM44" s="1415" t="str">
        <f t="shared" si="2"/>
        <v>Conjuros_LibreAcceso</v>
      </c>
      <c r="AN44" s="512"/>
      <c r="AO44" s="780"/>
      <c r="AP44" s="4764" t="str">
        <f>IF(OR(AT10="General",AT10="Magia Natural"),"",AT10)</f>
        <v/>
      </c>
      <c r="AQ44" s="4764"/>
      <c r="AR44" s="4764"/>
      <c r="AS44" s="4764"/>
      <c r="AT44" s="4764"/>
      <c r="AU44" s="4764"/>
      <c r="AV44" s="4764"/>
      <c r="AW44" s="4764"/>
      <c r="AX44" s="791"/>
      <c r="AY44" s="611"/>
      <c r="AZ44" s="2900"/>
      <c r="BA44" s="1872" t="b">
        <f t="shared" si="4"/>
        <v>0</v>
      </c>
      <c r="BB44" s="2930" t="b">
        <f t="shared" si="5"/>
        <v>0</v>
      </c>
      <c r="BC44" s="2930" t="b">
        <f t="shared" si="6"/>
        <v>0</v>
      </c>
      <c r="BD44" s="1872" t="b">
        <f t="shared" si="7"/>
        <v>0</v>
      </c>
      <c r="BE44" s="1872" t="b">
        <f t="shared" si="8"/>
        <v>0</v>
      </c>
      <c r="BF44" s="1872" t="b">
        <f t="shared" si="9"/>
        <v>0</v>
      </c>
      <c r="BG44" s="1872" t="b">
        <f t="shared" si="10"/>
        <v>0</v>
      </c>
      <c r="BH44" s="1872"/>
      <c r="BI44" s="1872"/>
      <c r="BJ44" s="1872"/>
      <c r="BK44" s="1872"/>
    </row>
    <row r="45" spans="1:63" ht="12" customHeight="1" x14ac:dyDescent="0.2">
      <c r="A45" s="31"/>
      <c r="B45" s="513"/>
      <c r="C45" s="4538"/>
      <c r="D45" s="4538"/>
      <c r="E45" s="4538"/>
      <c r="F45" s="4538"/>
      <c r="G45" s="4538"/>
      <c r="H45" s="1604"/>
      <c r="J45" s="4680"/>
      <c r="K45" s="4681"/>
      <c r="L45" s="4681"/>
      <c r="M45" s="4681"/>
      <c r="N45" s="4681"/>
      <c r="O45" s="4681"/>
      <c r="P45" s="681" t="str">
        <f>IF(J45=0,"",VLOOKUP(J45,Tablas!$AB$1041:$AD$1210,2,FALSE))</f>
        <v/>
      </c>
      <c r="Q45" s="705" t="str">
        <f>IF(J45=0,"",VLOOKUP(J45,Tablas!$AB$1041:$AD$1210,3,FALSE)*IF($P$25="Invocador",0.5,1))</f>
        <v/>
      </c>
      <c r="S45" s="614"/>
      <c r="T45" s="512" t="str">
        <f t="shared" si="1"/>
        <v>Conjuros</v>
      </c>
      <c r="U45" s="31"/>
      <c r="V45" s="715">
        <f>IF(AC45="",0,VLOOKUP(AC45,Tablas!$M$1052:$N$1061,2))</f>
        <v>0</v>
      </c>
      <c r="W45" s="4587"/>
      <c r="X45" s="3790"/>
      <c r="Y45" s="4599"/>
      <c r="Z45" s="4600"/>
      <c r="AA45" s="4600"/>
      <c r="AB45" s="4601"/>
      <c r="AC45" s="578" t="str">
        <f>IF(Místicos!Y45=0,"",VLOOKUP(Místicos!Y45,Tabla_Conjuros,3,FALSE))</f>
        <v/>
      </c>
      <c r="AD45" s="2617" t="str">
        <f t="shared" si="0"/>
        <v/>
      </c>
      <c r="AE45" s="4592"/>
      <c r="AF45" s="4593"/>
      <c r="AG45" s="4599"/>
      <c r="AH45" s="4600"/>
      <c r="AI45" s="4600"/>
      <c r="AJ45" s="4601"/>
      <c r="AK45" s="1650"/>
      <c r="AL45" s="1240">
        <f>IF(Místicos!AG45=0,0,VLOOKUP(Místicos!AG45,Tabla_Conjuros,3,FALSE)-10)</f>
        <v>0</v>
      </c>
      <c r="AM45" s="1415" t="str">
        <f t="shared" si="2"/>
        <v>Conjuros_LibreAcceso</v>
      </c>
      <c r="AN45" s="512"/>
      <c r="AO45" s="780"/>
      <c r="AX45" s="791"/>
      <c r="AY45" s="611"/>
      <c r="AZ45" s="2900"/>
      <c r="BA45" s="1872" t="b">
        <f t="shared" si="4"/>
        <v>0</v>
      </c>
      <c r="BB45" s="2930" t="b">
        <f t="shared" si="5"/>
        <v>0</v>
      </c>
      <c r="BC45" s="2930" t="b">
        <f t="shared" si="6"/>
        <v>0</v>
      </c>
      <c r="BD45" s="1872" t="b">
        <f t="shared" si="7"/>
        <v>0</v>
      </c>
      <c r="BE45" s="1872" t="b">
        <f t="shared" si="8"/>
        <v>0</v>
      </c>
      <c r="BF45" s="1872" t="b">
        <f t="shared" si="9"/>
        <v>0</v>
      </c>
      <c r="BG45" s="1872" t="b">
        <f t="shared" si="10"/>
        <v>0</v>
      </c>
      <c r="BH45" s="1872"/>
      <c r="BI45" s="1872"/>
      <c r="BJ45" s="1872"/>
      <c r="BK45" s="1872"/>
    </row>
    <row r="46" spans="1:63" ht="12" customHeight="1" x14ac:dyDescent="0.2">
      <c r="A46" s="31"/>
      <c r="B46" s="513"/>
      <c r="C46" s="4537"/>
      <c r="D46" s="4537"/>
      <c r="E46" s="4537"/>
      <c r="F46" s="4537"/>
      <c r="G46" s="4537"/>
      <c r="H46" s="1649"/>
      <c r="J46" s="4535"/>
      <c r="K46" s="4536"/>
      <c r="L46" s="4536"/>
      <c r="M46" s="4536"/>
      <c r="N46" s="4536"/>
      <c r="O46" s="4536"/>
      <c r="P46" s="682" t="str">
        <f>IF(J46=0,"",VLOOKUP(J46,Tablas!$AB$1041:$AD$1210,2,FALSE))</f>
        <v/>
      </c>
      <c r="Q46" s="706" t="str">
        <f>IF(J46=0,"",VLOOKUP(J46,Tablas!$AB$1041:$AD$1210,3,FALSE)*IF($P$25="Invocador",0.5,1))</f>
        <v/>
      </c>
      <c r="S46" s="614"/>
      <c r="T46" s="512" t="str">
        <f t="shared" si="1"/>
        <v>Conjuros</v>
      </c>
      <c r="U46" s="31"/>
      <c r="V46" s="715">
        <f>IF(AC46="",0,VLOOKUP(AC46,Tablas!$M$1052:$N$1061,2))</f>
        <v>0</v>
      </c>
      <c r="W46" s="4586"/>
      <c r="X46" s="3787"/>
      <c r="Y46" s="4596"/>
      <c r="Z46" s="4597"/>
      <c r="AA46" s="4597"/>
      <c r="AB46" s="4598"/>
      <c r="AC46" s="579" t="str">
        <f>IF(Místicos!Y46=0,"",VLOOKUP(Místicos!Y46,Tabla_Conjuros,3,FALSE))</f>
        <v/>
      </c>
      <c r="AD46" s="2617" t="str">
        <f t="shared" si="0"/>
        <v/>
      </c>
      <c r="AE46" s="4586"/>
      <c r="AF46" s="3787"/>
      <c r="AG46" s="4596"/>
      <c r="AH46" s="4597"/>
      <c r="AI46" s="4597"/>
      <c r="AJ46" s="4598"/>
      <c r="AK46" s="1578"/>
      <c r="AL46" s="1240">
        <f>IF(Místicos!AG46=0,0,VLOOKUP(Místicos!AG46,Tabla_Conjuros,3,FALSE)-10)</f>
        <v>0</v>
      </c>
      <c r="AM46" s="1415" t="str">
        <f t="shared" si="2"/>
        <v>Conjuros_LibreAcceso</v>
      </c>
      <c r="AN46" s="512"/>
      <c r="AO46" s="780"/>
      <c r="AP46" s="4581"/>
      <c r="AQ46" s="4581"/>
      <c r="AR46" s="4595" t="str">
        <f>IF($BA$11,"Caligrafía ritual",IF($BB$11,"Vínculos Físicos",IF($BC$11,"Zonas Espirituales","""")))</f>
        <v>"</v>
      </c>
      <c r="AS46" s="4595"/>
      <c r="AT46" s="4595"/>
      <c r="AU46" s="4595"/>
      <c r="AV46" s="4605"/>
      <c r="AW46" s="4605"/>
      <c r="AX46" s="791"/>
      <c r="AY46" s="611"/>
      <c r="AZ46" s="2900"/>
      <c r="BA46" s="1872" t="b">
        <f t="shared" si="4"/>
        <v>0</v>
      </c>
      <c r="BB46" s="2930" t="b">
        <f t="shared" si="5"/>
        <v>0</v>
      </c>
      <c r="BC46" s="2930" t="b">
        <f t="shared" si="6"/>
        <v>0</v>
      </c>
      <c r="BD46" s="1872" t="b">
        <f t="shared" si="7"/>
        <v>0</v>
      </c>
      <c r="BE46" s="1872" t="b">
        <f t="shared" si="8"/>
        <v>0</v>
      </c>
      <c r="BF46" s="1872" t="b">
        <f t="shared" si="9"/>
        <v>0</v>
      </c>
      <c r="BG46" s="1872" t="b">
        <f t="shared" si="10"/>
        <v>0</v>
      </c>
      <c r="BH46" s="1872"/>
      <c r="BI46" s="1872"/>
      <c r="BJ46" s="1872"/>
      <c r="BK46" s="1872"/>
    </row>
    <row r="47" spans="1:63" ht="12" customHeight="1" x14ac:dyDescent="0.2">
      <c r="A47" s="31"/>
      <c r="B47" s="513"/>
      <c r="C47" s="4538"/>
      <c r="D47" s="4538"/>
      <c r="E47" s="4538"/>
      <c r="F47" s="4538"/>
      <c r="G47" s="4538"/>
      <c r="H47" s="1604"/>
      <c r="J47" s="4680"/>
      <c r="K47" s="4681"/>
      <c r="L47" s="4681"/>
      <c r="M47" s="4681"/>
      <c r="N47" s="4681"/>
      <c r="O47" s="4681"/>
      <c r="P47" s="681" t="str">
        <f>IF(J47=0,"",VLOOKUP(J47,Tablas!$AB$1041:$AD$1210,2,FALSE))</f>
        <v/>
      </c>
      <c r="Q47" s="705" t="str">
        <f>IF(J47=0,"",VLOOKUP(J47,Tablas!$AB$1041:$AD$1210,3,FALSE)*IF($P$25="Invocador",0.5,1))</f>
        <v/>
      </c>
      <c r="S47" s="614"/>
      <c r="T47" s="512" t="str">
        <f t="shared" si="1"/>
        <v>Conjuros</v>
      </c>
      <c r="U47" s="31"/>
      <c r="V47" s="715">
        <f>IF(AC47="",0,VLOOKUP(AC47,Tablas!$M$1052:$N$1061,2))</f>
        <v>0</v>
      </c>
      <c r="W47" s="4587"/>
      <c r="X47" s="3790"/>
      <c r="Y47" s="4599"/>
      <c r="Z47" s="4600"/>
      <c r="AA47" s="4600"/>
      <c r="AB47" s="4601"/>
      <c r="AC47" s="578" t="str">
        <f>IF(Místicos!Y47=0,"",VLOOKUP(Místicos!Y47,Tabla_Conjuros,3,FALSE))</f>
        <v/>
      </c>
      <c r="AD47" s="2617" t="str">
        <f t="shared" si="0"/>
        <v/>
      </c>
      <c r="AE47" s="4592"/>
      <c r="AF47" s="4593"/>
      <c r="AG47" s="4599"/>
      <c r="AH47" s="4600"/>
      <c r="AI47" s="4600"/>
      <c r="AJ47" s="4601"/>
      <c r="AK47" s="1650"/>
      <c r="AL47" s="1240">
        <f>IF(Místicos!AG47=0,0,VLOOKUP(Místicos!AG47,Tabla_Conjuros,3,FALSE)-10)</f>
        <v>0</v>
      </c>
      <c r="AM47" s="1415" t="str">
        <f t="shared" si="2"/>
        <v>Conjuros_LibreAcceso</v>
      </c>
      <c r="AN47" s="512"/>
      <c r="AO47" s="780"/>
      <c r="AP47" s="4581" t="str">
        <f>IF($BA$11,"Nv. Conjuro  Dif.",IF($BB$11,"",IF($BC$11,"Tipo de zona","""")))</f>
        <v>"</v>
      </c>
      <c r="AQ47" s="4581"/>
      <c r="AR47" s="4605" t="str">
        <f>IF($BA$11,"Tiempo empleado en la preparación",IF($BB$11,"Objeto a consumir - Bono a RM",IF($BC$11,"Descripción","")))</f>
        <v/>
      </c>
      <c r="AS47" s="4605"/>
      <c r="AT47" s="4605"/>
      <c r="AU47" s="4605"/>
      <c r="AV47" s="4605" t="str">
        <f>IF($BA$11,"Bono",IF($BB$11,"",IF($BC$11,"Llamar espíritus","")))</f>
        <v/>
      </c>
      <c r="AW47" s="4605"/>
      <c r="AX47" s="791"/>
      <c r="AY47" s="611"/>
      <c r="AZ47" s="2900"/>
      <c r="BA47" s="1872" t="b">
        <f t="shared" si="4"/>
        <v>0</v>
      </c>
      <c r="BB47" s="2930" t="b">
        <f t="shared" si="5"/>
        <v>0</v>
      </c>
      <c r="BC47" s="2930" t="b">
        <f t="shared" si="6"/>
        <v>0</v>
      </c>
      <c r="BD47" s="1872" t="b">
        <f t="shared" si="7"/>
        <v>0</v>
      </c>
      <c r="BE47" s="1872" t="b">
        <f t="shared" si="8"/>
        <v>0</v>
      </c>
      <c r="BF47" s="1872" t="b">
        <f t="shared" si="9"/>
        <v>0</v>
      </c>
      <c r="BG47" s="1872" t="b">
        <f t="shared" si="10"/>
        <v>0</v>
      </c>
      <c r="BH47" s="1872"/>
      <c r="BI47" s="1872"/>
      <c r="BJ47" s="1872"/>
      <c r="BK47" s="1872"/>
    </row>
    <row r="48" spans="1:63" ht="12" customHeight="1" x14ac:dyDescent="0.2">
      <c r="A48" s="31"/>
      <c r="B48" s="513"/>
      <c r="C48" s="4537"/>
      <c r="D48" s="4537"/>
      <c r="E48" s="4537"/>
      <c r="F48" s="4537"/>
      <c r="G48" s="4537"/>
      <c r="H48" s="1649"/>
      <c r="J48" s="4535"/>
      <c r="K48" s="4536"/>
      <c r="L48" s="4536"/>
      <c r="M48" s="4536"/>
      <c r="N48" s="4536"/>
      <c r="O48" s="4536"/>
      <c r="P48" s="682" t="str">
        <f>IF(J48=0,"",VLOOKUP(J48,Tablas!$AB$1041:$AD$1210,2,FALSE))</f>
        <v/>
      </c>
      <c r="Q48" s="706" t="str">
        <f>IF(J48=0,"",VLOOKUP(J48,Tablas!$AB$1041:$AD$1210,3,FALSE)*IF($P$25="Invocador",0.5,1))</f>
        <v/>
      </c>
      <c r="S48" s="614"/>
      <c r="T48" s="512" t="str">
        <f t="shared" si="1"/>
        <v>Conjuros</v>
      </c>
      <c r="U48" s="31"/>
      <c r="V48" s="715">
        <f>IF(AC48="",0,VLOOKUP(AC48,Tablas!$M$1052:$N$1061,2))</f>
        <v>0</v>
      </c>
      <c r="W48" s="4586"/>
      <c r="X48" s="3787"/>
      <c r="Y48" s="4596"/>
      <c r="Z48" s="4597"/>
      <c r="AA48" s="4597"/>
      <c r="AB48" s="4598"/>
      <c r="AC48" s="579" t="str">
        <f>IF(Místicos!Y48=0,"",VLOOKUP(Místicos!Y48,Tabla_Conjuros,3,FALSE))</f>
        <v/>
      </c>
      <c r="AD48" s="2617" t="str">
        <f t="shared" si="0"/>
        <v/>
      </c>
      <c r="AE48" s="4586"/>
      <c r="AF48" s="3787"/>
      <c r="AG48" s="4596"/>
      <c r="AH48" s="4597"/>
      <c r="AI48" s="4597"/>
      <c r="AJ48" s="4598"/>
      <c r="AK48" s="1578"/>
      <c r="AL48" s="1240">
        <f>IF(Místicos!AG48=0,0,VLOOKUP(Místicos!AG48,Tabla_Conjuros,3,FALSE)-10)</f>
        <v>0</v>
      </c>
      <c r="AM48" s="1415" t="str">
        <f t="shared" si="2"/>
        <v>Conjuros_LibreAcceso</v>
      </c>
      <c r="AN48" s="512"/>
      <c r="AO48" s="780"/>
      <c r="AP48" s="3883" t="str">
        <f t="shared" ref="AP48:AP58" si="11">IF($BA$11,BA13,IF($BB$11,BB13,IF($BC$11,BC13,"")))</f>
        <v/>
      </c>
      <c r="AQ48" s="3883"/>
      <c r="AR48" s="3568" t="str">
        <f t="shared" ref="AR48:AR58" si="12">IF($BA$11,BD13,IF($BB$11,BE13,IF($BC$11,BF13,"")))</f>
        <v/>
      </c>
      <c r="AS48" s="3568"/>
      <c r="AT48" s="3568"/>
      <c r="AU48" s="3568"/>
      <c r="AV48" s="3568" t="str">
        <f t="shared" ref="AV48:AV55" si="13">IF($BA$11,BG13,IF($BB$11,BH13,IF($BC$11,BI13,"")))</f>
        <v/>
      </c>
      <c r="AW48" s="3568"/>
      <c r="AX48" s="791"/>
      <c r="AY48" s="611"/>
      <c r="AZ48" s="2900"/>
      <c r="BA48" s="1872" t="b">
        <f t="shared" si="4"/>
        <v>0</v>
      </c>
      <c r="BB48" s="2930" t="b">
        <f t="shared" si="5"/>
        <v>0</v>
      </c>
      <c r="BC48" s="2930" t="b">
        <f t="shared" si="6"/>
        <v>0</v>
      </c>
      <c r="BD48" s="1872" t="b">
        <f t="shared" si="7"/>
        <v>0</v>
      </c>
      <c r="BE48" s="1872" t="b">
        <f t="shared" si="8"/>
        <v>0</v>
      </c>
      <c r="BF48" s="1872" t="b">
        <f t="shared" si="9"/>
        <v>0</v>
      </c>
      <c r="BG48" s="1872" t="b">
        <f t="shared" si="10"/>
        <v>0</v>
      </c>
      <c r="BH48" s="1872"/>
      <c r="BI48" s="1872"/>
      <c r="BJ48" s="1872"/>
      <c r="BK48" s="1872"/>
    </row>
    <row r="49" spans="1:63" ht="12" customHeight="1" x14ac:dyDescent="0.2">
      <c r="A49" s="31"/>
      <c r="B49" s="513"/>
      <c r="C49" s="4538"/>
      <c r="D49" s="4538"/>
      <c r="E49" s="4538"/>
      <c r="F49" s="4538"/>
      <c r="G49" s="4538"/>
      <c r="H49" s="1604"/>
      <c r="J49" s="4680"/>
      <c r="K49" s="4681"/>
      <c r="L49" s="4681"/>
      <c r="M49" s="4681"/>
      <c r="N49" s="4681"/>
      <c r="O49" s="4681"/>
      <c r="P49" s="681" t="str">
        <f>IF(J49=0,"",VLOOKUP(J49,Tablas!$AB$1041:$AD$1210,2,FALSE))</f>
        <v/>
      </c>
      <c r="Q49" s="705" t="str">
        <f>IF(J49=0,"",VLOOKUP(J49,Tablas!$AB$1041:$AD$1210,3,FALSE)*IF($P$25="Invocador",0.5,1))</f>
        <v/>
      </c>
      <c r="S49" s="614"/>
      <c r="T49" s="512" t="str">
        <f t="shared" si="1"/>
        <v>Conjuros</v>
      </c>
      <c r="U49" s="31"/>
      <c r="V49" s="715">
        <f>IF(AC49="",0,VLOOKUP(AC49,Tablas!$M$1052:$N$1061,2))</f>
        <v>0</v>
      </c>
      <c r="W49" s="4587"/>
      <c r="X49" s="3790"/>
      <c r="Y49" s="4599"/>
      <c r="Z49" s="4600"/>
      <c r="AA49" s="4600"/>
      <c r="AB49" s="4601"/>
      <c r="AC49" s="578" t="str">
        <f>IF(Místicos!Y49=0,"",VLOOKUP(Místicos!Y49,Tabla_Conjuros,3,FALSE))</f>
        <v/>
      </c>
      <c r="AD49" s="2617" t="str">
        <f t="shared" si="0"/>
        <v/>
      </c>
      <c r="AE49" s="4592"/>
      <c r="AF49" s="4593"/>
      <c r="AG49" s="4599"/>
      <c r="AH49" s="4600"/>
      <c r="AI49" s="4600"/>
      <c r="AJ49" s="4601"/>
      <c r="AK49" s="1650"/>
      <c r="AL49" s="1240">
        <f>IF(Místicos!AG49=0,0,VLOOKUP(Místicos!AG49,Tabla_Conjuros,3,FALSE)-10)</f>
        <v>0</v>
      </c>
      <c r="AM49" s="1415" t="str">
        <f t="shared" si="2"/>
        <v>Conjuros_LibreAcceso</v>
      </c>
      <c r="AN49" s="512"/>
      <c r="AO49" s="780"/>
      <c r="AP49" s="3883" t="str">
        <f t="shared" si="11"/>
        <v/>
      </c>
      <c r="AQ49" s="3883"/>
      <c r="AR49" s="3568" t="str">
        <f t="shared" si="12"/>
        <v/>
      </c>
      <c r="AS49" s="3568"/>
      <c r="AT49" s="3568"/>
      <c r="AU49" s="3568"/>
      <c r="AV49" s="3568" t="str">
        <f t="shared" si="13"/>
        <v/>
      </c>
      <c r="AW49" s="3568"/>
      <c r="AX49" s="791"/>
      <c r="AY49" s="611"/>
      <c r="AZ49" s="2900"/>
      <c r="BA49" s="1872" t="b">
        <f t="shared" si="4"/>
        <v>0</v>
      </c>
      <c r="BB49" s="2930" t="b">
        <f t="shared" si="5"/>
        <v>0</v>
      </c>
      <c r="BC49" s="2930" t="b">
        <f t="shared" si="6"/>
        <v>0</v>
      </c>
      <c r="BD49" s="1872" t="b">
        <f t="shared" si="7"/>
        <v>0</v>
      </c>
      <c r="BE49" s="1872" t="b">
        <f t="shared" si="8"/>
        <v>0</v>
      </c>
      <c r="BF49" s="1872" t="b">
        <f t="shared" si="9"/>
        <v>0</v>
      </c>
      <c r="BG49" s="1872" t="b">
        <f t="shared" si="10"/>
        <v>0</v>
      </c>
      <c r="BH49" s="1872"/>
      <c r="BI49" s="1872"/>
      <c r="BJ49" s="1872"/>
      <c r="BK49" s="1872"/>
    </row>
    <row r="50" spans="1:63" ht="12" customHeight="1" thickBot="1" x14ac:dyDescent="0.25">
      <c r="A50" s="31"/>
      <c r="B50" s="513"/>
      <c r="C50" s="4537"/>
      <c r="D50" s="4537"/>
      <c r="E50" s="4537"/>
      <c r="F50" s="4537"/>
      <c r="G50" s="4537"/>
      <c r="H50" s="1649"/>
      <c r="J50" s="4535"/>
      <c r="K50" s="4536"/>
      <c r="L50" s="4536"/>
      <c r="M50" s="4536"/>
      <c r="N50" s="4536"/>
      <c r="O50" s="4536"/>
      <c r="P50" s="682" t="str">
        <f>IF(J50=0,"",VLOOKUP(J50,Tablas!$AB$1041:$AD$1210,2,FALSE))</f>
        <v/>
      </c>
      <c r="Q50" s="706" t="str">
        <f>IF(J50=0,"",VLOOKUP(J50,Tablas!$AB$1041:$AD$1210,3,FALSE)*IF($P$25="Invocador",0.5,1))</f>
        <v/>
      </c>
      <c r="S50" s="614"/>
      <c r="T50" s="512" t="str">
        <f t="shared" si="1"/>
        <v>Conjuros</v>
      </c>
      <c r="U50" s="31"/>
      <c r="V50" s="715">
        <f>IF(AC50="",0,VLOOKUP(AC50,Tablas!$M$1052:$N$1061,2))</f>
        <v>0</v>
      </c>
      <c r="W50" s="4685"/>
      <c r="X50" s="4686"/>
      <c r="Y50" s="4682"/>
      <c r="Z50" s="4683"/>
      <c r="AA50" s="4683"/>
      <c r="AB50" s="4684"/>
      <c r="AC50" s="722" t="str">
        <f>IF(Místicos!Y50=0,"",VLOOKUP(Místicos!Y50,Tabla_Conjuros,3,FALSE))</f>
        <v/>
      </c>
      <c r="AD50" s="2617" t="str">
        <f t="shared" si="0"/>
        <v/>
      </c>
      <c r="AE50" s="4685"/>
      <c r="AF50" s="4686"/>
      <c r="AG50" s="4682"/>
      <c r="AH50" s="4683"/>
      <c r="AI50" s="4683"/>
      <c r="AJ50" s="4684"/>
      <c r="AK50" s="1645"/>
      <c r="AL50" s="1240">
        <f>IF(Místicos!AG50=0,0,VLOOKUP(Místicos!AG50,Tabla_Conjuros,3,FALSE)-10)</f>
        <v>0</v>
      </c>
      <c r="AM50" s="1415" t="str">
        <f t="shared" si="2"/>
        <v>Conjuros_LibreAcceso</v>
      </c>
      <c r="AN50" s="512"/>
      <c r="AO50" s="780"/>
      <c r="AP50" s="3883" t="str">
        <f t="shared" si="11"/>
        <v/>
      </c>
      <c r="AQ50" s="3883"/>
      <c r="AR50" s="3568" t="str">
        <f t="shared" si="12"/>
        <v/>
      </c>
      <c r="AS50" s="3568"/>
      <c r="AT50" s="3568"/>
      <c r="AU50" s="3568"/>
      <c r="AV50" s="3568" t="str">
        <f t="shared" si="13"/>
        <v/>
      </c>
      <c r="AW50" s="3568"/>
      <c r="AX50" s="791"/>
      <c r="AY50" s="611"/>
      <c r="AZ50" s="2900"/>
      <c r="BA50" s="1872" t="b">
        <f t="shared" si="4"/>
        <v>0</v>
      </c>
      <c r="BB50" s="2930" t="b">
        <f t="shared" si="5"/>
        <v>0</v>
      </c>
      <c r="BC50" s="2930" t="b">
        <f t="shared" si="6"/>
        <v>0</v>
      </c>
      <c r="BD50" s="1872" t="b">
        <f t="shared" si="7"/>
        <v>0</v>
      </c>
      <c r="BE50" s="1872" t="b">
        <f t="shared" si="8"/>
        <v>0</v>
      </c>
      <c r="BF50" s="1872" t="b">
        <f t="shared" si="9"/>
        <v>0</v>
      </c>
      <c r="BG50" s="1872" t="b">
        <f t="shared" si="10"/>
        <v>0</v>
      </c>
      <c r="BH50" s="1872"/>
      <c r="BI50" s="1872"/>
      <c r="BJ50" s="1872"/>
      <c r="BK50" s="1872"/>
    </row>
    <row r="51" spans="1:63" ht="12" customHeight="1" thickBot="1" x14ac:dyDescent="0.25">
      <c r="A51" s="31"/>
      <c r="B51" s="513"/>
      <c r="C51" s="4538"/>
      <c r="D51" s="4538"/>
      <c r="E51" s="4538"/>
      <c r="F51" s="4538"/>
      <c r="G51" s="4538"/>
      <c r="H51" s="1604"/>
      <c r="J51" s="4680"/>
      <c r="K51" s="4681"/>
      <c r="L51" s="4681"/>
      <c r="M51" s="4681"/>
      <c r="N51" s="4681"/>
      <c r="O51" s="4681"/>
      <c r="P51" s="681" t="str">
        <f>IF(J51=0,"",VLOOKUP(J51,Tablas!$AB$1041:$AD$1210,2,FALSE))</f>
        <v/>
      </c>
      <c r="Q51" s="705" t="str">
        <f>IF(J51=0,"",VLOOKUP(J51,Tablas!$AB$1041:$AD$1210,3,FALSE)*IF($P$25="Invocador",0.5,1))</f>
        <v/>
      </c>
      <c r="S51" s="614"/>
      <c r="T51" s="512"/>
      <c r="U51" s="31"/>
      <c r="V51" s="716"/>
      <c r="AL51" s="1240"/>
      <c r="AM51" s="31"/>
      <c r="AN51" s="31"/>
      <c r="AO51" s="780"/>
      <c r="AP51" s="3883" t="str">
        <f t="shared" si="11"/>
        <v/>
      </c>
      <c r="AQ51" s="3883"/>
      <c r="AR51" s="3568" t="str">
        <f t="shared" si="12"/>
        <v/>
      </c>
      <c r="AS51" s="3568"/>
      <c r="AT51" s="3568"/>
      <c r="AU51" s="3568"/>
      <c r="AV51" s="3568" t="str">
        <f t="shared" si="13"/>
        <v/>
      </c>
      <c r="AW51" s="3568"/>
      <c r="AX51" s="791"/>
      <c r="AY51" s="611"/>
      <c r="AZ51" s="2900"/>
      <c r="BA51" s="1872" t="b">
        <f t="shared" si="4"/>
        <v>0</v>
      </c>
      <c r="BB51" s="2930" t="b">
        <f t="shared" si="5"/>
        <v>0</v>
      </c>
      <c r="BC51" s="2930" t="b">
        <f t="shared" si="6"/>
        <v>0</v>
      </c>
      <c r="BD51" s="1872" t="b">
        <f t="shared" si="7"/>
        <v>0</v>
      </c>
      <c r="BE51" s="1872" t="b">
        <f t="shared" si="8"/>
        <v>0</v>
      </c>
      <c r="BF51" s="1872" t="b">
        <f t="shared" si="9"/>
        <v>0</v>
      </c>
      <c r="BG51" s="1872" t="b">
        <f t="shared" si="10"/>
        <v>0</v>
      </c>
      <c r="BH51" s="1872"/>
      <c r="BI51" s="1872"/>
      <c r="BJ51" s="1872"/>
      <c r="BK51" s="1872"/>
    </row>
    <row r="52" spans="1:63" ht="12" customHeight="1" thickBot="1" x14ac:dyDescent="0.25">
      <c r="A52" s="31"/>
      <c r="B52" s="513"/>
      <c r="C52" s="4537"/>
      <c r="D52" s="4537"/>
      <c r="E52" s="4537"/>
      <c r="F52" s="4537"/>
      <c r="G52" s="4537"/>
      <c r="H52" s="1649"/>
      <c r="J52" s="4535"/>
      <c r="K52" s="4536"/>
      <c r="L52" s="4536"/>
      <c r="M52" s="4536"/>
      <c r="N52" s="4536"/>
      <c r="O52" s="4536"/>
      <c r="P52" s="682" t="str">
        <f>IF(J52=0,"",VLOOKUP(J52,Tablas!$AB$1041:$AD$1210,2,FALSE))</f>
        <v/>
      </c>
      <c r="Q52" s="706" t="str">
        <f>IF(J52=0,"",VLOOKUP(J52,Tablas!$AB$1041:$AD$1210,3,FALSE)*IF($P$25="Invocador",0.5,1))</f>
        <v/>
      </c>
      <c r="S52" s="614"/>
      <c r="T52" s="512"/>
      <c r="U52" s="31"/>
      <c r="V52" s="716"/>
      <c r="W52" s="3228" t="s">
        <v>1725</v>
      </c>
      <c r="X52" s="3229"/>
      <c r="Y52" s="3229"/>
      <c r="Z52" s="3229"/>
      <c r="AA52" s="3229"/>
      <c r="AB52" s="4689" t="s">
        <v>1553</v>
      </c>
      <c r="AC52" s="4689"/>
      <c r="AD52" s="4689"/>
      <c r="AE52" s="4689"/>
      <c r="AF52" s="4689"/>
      <c r="AG52" s="4689"/>
      <c r="AH52" s="4689"/>
      <c r="AI52" s="4689"/>
      <c r="AJ52" s="4689"/>
      <c r="AK52" s="4690"/>
      <c r="AL52" s="1240"/>
      <c r="AM52" s="31"/>
      <c r="AN52" s="31"/>
      <c r="AO52" s="780"/>
      <c r="AP52" s="3883" t="str">
        <f t="shared" si="11"/>
        <v/>
      </c>
      <c r="AQ52" s="3883"/>
      <c r="AR52" s="3568" t="str">
        <f t="shared" si="12"/>
        <v/>
      </c>
      <c r="AS52" s="3568"/>
      <c r="AT52" s="3568"/>
      <c r="AU52" s="3568"/>
      <c r="AV52" s="3568" t="str">
        <f t="shared" si="13"/>
        <v/>
      </c>
      <c r="AW52" s="3568"/>
      <c r="AX52" s="791"/>
      <c r="AY52" s="611"/>
      <c r="AZ52" s="2900"/>
      <c r="BA52" s="1872" t="b">
        <f t="shared" si="4"/>
        <v>0</v>
      </c>
      <c r="BB52" s="2930" t="b">
        <f t="shared" si="5"/>
        <v>0</v>
      </c>
      <c r="BC52" s="2930" t="b">
        <f t="shared" si="6"/>
        <v>0</v>
      </c>
      <c r="BD52" s="1872" t="b">
        <f t="shared" si="7"/>
        <v>0</v>
      </c>
      <c r="BE52" s="1872" t="b">
        <f t="shared" si="8"/>
        <v>0</v>
      </c>
      <c r="BF52" s="1872" t="b">
        <f t="shared" si="9"/>
        <v>0</v>
      </c>
      <c r="BG52" s="1872" t="b">
        <f t="shared" si="10"/>
        <v>0</v>
      </c>
      <c r="BH52" s="1872"/>
      <c r="BI52" s="1872"/>
      <c r="BJ52" s="1872"/>
      <c r="BK52" s="1872"/>
    </row>
    <row r="53" spans="1:63" ht="12" customHeight="1" x14ac:dyDescent="0.2">
      <c r="A53" s="31"/>
      <c r="B53" s="513"/>
      <c r="C53" s="4538"/>
      <c r="D53" s="4538"/>
      <c r="E53" s="4538"/>
      <c r="F53" s="4538"/>
      <c r="G53" s="4538"/>
      <c r="H53" s="1604"/>
      <c r="J53" s="4680"/>
      <c r="K53" s="4681"/>
      <c r="L53" s="4681"/>
      <c r="M53" s="4681"/>
      <c r="N53" s="4681"/>
      <c r="O53" s="4681"/>
      <c r="P53" s="681" t="str">
        <f>IF(J53=0,"",VLOOKUP(J53,Tablas!$AB$1041:$AD$1210,2,FALSE))</f>
        <v/>
      </c>
      <c r="Q53" s="705" t="str">
        <f>IF(J53=0,"",VLOOKUP(J53,Tablas!$AB$1041:$AD$1210,3,FALSE)*IF($P$25="Invocador",0.5,1))</f>
        <v/>
      </c>
      <c r="S53" s="614"/>
      <c r="T53" s="512"/>
      <c r="U53" s="31"/>
      <c r="V53" s="716"/>
      <c r="W53" s="4691" t="str">
        <f>IF(SUM(Tablas!$P$1139:$S$1181)=0,"",IF(Tablas!A1&gt;MAX(Tablas!$P$1139:$P$1181),"",VLOOKUP(Tablas!A1,Tablas!$P$1139:$T$1181,2,FALSE)))</f>
        <v/>
      </c>
      <c r="X53" s="3995"/>
      <c r="Y53" s="3995"/>
      <c r="Z53" s="3995"/>
      <c r="AA53" s="3995"/>
      <c r="AB53" s="4692" t="str">
        <f>IF(SUM(Tablas!$P$1139:$P$1183)=0,"",IF(Tablas!A1&gt;MAX(Tablas!$P$1139:$P$1183),"",VLOOKUP(Tablas!A1,Tablas!$P$1139:$T$1183,4,FALSE)))</f>
        <v/>
      </c>
      <c r="AC53" s="4693"/>
      <c r="AD53" s="4693"/>
      <c r="AE53" s="4693"/>
      <c r="AF53" s="4693"/>
      <c r="AG53" s="4693"/>
      <c r="AH53" s="4693"/>
      <c r="AI53" s="4693"/>
      <c r="AJ53" s="4693"/>
      <c r="AK53" s="4694"/>
      <c r="AL53" s="1240"/>
      <c r="AM53" s="31"/>
      <c r="AN53" s="31"/>
      <c r="AO53" s="780"/>
      <c r="AP53" s="3883" t="str">
        <f t="shared" si="11"/>
        <v/>
      </c>
      <c r="AQ53" s="3883"/>
      <c r="AR53" s="3568" t="str">
        <f t="shared" si="12"/>
        <v/>
      </c>
      <c r="AS53" s="3568"/>
      <c r="AT53" s="3568"/>
      <c r="AU53" s="3568"/>
      <c r="AV53" s="3568" t="str">
        <f t="shared" si="13"/>
        <v/>
      </c>
      <c r="AW53" s="3568"/>
      <c r="AX53" s="791"/>
      <c r="AY53" s="611"/>
      <c r="AZ53" s="2900"/>
      <c r="BA53" s="1872" t="b">
        <f t="shared" si="4"/>
        <v>0</v>
      </c>
      <c r="BB53" s="2930" t="b">
        <f t="shared" si="5"/>
        <v>0</v>
      </c>
      <c r="BC53" s="2930" t="b">
        <f t="shared" si="6"/>
        <v>0</v>
      </c>
      <c r="BD53" s="1872" t="b">
        <f t="shared" si="7"/>
        <v>0</v>
      </c>
      <c r="BE53" s="1872" t="b">
        <f t="shared" si="8"/>
        <v>0</v>
      </c>
      <c r="BF53" s="1872" t="b">
        <f t="shared" si="9"/>
        <v>0</v>
      </c>
      <c r="BG53" s="1872" t="b">
        <f t="shared" si="10"/>
        <v>0</v>
      </c>
      <c r="BH53" s="1872"/>
      <c r="BI53" s="1872"/>
      <c r="BJ53" s="1872"/>
      <c r="BK53" s="1872"/>
    </row>
    <row r="54" spans="1:63" ht="12" customHeight="1" x14ac:dyDescent="0.2">
      <c r="A54" s="31"/>
      <c r="B54" s="513"/>
      <c r="C54" s="4537"/>
      <c r="D54" s="4537"/>
      <c r="E54" s="4537"/>
      <c r="F54" s="4537"/>
      <c r="G54" s="4537"/>
      <c r="H54" s="1649"/>
      <c r="J54" s="4535"/>
      <c r="K54" s="4536"/>
      <c r="L54" s="4536"/>
      <c r="M54" s="4536"/>
      <c r="N54" s="4536"/>
      <c r="O54" s="4536"/>
      <c r="P54" s="682" t="str">
        <f>IF(J54=0,"",VLOOKUP(J54,Tablas!$AB$1041:$AD$1210,2,FALSE))</f>
        <v/>
      </c>
      <c r="Q54" s="706" t="str">
        <f>IF(J54=0,"",VLOOKUP(J54,Tablas!$AB$1041:$AD$1210,3,FALSE)*IF($P$25="Invocador",0.5,1))</f>
        <v/>
      </c>
      <c r="S54" s="614"/>
      <c r="T54" s="512"/>
      <c r="U54" s="31"/>
      <c r="V54" s="716"/>
      <c r="W54" s="4687" t="str">
        <f>IF(SUM(Tablas!$P$1139:$S$1181)=0,"",IF(Tablas!A2&gt;MAX(Tablas!$P$1139:$P$1181),"",VLOOKUP(Tablas!A2,Tablas!$P$1139:$T$1181,2,FALSE)))</f>
        <v/>
      </c>
      <c r="X54" s="4688"/>
      <c r="Y54" s="4688"/>
      <c r="Z54" s="4688"/>
      <c r="AA54" s="3994"/>
      <c r="AB54" s="3406" t="str">
        <f>IF(SUM(Tablas!$P$1139:$P$1183)=0,"",IF(Tablas!A2&gt;MAX(Tablas!$P$1139:$P$1183),"",VLOOKUP(Tablas!A2,Tablas!$P$1139:$T$1183,4,FALSE)))</f>
        <v/>
      </c>
      <c r="AC54" s="3407"/>
      <c r="AD54" s="3407"/>
      <c r="AE54" s="3407"/>
      <c r="AF54" s="3407"/>
      <c r="AG54" s="3407"/>
      <c r="AH54" s="3407"/>
      <c r="AI54" s="3407"/>
      <c r="AJ54" s="3407"/>
      <c r="AK54" s="4004"/>
      <c r="AL54" s="1240"/>
      <c r="AM54" s="31"/>
      <c r="AN54" s="31"/>
      <c r="AO54" s="780"/>
      <c r="AP54" s="3883" t="str">
        <f t="shared" si="11"/>
        <v/>
      </c>
      <c r="AQ54" s="3883"/>
      <c r="AR54" s="3568" t="str">
        <f t="shared" si="12"/>
        <v/>
      </c>
      <c r="AS54" s="3568"/>
      <c r="AT54" s="3568"/>
      <c r="AU54" s="3568"/>
      <c r="AV54" s="3568" t="str">
        <f t="shared" si="13"/>
        <v/>
      </c>
      <c r="AW54" s="3568"/>
      <c r="AX54" s="791"/>
      <c r="AY54" s="611"/>
      <c r="AZ54" s="2900"/>
      <c r="BA54" s="1872" t="b">
        <f t="shared" si="4"/>
        <v>0</v>
      </c>
      <c r="BB54" s="2930" t="b">
        <f t="shared" si="5"/>
        <v>0</v>
      </c>
      <c r="BC54" s="2930" t="b">
        <f t="shared" si="6"/>
        <v>0</v>
      </c>
      <c r="BD54" s="1872" t="b">
        <f t="shared" si="7"/>
        <v>0</v>
      </c>
      <c r="BE54" s="1872" t="b">
        <f t="shared" si="8"/>
        <v>0</v>
      </c>
      <c r="BF54" s="1872" t="b">
        <f t="shared" si="9"/>
        <v>0</v>
      </c>
      <c r="BG54" s="1872" t="b">
        <f t="shared" si="10"/>
        <v>0</v>
      </c>
      <c r="BH54" s="1872"/>
      <c r="BI54" s="1872"/>
      <c r="BJ54" s="1872"/>
      <c r="BK54" s="1872"/>
    </row>
    <row r="55" spans="1:63" ht="12" customHeight="1" x14ac:dyDescent="0.2">
      <c r="A55" s="31"/>
      <c r="B55" s="513"/>
      <c r="C55" s="4538"/>
      <c r="D55" s="4538"/>
      <c r="E55" s="4538"/>
      <c r="F55" s="4538"/>
      <c r="G55" s="4538"/>
      <c r="H55" s="1604"/>
      <c r="J55" s="4680"/>
      <c r="K55" s="4681"/>
      <c r="L55" s="4681"/>
      <c r="M55" s="4681"/>
      <c r="N55" s="4681"/>
      <c r="O55" s="4681"/>
      <c r="P55" s="681" t="str">
        <f>IF(J55=0,"",VLOOKUP(J55,Tablas!$AB$1041:$AD$1210,2,FALSE))</f>
        <v/>
      </c>
      <c r="Q55" s="705" t="str">
        <f>IF(J55=0,"",VLOOKUP(J55,Tablas!$AB$1041:$AD$1210,3,FALSE)*IF($P$25="Invocador",0.5,1))</f>
        <v/>
      </c>
      <c r="S55" s="614"/>
      <c r="T55" s="512"/>
      <c r="U55" s="31"/>
      <c r="V55" s="716"/>
      <c r="W55" s="4687" t="str">
        <f>IF(SUM(Tablas!$P$1139:$S$1181)=0,"",IF(Tablas!A3&gt;MAX(Tablas!$P$1139:$P$1181),"",VLOOKUP(Tablas!A3,Tablas!$P$1139:$T$1181,2,FALSE)))</f>
        <v/>
      </c>
      <c r="X55" s="4688"/>
      <c r="Y55" s="4688"/>
      <c r="Z55" s="4688"/>
      <c r="AA55" s="3994"/>
      <c r="AB55" s="3406" t="str">
        <f>IF(SUM(Tablas!$P$1139:$P$1183)=0,"",IF(Tablas!A3&gt;MAX(Tablas!$P$1139:$P$1183),"",VLOOKUP(Tablas!A3,Tablas!$P$1139:$T$1183,4,FALSE)))</f>
        <v/>
      </c>
      <c r="AC55" s="3407"/>
      <c r="AD55" s="3407"/>
      <c r="AE55" s="3407"/>
      <c r="AF55" s="3407"/>
      <c r="AG55" s="3407"/>
      <c r="AH55" s="3407"/>
      <c r="AI55" s="3407"/>
      <c r="AJ55" s="3407"/>
      <c r="AK55" s="4004"/>
      <c r="AL55" s="1240"/>
      <c r="AM55" s="31"/>
      <c r="AN55" s="31"/>
      <c r="AO55" s="780"/>
      <c r="AP55" s="4730" t="str">
        <f t="shared" si="11"/>
        <v/>
      </c>
      <c r="AQ55" s="4730"/>
      <c r="AR55" s="3019" t="str">
        <f t="shared" si="12"/>
        <v/>
      </c>
      <c r="AS55" s="3019"/>
      <c r="AT55" s="3019"/>
      <c r="AU55" s="3019"/>
      <c r="AV55" s="3019" t="str">
        <f t="shared" si="13"/>
        <v/>
      </c>
      <c r="AW55" s="3019"/>
      <c r="AX55" s="791"/>
      <c r="AY55" s="611"/>
      <c r="AZ55" s="2900"/>
      <c r="BA55" s="1872" t="b">
        <f t="shared" si="4"/>
        <v>0</v>
      </c>
      <c r="BB55" s="2930" t="b">
        <f t="shared" si="5"/>
        <v>0</v>
      </c>
      <c r="BC55" s="2930" t="b">
        <f t="shared" si="6"/>
        <v>0</v>
      </c>
      <c r="BD55" s="1872" t="b">
        <f t="shared" si="7"/>
        <v>0</v>
      </c>
      <c r="BE55" s="1872" t="b">
        <f t="shared" si="8"/>
        <v>0</v>
      </c>
      <c r="BF55" s="1872" t="b">
        <f t="shared" si="9"/>
        <v>0</v>
      </c>
      <c r="BG55" s="1872" t="b">
        <f t="shared" si="10"/>
        <v>0</v>
      </c>
      <c r="BH55" s="1872"/>
      <c r="BI55" s="1872"/>
      <c r="BJ55" s="1872"/>
      <c r="BK55" s="1872"/>
    </row>
    <row r="56" spans="1:63" ht="12" customHeight="1" x14ac:dyDescent="0.2">
      <c r="A56" s="31"/>
      <c r="B56" s="513"/>
      <c r="C56" s="4537"/>
      <c r="D56" s="4537"/>
      <c r="E56" s="4537"/>
      <c r="F56" s="4537"/>
      <c r="G56" s="4537"/>
      <c r="H56" s="1649"/>
      <c r="J56" s="4535"/>
      <c r="K56" s="4536"/>
      <c r="L56" s="4536"/>
      <c r="M56" s="4536"/>
      <c r="N56" s="4536"/>
      <c r="O56" s="4536"/>
      <c r="P56" s="682" t="str">
        <f>IF(J56=0,"",VLOOKUP(J56,Tablas!$AB$1041:$AD$1210,2,FALSE))</f>
        <v/>
      </c>
      <c r="Q56" s="706" t="str">
        <f>IF(J56=0,"",VLOOKUP(J56,Tablas!$AB$1041:$AD$1210,3,FALSE)*IF($P$25="Invocador",0.5,1))</f>
        <v/>
      </c>
      <c r="S56" s="614"/>
      <c r="T56" s="512"/>
      <c r="U56" s="31"/>
      <c r="V56" s="716"/>
      <c r="W56" s="4687" t="str">
        <f>IF(SUM(Tablas!$P$1139:$S$1181)=0,"",IF(Tablas!A4&gt;MAX(Tablas!$P$1139:$P$1181),"",VLOOKUP(Tablas!A4,Tablas!$P$1139:$T$1181,2,FALSE)))</f>
        <v/>
      </c>
      <c r="X56" s="4688"/>
      <c r="Y56" s="4688"/>
      <c r="Z56" s="4688"/>
      <c r="AA56" s="3994"/>
      <c r="AB56" s="3406" t="str">
        <f>IF(SUM(Tablas!$P$1139:$P$1183)=0,"",IF(Tablas!A4&gt;MAX(Tablas!$P$1139:$P$1183),"",VLOOKUP(Tablas!A4,Tablas!$P$1139:$T$1183,4,FALSE)))</f>
        <v/>
      </c>
      <c r="AC56" s="3407"/>
      <c r="AD56" s="3407"/>
      <c r="AE56" s="3407"/>
      <c r="AF56" s="3407"/>
      <c r="AG56" s="3407"/>
      <c r="AH56" s="3407"/>
      <c r="AI56" s="3407"/>
      <c r="AJ56" s="3407"/>
      <c r="AK56" s="4004"/>
      <c r="AL56" s="1240"/>
      <c r="AM56" s="31"/>
      <c r="AN56" s="31"/>
      <c r="AO56" s="780"/>
      <c r="AP56" s="4580" t="str">
        <f t="shared" si="11"/>
        <v/>
      </c>
      <c r="AQ56" s="4580"/>
      <c r="AR56" s="4729" t="str">
        <f t="shared" si="12"/>
        <v/>
      </c>
      <c r="AS56" s="4729"/>
      <c r="AT56" s="4729"/>
      <c r="AU56" s="4729"/>
      <c r="AV56" s="4729"/>
      <c r="AW56" s="4729"/>
      <c r="AX56" s="791"/>
      <c r="AY56" s="611"/>
      <c r="AZ56" s="1872"/>
      <c r="BA56" s="1872" t="b">
        <f t="shared" si="4"/>
        <v>0</v>
      </c>
      <c r="BB56" s="2930" t="b">
        <f t="shared" si="5"/>
        <v>0</v>
      </c>
      <c r="BC56" s="2930" t="b">
        <f t="shared" si="6"/>
        <v>0</v>
      </c>
      <c r="BD56" s="1872" t="b">
        <f t="shared" si="7"/>
        <v>0</v>
      </c>
      <c r="BE56" s="1872" t="b">
        <f t="shared" si="8"/>
        <v>0</v>
      </c>
      <c r="BF56" s="1872" t="b">
        <f t="shared" si="9"/>
        <v>0</v>
      </c>
      <c r="BG56" s="1872" t="b">
        <f t="shared" si="10"/>
        <v>0</v>
      </c>
      <c r="BH56" s="1872"/>
      <c r="BI56" s="1872"/>
      <c r="BJ56" s="1872"/>
      <c r="BK56" s="1872"/>
    </row>
    <row r="57" spans="1:63" ht="12" customHeight="1" x14ac:dyDescent="0.2">
      <c r="A57" s="31"/>
      <c r="B57" s="513"/>
      <c r="C57" s="4538"/>
      <c r="D57" s="4538"/>
      <c r="E57" s="4538"/>
      <c r="F57" s="4538"/>
      <c r="G57" s="4538"/>
      <c r="H57" s="1604"/>
      <c r="J57" s="4680"/>
      <c r="K57" s="4681"/>
      <c r="L57" s="4681"/>
      <c r="M57" s="4681"/>
      <c r="N57" s="4681"/>
      <c r="O57" s="4681"/>
      <c r="P57" s="681" t="str">
        <f>IF(J57=0,"",VLOOKUP(J57,Tablas!$AB$1041:$AD$1210,2,FALSE))</f>
        <v/>
      </c>
      <c r="Q57" s="705" t="str">
        <f>IF(J57=0,"",VLOOKUP(J57,Tablas!$AB$1041:$AD$1210,3,FALSE)*IF($P$25="Invocador",0.5,1))</f>
        <v/>
      </c>
      <c r="S57" s="614"/>
      <c r="T57" s="512"/>
      <c r="U57" s="31"/>
      <c r="V57" s="716"/>
      <c r="W57" s="4687" t="str">
        <f>IF(SUM(Tablas!$P$1139:$S$1181)=0,"",IF(Tablas!A5&gt;MAX(Tablas!$P$1139:$P$1181),"",VLOOKUP(Tablas!A5,Tablas!$P$1139:$T$1181,2,FALSE)))</f>
        <v/>
      </c>
      <c r="X57" s="4688"/>
      <c r="Y57" s="4688"/>
      <c r="Z57" s="4688"/>
      <c r="AA57" s="3994"/>
      <c r="AB57" s="3406" t="str">
        <f>IF(SUM(Tablas!$P$1139:$P$1183)=0,"",IF(Tablas!A5&gt;MAX(Tablas!$P$1139:$P$1183),"",VLOOKUP(Tablas!A5,Tablas!$P$1139:$T$1183,4,FALSE)))</f>
        <v/>
      </c>
      <c r="AC57" s="3407"/>
      <c r="AD57" s="3407"/>
      <c r="AE57" s="3407"/>
      <c r="AF57" s="3407"/>
      <c r="AG57" s="3407"/>
      <c r="AH57" s="3407"/>
      <c r="AI57" s="3407"/>
      <c r="AJ57" s="3407"/>
      <c r="AK57" s="4004"/>
      <c r="AL57" s="1240"/>
      <c r="AM57" s="31"/>
      <c r="AN57" s="31"/>
      <c r="AO57" s="780"/>
      <c r="AP57" s="4580" t="str">
        <f t="shared" si="11"/>
        <v/>
      </c>
      <c r="AQ57" s="4580"/>
      <c r="AR57" s="4729" t="str">
        <f t="shared" si="12"/>
        <v/>
      </c>
      <c r="AS57" s="4729"/>
      <c r="AT57" s="4729"/>
      <c r="AU57" s="4729"/>
      <c r="AV57" s="4729"/>
      <c r="AW57" s="4729"/>
      <c r="AX57" s="791"/>
      <c r="AY57" s="611"/>
      <c r="AZ57" s="1872"/>
      <c r="BA57" s="1872" t="b">
        <f t="shared" si="4"/>
        <v>0</v>
      </c>
      <c r="BB57" s="2930" t="b">
        <f t="shared" si="5"/>
        <v>0</v>
      </c>
      <c r="BC57" s="2930" t="b">
        <f t="shared" si="6"/>
        <v>0</v>
      </c>
      <c r="BD57" s="1872" t="b">
        <f t="shared" si="7"/>
        <v>0</v>
      </c>
      <c r="BE57" s="1872" t="b">
        <f t="shared" si="8"/>
        <v>0</v>
      </c>
      <c r="BF57" s="1872" t="b">
        <f t="shared" si="9"/>
        <v>0</v>
      </c>
      <c r="BG57" s="1872" t="b">
        <f t="shared" si="10"/>
        <v>0</v>
      </c>
      <c r="BH57" s="1872"/>
      <c r="BI57" s="1872"/>
      <c r="BJ57" s="1872"/>
      <c r="BK57" s="1872"/>
    </row>
    <row r="58" spans="1:63" ht="12" customHeight="1" x14ac:dyDescent="0.2">
      <c r="A58" s="31"/>
      <c r="B58" s="513"/>
      <c r="C58" s="4537"/>
      <c r="D58" s="4537"/>
      <c r="E58" s="4537"/>
      <c r="F58" s="4537"/>
      <c r="G58" s="4537"/>
      <c r="H58" s="1649"/>
      <c r="J58" s="4535"/>
      <c r="K58" s="4536"/>
      <c r="L58" s="4536"/>
      <c r="M58" s="4536"/>
      <c r="N58" s="4536"/>
      <c r="O58" s="4536"/>
      <c r="P58" s="682" t="str">
        <f>IF(J58=0,"",VLOOKUP(J58,Tablas!$AB$1041:$AD$1210,2,FALSE))</f>
        <v/>
      </c>
      <c r="Q58" s="706" t="str">
        <f>IF(J58=0,"",VLOOKUP(J58,Tablas!$AB$1041:$AD$1210,3,FALSE)*IF($P$25="Invocador",0.5,1))</f>
        <v/>
      </c>
      <c r="S58" s="614"/>
      <c r="T58" s="512"/>
      <c r="U58" s="31"/>
      <c r="V58" s="716"/>
      <c r="W58" s="4687" t="str">
        <f>IF(SUM(Tablas!$P$1139:$S$1181)=0,"",IF(Tablas!A6&gt;MAX(Tablas!$P$1139:$P$1181),"",VLOOKUP(Tablas!A6,Tablas!$P$1139:$T$1181,2,FALSE)))</f>
        <v/>
      </c>
      <c r="X58" s="4688"/>
      <c r="Y58" s="4688"/>
      <c r="Z58" s="4688"/>
      <c r="AA58" s="3994"/>
      <c r="AB58" s="3406" t="str">
        <f>IF(SUM(Tablas!$P$1139:$P$1183)=0,"",IF(Tablas!A6&gt;MAX(Tablas!$P$1139:$P$1183),"",VLOOKUP(Tablas!A6,Tablas!$P$1139:$T$1183,4,FALSE)))</f>
        <v/>
      </c>
      <c r="AC58" s="3407"/>
      <c r="AD58" s="3407"/>
      <c r="AE58" s="3407"/>
      <c r="AF58" s="3407"/>
      <c r="AG58" s="3407"/>
      <c r="AH58" s="3407"/>
      <c r="AI58" s="3407"/>
      <c r="AJ58" s="3407"/>
      <c r="AK58" s="4004"/>
      <c r="AL58" s="1240"/>
      <c r="AM58" s="31"/>
      <c r="AN58" s="31"/>
      <c r="AO58" s="780"/>
      <c r="AP58" s="4580" t="str">
        <f t="shared" si="11"/>
        <v/>
      </c>
      <c r="AQ58" s="4580"/>
      <c r="AR58" s="4729" t="str">
        <f t="shared" si="12"/>
        <v/>
      </c>
      <c r="AS58" s="4729"/>
      <c r="AT58" s="4729"/>
      <c r="AU58" s="4729"/>
      <c r="AV58" s="4729"/>
      <c r="AW58" s="4729"/>
      <c r="AX58" s="791"/>
      <c r="AY58" s="611"/>
      <c r="AZ58" s="1872"/>
      <c r="BA58" s="1872" t="b">
        <f t="shared" si="4"/>
        <v>0</v>
      </c>
      <c r="BB58" s="2930" t="b">
        <f t="shared" si="5"/>
        <v>0</v>
      </c>
      <c r="BC58" s="2930" t="b">
        <f t="shared" si="6"/>
        <v>0</v>
      </c>
      <c r="BD58" s="1872" t="b">
        <f t="shared" si="7"/>
        <v>0</v>
      </c>
      <c r="BE58" s="1872" t="b">
        <f t="shared" si="8"/>
        <v>0</v>
      </c>
      <c r="BF58" s="1872" t="b">
        <f t="shared" si="9"/>
        <v>0</v>
      </c>
      <c r="BG58" s="1872" t="b">
        <f t="shared" si="10"/>
        <v>0</v>
      </c>
      <c r="BH58" s="1872"/>
      <c r="BI58" s="1872"/>
      <c r="BJ58" s="1872"/>
      <c r="BK58" s="1872"/>
    </row>
    <row r="59" spans="1:63" ht="12" customHeight="1" x14ac:dyDescent="0.2">
      <c r="A59" s="31"/>
      <c r="B59" s="513"/>
      <c r="C59" s="4538"/>
      <c r="D59" s="4538"/>
      <c r="E59" s="4538"/>
      <c r="F59" s="4538"/>
      <c r="G59" s="4538"/>
      <c r="H59" s="1604"/>
      <c r="J59" s="4533"/>
      <c r="K59" s="4534"/>
      <c r="L59" s="4534"/>
      <c r="M59" s="4534"/>
      <c r="N59" s="4534"/>
      <c r="O59" s="4534"/>
      <c r="P59" s="2353" t="str">
        <f>IF(J59=0,"",VLOOKUP(J59,Tablas!$AB$1041:$AD$1210,2,FALSE))</f>
        <v/>
      </c>
      <c r="Q59" s="2354" t="str">
        <f>IF(J59=0,"",VLOOKUP(J59,Tablas!$AB$1041:$AD$1210,3,FALSE)*IF($P$25="Invocador",0.5,1))</f>
        <v/>
      </c>
      <c r="S59" s="614"/>
      <c r="T59" s="512"/>
      <c r="U59" s="31"/>
      <c r="V59" s="716"/>
      <c r="W59" s="4687" t="str">
        <f>IF(SUM(Tablas!$P$1139:$S$1181)=0,"",IF(Tablas!A7&gt;MAX(Tablas!$P$1139:$P$1181),"",VLOOKUP(Tablas!A7,Tablas!$P$1139:$T$1181,2,FALSE)))</f>
        <v/>
      </c>
      <c r="X59" s="4688"/>
      <c r="Y59" s="4688"/>
      <c r="Z59" s="4688"/>
      <c r="AA59" s="3994"/>
      <c r="AB59" s="3406" t="str">
        <f>IF(SUM(Tablas!$P$1139:$P$1183)=0,"",IF(Tablas!A7&gt;MAX(Tablas!$P$1139:$P$1183),"",VLOOKUP(Tablas!A7,Tablas!$P$1139:$T$1183,4,FALSE)))</f>
        <v/>
      </c>
      <c r="AC59" s="3407"/>
      <c r="AD59" s="3407"/>
      <c r="AE59" s="3407"/>
      <c r="AF59" s="3407"/>
      <c r="AG59" s="3407"/>
      <c r="AH59" s="3407"/>
      <c r="AI59" s="3407"/>
      <c r="AJ59" s="3407"/>
      <c r="AK59" s="4004"/>
      <c r="AL59" s="1240"/>
      <c r="AM59" s="31"/>
      <c r="AN59" s="31"/>
      <c r="AO59" s="780"/>
      <c r="AX59" s="791"/>
      <c r="AY59" s="611"/>
      <c r="AZ59" s="1872"/>
      <c r="BA59" s="1872" t="b">
        <f t="shared" si="4"/>
        <v>0</v>
      </c>
      <c r="BB59" s="2930" t="b">
        <f t="shared" si="5"/>
        <v>0</v>
      </c>
      <c r="BC59" s="2930" t="b">
        <f t="shared" si="6"/>
        <v>0</v>
      </c>
      <c r="BD59" s="1872" t="b">
        <f t="shared" si="7"/>
        <v>0</v>
      </c>
      <c r="BE59" s="1872" t="b">
        <f t="shared" si="8"/>
        <v>0</v>
      </c>
      <c r="BF59" s="1872" t="b">
        <f t="shared" si="9"/>
        <v>0</v>
      </c>
      <c r="BG59" s="1872" t="b">
        <f t="shared" si="10"/>
        <v>0</v>
      </c>
      <c r="BH59" s="1872"/>
      <c r="BI59" s="1872"/>
      <c r="BJ59" s="1872"/>
      <c r="BK59" s="1872"/>
    </row>
    <row r="60" spans="1:63" ht="12" customHeight="1" x14ac:dyDescent="0.2">
      <c r="A60" s="31"/>
      <c r="B60" s="513"/>
      <c r="C60" s="4537"/>
      <c r="D60" s="4537"/>
      <c r="E60" s="4537"/>
      <c r="F60" s="4537"/>
      <c r="G60" s="4537"/>
      <c r="H60" s="1649"/>
      <c r="J60" s="4535"/>
      <c r="K60" s="4536"/>
      <c r="L60" s="4536"/>
      <c r="M60" s="4536"/>
      <c r="N60" s="4536"/>
      <c r="O60" s="4536"/>
      <c r="P60" s="682" t="str">
        <f>IF(J60=0,"",VLOOKUP(J60,Tablas!$AB$1041:$AD$1210,2,FALSE))</f>
        <v/>
      </c>
      <c r="Q60" s="706" t="str">
        <f>IF(J60=0,"",VLOOKUP(J60,Tablas!$AB$1041:$AD$1210,3,FALSE)*IF($P$25="Invocador",0.5,1))</f>
        <v/>
      </c>
      <c r="S60" s="614"/>
      <c r="T60" s="512"/>
      <c r="U60" s="31"/>
      <c r="V60" s="716"/>
      <c r="W60" s="4687" t="str">
        <f>IF(SUM(Tablas!$P$1139:$S$1181)=0,"",IF(Tablas!A8&gt;MAX(Tablas!$P$1139:$P$1181),"",VLOOKUP(Tablas!A8,Tablas!$P$1139:$T$1181,2,FALSE)))</f>
        <v/>
      </c>
      <c r="X60" s="4688"/>
      <c r="Y60" s="4688"/>
      <c r="Z60" s="4688"/>
      <c r="AA60" s="3994"/>
      <c r="AB60" s="3406" t="str">
        <f>IF(SUM(Tablas!$P$1139:$P$1183)=0,"",IF(Tablas!A8&gt;MAX(Tablas!$P$1139:$P$1183),"",VLOOKUP(Tablas!A8,Tablas!$P$1139:$T$1183,4,FALSE)))</f>
        <v/>
      </c>
      <c r="AC60" s="3407"/>
      <c r="AD60" s="3407"/>
      <c r="AE60" s="3407"/>
      <c r="AF60" s="3407"/>
      <c r="AG60" s="3407"/>
      <c r="AH60" s="3407"/>
      <c r="AI60" s="3407"/>
      <c r="AJ60" s="3407"/>
      <c r="AK60" s="4004"/>
      <c r="AL60" s="1240"/>
      <c r="AM60" s="31"/>
      <c r="AN60" s="31"/>
      <c r="AO60" s="780"/>
      <c r="AP60" s="4765" t="s">
        <v>7096</v>
      </c>
      <c r="AQ60" s="4765"/>
      <c r="AR60" s="4765"/>
      <c r="AS60" s="4765"/>
      <c r="AT60" s="4765"/>
      <c r="AU60" s="4765"/>
      <c r="AV60" s="4765"/>
      <c r="AW60" s="4765"/>
      <c r="AX60" s="791"/>
      <c r="AY60" s="611"/>
      <c r="AZ60" s="1872"/>
      <c r="BA60" s="1872" t="b">
        <f t="shared" si="4"/>
        <v>0</v>
      </c>
      <c r="BB60" s="2930" t="b">
        <f t="shared" si="5"/>
        <v>0</v>
      </c>
      <c r="BC60" s="2930" t="b">
        <f t="shared" si="6"/>
        <v>0</v>
      </c>
      <c r="BD60" s="1872" t="b">
        <f t="shared" si="7"/>
        <v>0</v>
      </c>
      <c r="BE60" s="1872" t="b">
        <f t="shared" si="8"/>
        <v>0</v>
      </c>
      <c r="BF60" s="1872" t="b">
        <f t="shared" si="9"/>
        <v>0</v>
      </c>
      <c r="BG60" s="1872" t="b">
        <f t="shared" si="10"/>
        <v>0</v>
      </c>
      <c r="BH60" s="1872"/>
      <c r="BI60" s="1872"/>
      <c r="BJ60" s="1872"/>
      <c r="BK60" s="1872"/>
    </row>
    <row r="61" spans="1:63" ht="12" customHeight="1" thickBot="1" x14ac:dyDescent="0.25">
      <c r="A61" s="31"/>
      <c r="B61" s="513"/>
      <c r="C61" s="4723" t="s">
        <v>1723</v>
      </c>
      <c r="D61" s="4723"/>
      <c r="E61" s="4723"/>
      <c r="F61" s="4723"/>
      <c r="G61" s="4723"/>
      <c r="H61" s="100">
        <f>SUM(H33:H60)+IF(Sheele!$F$5="No",0,Sheele!$U$5)</f>
        <v>0</v>
      </c>
      <c r="J61" s="4726" t="str">
        <f>IF(Tablas!X21,IF(AND(22-COUNTBLANK(P33:P60)&gt;VLOOKUP(Nivel_Sobrenatural,Tablas!$S$9:$X$12,6,FALSE)),"Número inicial de invocaciones excesivo. ","")&amp;IF(P25="Invocador","Costes de las invocaciones ya reducidos",""),"")</f>
        <v/>
      </c>
      <c r="K61" s="4727"/>
      <c r="L61" s="4727"/>
      <c r="M61" s="4727"/>
      <c r="N61" s="4727"/>
      <c r="O61" s="4727"/>
      <c r="P61" s="4727"/>
      <c r="Q61" s="4728"/>
      <c r="S61" s="614"/>
      <c r="T61" s="512"/>
      <c r="U61" s="31"/>
      <c r="V61" s="716"/>
      <c r="W61" s="4687" t="str">
        <f>IF(SUM(Tablas!$P$1139:$S$1181)=0,"",IF(Tablas!A9&gt;MAX(Tablas!$P$1139:$P$1181),"",VLOOKUP(Tablas!A9,Tablas!$P$1139:$T$1181,2,FALSE)))</f>
        <v/>
      </c>
      <c r="X61" s="4688"/>
      <c r="Y61" s="4688"/>
      <c r="Z61" s="4688"/>
      <c r="AA61" s="3994"/>
      <c r="AB61" s="4700" t="str">
        <f>IF(SUM(Tablas!$P$1139:$P$1183)=0,"",IF(Tablas!A9&gt;MAX(Tablas!$P$1139:$P$1183),"",VLOOKUP(Tablas!A9,Tablas!$P$1139:$T$1183,4,FALSE)))</f>
        <v/>
      </c>
      <c r="AC61" s="3986"/>
      <c r="AD61" s="3986"/>
      <c r="AE61" s="3986"/>
      <c r="AF61" s="3986"/>
      <c r="AG61" s="3986"/>
      <c r="AH61" s="3986"/>
      <c r="AI61" s="3986"/>
      <c r="AJ61" s="3986"/>
      <c r="AK61" s="4701"/>
      <c r="AL61" s="1240"/>
      <c r="AM61" s="31"/>
      <c r="AN61" s="31"/>
      <c r="AO61" s="780"/>
      <c r="AP61" s="4605" t="s">
        <v>1699</v>
      </c>
      <c r="AQ61" s="4605"/>
      <c r="AR61" s="4605" t="s">
        <v>1698</v>
      </c>
      <c r="AS61" s="4605"/>
      <c r="AT61" s="4605"/>
      <c r="AU61" s="2525"/>
      <c r="AV61" s="2526" t="s">
        <v>7097</v>
      </c>
      <c r="AW61" s="1009" t="s">
        <v>2694</v>
      </c>
      <c r="AX61" s="791"/>
      <c r="AY61" s="611"/>
      <c r="AZ61" s="1872"/>
      <c r="BA61" s="1872" t="s">
        <v>1352</v>
      </c>
      <c r="BB61" s="2930" t="b">
        <f>OR(BB34:BB60)</f>
        <v>0</v>
      </c>
      <c r="BC61" s="2930" t="b">
        <f>OR(BC34:BC60)</f>
        <v>0</v>
      </c>
      <c r="BD61" s="2930" t="b">
        <f t="shared" ref="BD61:BG61" si="14">OR(BD34:BD60)</f>
        <v>0</v>
      </c>
      <c r="BE61" s="2930" t="b">
        <f t="shared" si="14"/>
        <v>0</v>
      </c>
      <c r="BF61" s="2930" t="b">
        <f t="shared" si="14"/>
        <v>0</v>
      </c>
      <c r="BG61" s="2930" t="b">
        <f t="shared" si="14"/>
        <v>0</v>
      </c>
      <c r="BH61" s="1872"/>
      <c r="BI61" s="1872"/>
      <c r="BJ61" s="1872"/>
      <c r="BK61" s="1872"/>
    </row>
    <row r="62" spans="1:63" ht="12" customHeight="1" thickBot="1" x14ac:dyDescent="0.25">
      <c r="A62" s="31"/>
      <c r="B62" s="513"/>
      <c r="S62" s="614"/>
      <c r="T62" s="512"/>
      <c r="U62" s="31"/>
      <c r="V62" s="716"/>
      <c r="W62" s="4687" t="str">
        <f>IF(SUM(Tablas!$P$1139:$S$1181)=0,"",IF(Tablas!A10&gt;MAX(Tablas!$P$1139:$P$1181),"",VLOOKUP(Tablas!A10,Tablas!$P$1139:$T$1181,2,FALSE)))</f>
        <v/>
      </c>
      <c r="X62" s="4688"/>
      <c r="Y62" s="4688"/>
      <c r="Z62" s="4688"/>
      <c r="AA62" s="3994"/>
      <c r="AB62" s="4700" t="str">
        <f>IF(SUM(Tablas!$P$1139:$P$1183)=0,"",IF(Tablas!A10&gt;MAX(Tablas!$P$1139:$P$1183),"",VLOOKUP(Tablas!A10,Tablas!$P$1139:$T$1183,4,FALSE)))</f>
        <v/>
      </c>
      <c r="AC62" s="3986"/>
      <c r="AD62" s="3986"/>
      <c r="AE62" s="3986"/>
      <c r="AF62" s="3986"/>
      <c r="AG62" s="3986"/>
      <c r="AH62" s="3986"/>
      <c r="AI62" s="3986"/>
      <c r="AJ62" s="3986"/>
      <c r="AK62" s="4701"/>
      <c r="AL62" s="1240"/>
      <c r="AM62" s="31"/>
      <c r="AN62" s="31"/>
      <c r="AO62" s="915" t="str">
        <f>"Conjuros"&amp;IF(AP62="","","_"&amp;AP62)</f>
        <v>Conjuros</v>
      </c>
      <c r="AP62" s="4771"/>
      <c r="AQ62" s="4771"/>
      <c r="AR62" s="3787"/>
      <c r="AS62" s="3787"/>
      <c r="AT62" s="3787"/>
      <c r="AU62" s="3787"/>
      <c r="AV62" s="2523"/>
      <c r="AW62" s="1565">
        <f>IF(AR62="",0,AV62*VLOOKUP(AR62,'Tablas Magia'!$D$6:$Z$680,11,FALSE)/2)</f>
        <v>0</v>
      </c>
      <c r="AX62" s="791"/>
      <c r="AY62" s="611"/>
      <c r="AZ62" s="1872"/>
      <c r="BA62" s="1872"/>
      <c r="BB62" s="2930"/>
      <c r="BC62" s="2930"/>
      <c r="BD62" s="1872"/>
      <c r="BE62" s="1893"/>
      <c r="BF62" s="1872"/>
      <c r="BG62" s="1872"/>
      <c r="BH62" s="1872"/>
      <c r="BI62" s="1872"/>
      <c r="BJ62" s="1872"/>
      <c r="BK62" s="1872"/>
    </row>
    <row r="63" spans="1:63" ht="12" customHeight="1" thickBot="1" x14ac:dyDescent="0.25">
      <c r="A63" s="31"/>
      <c r="B63" s="513"/>
      <c r="C63" s="3324" t="s">
        <v>9821</v>
      </c>
      <c r="D63" s="3324"/>
      <c r="E63" s="3324"/>
      <c r="F63" s="3324"/>
      <c r="G63" s="3324"/>
      <c r="H63" s="3324"/>
      <c r="J63" s="3341" t="s">
        <v>1724</v>
      </c>
      <c r="K63" s="4629"/>
      <c r="L63" s="4629"/>
      <c r="M63" s="4702" t="s">
        <v>1515</v>
      </c>
      <c r="N63" s="4702"/>
      <c r="O63" s="4702"/>
      <c r="P63" s="4702"/>
      <c r="Q63" s="4703"/>
      <c r="S63" s="614"/>
      <c r="T63" s="512"/>
      <c r="U63" s="31"/>
      <c r="V63" s="716"/>
      <c r="W63" s="4687" t="str">
        <f>IF(SUM(Tablas!$P$1139:$S$1181)=0,"",IF(Tablas!A11&gt;MAX(Tablas!$P$1139:$P$1181),"",VLOOKUP(Tablas!A11,Tablas!$P$1139:$T$1181,2,FALSE)))</f>
        <v/>
      </c>
      <c r="X63" s="4688"/>
      <c r="Y63" s="4688"/>
      <c r="Z63" s="4688"/>
      <c r="AA63" s="3994"/>
      <c r="AB63" s="4700" t="str">
        <f>IF(SUM(Tablas!$P$1139:$P$1183)=0,"",IF(Tablas!A11&gt;MAX(Tablas!$P$1139:$P$1183),"",VLOOKUP(Tablas!A11,Tablas!$P$1139:$T$1183,4,FALSE)))</f>
        <v/>
      </c>
      <c r="AC63" s="3986"/>
      <c r="AD63" s="3986"/>
      <c r="AE63" s="3986"/>
      <c r="AF63" s="3986"/>
      <c r="AG63" s="3986"/>
      <c r="AH63" s="3986"/>
      <c r="AI63" s="3986"/>
      <c r="AJ63" s="3986"/>
      <c r="AK63" s="4701"/>
      <c r="AL63" s="1240"/>
      <c r="AM63" s="31"/>
      <c r="AN63" s="31"/>
      <c r="AO63" s="915" t="str">
        <f t="shared" ref="AO63:AO72" si="15">"Conjuros"&amp;IF(AP63="","","_"&amp;AP63)</f>
        <v>Conjuros</v>
      </c>
      <c r="AP63" s="4772"/>
      <c r="AQ63" s="4772"/>
      <c r="AR63" s="4593"/>
      <c r="AS63" s="4593"/>
      <c r="AT63" s="4593"/>
      <c r="AU63" s="4593"/>
      <c r="AV63" s="2524"/>
      <c r="AW63" s="2527">
        <f>IF(AR63="",0,AV63*VLOOKUP(AR63,'Tablas Magia'!$D$6:$Z$680,11,FALSE)/2)</f>
        <v>0</v>
      </c>
      <c r="AX63" s="791"/>
      <c r="AY63" s="611"/>
      <c r="AZ63" s="1872"/>
      <c r="BA63" s="1872"/>
      <c r="BB63" s="2930"/>
      <c r="BC63" s="2930"/>
      <c r="BD63" s="1872"/>
      <c r="BE63" s="1893"/>
      <c r="BF63" s="1872"/>
      <c r="BG63" s="1872"/>
      <c r="BH63" s="1872"/>
      <c r="BI63" s="1872"/>
      <c r="BJ63" s="1872"/>
      <c r="BK63" s="1872"/>
    </row>
    <row r="64" spans="1:63" ht="12" customHeight="1" x14ac:dyDescent="0.2">
      <c r="A64" s="31"/>
      <c r="B64" s="513"/>
      <c r="C64" s="4704"/>
      <c r="D64" s="4705"/>
      <c r="E64" s="4705"/>
      <c r="F64" s="4705"/>
      <c r="G64" s="4705"/>
      <c r="H64" s="4706"/>
      <c r="J64" s="2351">
        <v>20</v>
      </c>
      <c r="K64" s="4697" t="s">
        <v>1727</v>
      </c>
      <c r="L64" s="4697"/>
      <c r="M64" s="4698" t="s">
        <v>1728</v>
      </c>
      <c r="N64" s="4698"/>
      <c r="O64" s="4698"/>
      <c r="P64" s="4698"/>
      <c r="Q64" s="4699"/>
      <c r="S64" s="614"/>
      <c r="T64" s="512"/>
      <c r="U64" s="31"/>
      <c r="V64" s="716"/>
      <c r="W64" s="4687" t="str">
        <f>IF(SUM(Tablas!$P$1139:$S$1181)=0,"",IF(Tablas!A12&gt;MAX(Tablas!$P$1139:$P$1181),"",VLOOKUP(Tablas!A12,Tablas!$P$1139:$T$1181,2,FALSE)))</f>
        <v/>
      </c>
      <c r="X64" s="4688"/>
      <c r="Y64" s="4688"/>
      <c r="Z64" s="4688"/>
      <c r="AA64" s="3994"/>
      <c r="AB64" s="4700" t="str">
        <f>IF(SUM(Tablas!$P$1139:$P$1183)=0,"",IF(Tablas!A12&gt;MAX(Tablas!$P$1139:$P$1183),"",VLOOKUP(Tablas!A12,Tablas!$P$1139:$T$1183,4,FALSE)))</f>
        <v/>
      </c>
      <c r="AC64" s="3986"/>
      <c r="AD64" s="3986"/>
      <c r="AE64" s="3986"/>
      <c r="AF64" s="3986"/>
      <c r="AG64" s="3986"/>
      <c r="AH64" s="3986"/>
      <c r="AI64" s="3986"/>
      <c r="AJ64" s="3986"/>
      <c r="AK64" s="4701"/>
      <c r="AL64" s="1240"/>
      <c r="AM64" s="31"/>
      <c r="AN64" s="31"/>
      <c r="AO64" s="915" t="str">
        <f t="shared" si="15"/>
        <v>Conjuros</v>
      </c>
      <c r="AP64" s="4771"/>
      <c r="AQ64" s="4771"/>
      <c r="AR64" s="3787"/>
      <c r="AS64" s="3787"/>
      <c r="AT64" s="3787"/>
      <c r="AU64" s="3787"/>
      <c r="AV64" s="2523"/>
      <c r="AW64" s="1565">
        <f>IF(AR64="",0,AV64*VLOOKUP(AR64,'Tablas Magia'!$D$6:$Z$680,11,FALSE)/2)</f>
        <v>0</v>
      </c>
      <c r="AX64" s="791"/>
      <c r="AY64" s="611"/>
      <c r="AZ64" s="1872"/>
      <c r="BA64" s="1872"/>
      <c r="BB64" s="2930"/>
      <c r="BC64" s="2930"/>
      <c r="BD64" s="1872"/>
      <c r="BE64" s="1872"/>
      <c r="BF64" s="1872"/>
      <c r="BG64" s="1872"/>
      <c r="BH64" s="1872"/>
      <c r="BI64" s="1872"/>
      <c r="BJ64" s="1872"/>
      <c r="BK64" s="1872"/>
    </row>
    <row r="65" spans="1:63" ht="12" customHeight="1" x14ac:dyDescent="0.2">
      <c r="A65" s="31"/>
      <c r="B65" s="513"/>
      <c r="C65" s="4707"/>
      <c r="D65" s="4708"/>
      <c r="E65" s="4708"/>
      <c r="F65" s="4708"/>
      <c r="G65" s="4708"/>
      <c r="H65" s="4709"/>
      <c r="J65" s="2351">
        <v>40</v>
      </c>
      <c r="K65" s="4697" t="s">
        <v>1729</v>
      </c>
      <c r="L65" s="4697"/>
      <c r="M65" s="4695" t="s">
        <v>1730</v>
      </c>
      <c r="N65" s="4695"/>
      <c r="O65" s="4695"/>
      <c r="P65" s="4695"/>
      <c r="Q65" s="4696"/>
      <c r="S65" s="614"/>
      <c r="T65" s="512"/>
      <c r="U65" s="31"/>
      <c r="V65" s="716"/>
      <c r="W65" s="4687" t="str">
        <f>IF(SUM(Tablas!$P$1139:$S$1181)=0,"",IF(Tablas!A13&gt;MAX(Tablas!$P$1139:$P$1181),"",VLOOKUP(Tablas!A13,Tablas!$P$1139:$T$1181,2,FALSE)))</f>
        <v/>
      </c>
      <c r="X65" s="4688"/>
      <c r="Y65" s="4688"/>
      <c r="Z65" s="4688"/>
      <c r="AA65" s="3994"/>
      <c r="AB65" s="4700" t="str">
        <f>IF(SUM(Tablas!$P$1139:$P$1183)=0,"",IF(Tablas!A13&gt;MAX(Tablas!$P$1139:$P$1183),"",VLOOKUP(Tablas!A13,Tablas!$P$1139:$T$1183,4,FALSE)))</f>
        <v/>
      </c>
      <c r="AC65" s="3986"/>
      <c r="AD65" s="3986"/>
      <c r="AE65" s="3986"/>
      <c r="AF65" s="3986"/>
      <c r="AG65" s="3986"/>
      <c r="AH65" s="3986"/>
      <c r="AI65" s="3986"/>
      <c r="AJ65" s="3986"/>
      <c r="AK65" s="4701"/>
      <c r="AL65" s="1135"/>
      <c r="AM65" s="31"/>
      <c r="AN65" s="31"/>
      <c r="AO65" s="915" t="str">
        <f t="shared" si="15"/>
        <v>Conjuros</v>
      </c>
      <c r="AP65" s="4772"/>
      <c r="AQ65" s="4772"/>
      <c r="AR65" s="4593"/>
      <c r="AS65" s="4593"/>
      <c r="AT65" s="4593"/>
      <c r="AU65" s="4593"/>
      <c r="AV65" s="2524"/>
      <c r="AW65" s="2527">
        <f>IF(AR65="",0,AV65*VLOOKUP(AR65,'Tablas Magia'!$D$6:$Z$680,11,FALSE)/2)</f>
        <v>0</v>
      </c>
      <c r="AX65" s="790"/>
      <c r="AY65" s="611"/>
      <c r="AZ65" s="1872"/>
      <c r="BA65" s="1872"/>
      <c r="BB65" s="2930"/>
      <c r="BC65" s="2930"/>
      <c r="BD65" s="1872"/>
      <c r="BE65" s="1872"/>
      <c r="BF65" s="1872"/>
      <c r="BG65" s="1872"/>
      <c r="BH65" s="1872"/>
      <c r="BI65" s="1872"/>
      <c r="BJ65" s="1872"/>
      <c r="BK65" s="1872"/>
    </row>
    <row r="66" spans="1:63" ht="12" customHeight="1" x14ac:dyDescent="0.2">
      <c r="A66" s="31"/>
      <c r="B66" s="513"/>
      <c r="C66" s="4707"/>
      <c r="D66" s="4708"/>
      <c r="E66" s="4708"/>
      <c r="F66" s="4708"/>
      <c r="G66" s="4708"/>
      <c r="H66" s="4709"/>
      <c r="J66" s="2351">
        <v>80</v>
      </c>
      <c r="K66" s="4697" t="s">
        <v>1732</v>
      </c>
      <c r="L66" s="4697"/>
      <c r="M66" s="4695" t="s">
        <v>1733</v>
      </c>
      <c r="N66" s="4695"/>
      <c r="O66" s="4695"/>
      <c r="P66" s="4695"/>
      <c r="Q66" s="4696"/>
      <c r="S66" s="614"/>
      <c r="T66" s="512"/>
      <c r="U66" s="31"/>
      <c r="V66" s="716"/>
      <c r="W66" s="4687" t="str">
        <f>IF(SUM(Tablas!$P$1139:$S$1181)=0,"",IF(Tablas!A14&gt;MAX(Tablas!$P$1139:$P$1181),"",VLOOKUP(Tablas!A14,Tablas!$P$1139:$T$1181,2,FALSE)))</f>
        <v/>
      </c>
      <c r="X66" s="4688"/>
      <c r="Y66" s="4688"/>
      <c r="Z66" s="4688"/>
      <c r="AA66" s="3994"/>
      <c r="AB66" s="4700" t="str">
        <f>IF(SUM(Tablas!$P$1139:$P$1183)=0,"",IF(Tablas!A14&gt;MAX(Tablas!$P$1139:$P$1183),"",VLOOKUP(Tablas!A14,Tablas!$P$1139:$T$1183,4,FALSE)))</f>
        <v/>
      </c>
      <c r="AC66" s="3986"/>
      <c r="AD66" s="3986"/>
      <c r="AE66" s="3986"/>
      <c r="AF66" s="3986"/>
      <c r="AG66" s="3986"/>
      <c r="AH66" s="3986"/>
      <c r="AI66" s="3986"/>
      <c r="AJ66" s="3986"/>
      <c r="AK66" s="4701"/>
      <c r="AL66" s="1135"/>
      <c r="AM66" s="31"/>
      <c r="AN66" s="31"/>
      <c r="AO66" s="915" t="str">
        <f t="shared" si="15"/>
        <v>Conjuros</v>
      </c>
      <c r="AP66" s="4771"/>
      <c r="AQ66" s="4771"/>
      <c r="AR66" s="3787"/>
      <c r="AS66" s="3787"/>
      <c r="AT66" s="3787"/>
      <c r="AU66" s="3787"/>
      <c r="AV66" s="2523"/>
      <c r="AW66" s="1565">
        <f>IF(AR66="",0,AV66*VLOOKUP(AR66,'Tablas Magia'!$D$6:$Z$680,11,FALSE)/2)</f>
        <v>0</v>
      </c>
      <c r="AX66" s="790"/>
      <c r="AY66" s="611"/>
      <c r="AZ66" s="1872"/>
      <c r="BA66" s="1872"/>
      <c r="BB66" s="2930"/>
      <c r="BC66" s="2930"/>
      <c r="BD66" s="1872"/>
      <c r="BE66" s="1872"/>
      <c r="BF66" s="1872"/>
      <c r="BG66" s="1872"/>
      <c r="BH66" s="1872"/>
      <c r="BI66" s="1872"/>
      <c r="BJ66" s="1872"/>
      <c r="BK66" s="1872"/>
    </row>
    <row r="67" spans="1:63" ht="12" customHeight="1" x14ac:dyDescent="0.2">
      <c r="A67" s="31"/>
      <c r="B67" s="513"/>
      <c r="C67" s="4707"/>
      <c r="D67" s="4708"/>
      <c r="E67" s="4708"/>
      <c r="F67" s="4708"/>
      <c r="G67" s="4708"/>
      <c r="H67" s="4709"/>
      <c r="J67" s="2351">
        <v>120</v>
      </c>
      <c r="K67" s="4697" t="s">
        <v>1735</v>
      </c>
      <c r="L67" s="4697"/>
      <c r="M67" s="4695" t="str">
        <f>IF(Metamagia!$R$54+Metamagia!$U$54+Metamagia!$AA$54+Metamagia!$AA$59+Metamagia!$AA$64+Metamagia!$AD$48+Metamagia!$AG$46&gt;0,"Blancos hasta 100m. Zeón 10","Blancos hasta 100m")</f>
        <v>Blancos hasta 100m</v>
      </c>
      <c r="N67" s="4695"/>
      <c r="O67" s="4695"/>
      <c r="P67" s="4695"/>
      <c r="Q67" s="4696"/>
      <c r="S67" s="614"/>
      <c r="T67" s="512"/>
      <c r="U67" s="31"/>
      <c r="V67" s="716"/>
      <c r="W67" s="4687" t="str">
        <f>IF(SUM(Tablas!$P$1139:$S$1181)=0,"",IF(Tablas!A15&gt;MAX(Tablas!$P$1139:$P$1181),"",VLOOKUP(Tablas!A15,Tablas!$P$1139:$T$1181,2,FALSE)))</f>
        <v/>
      </c>
      <c r="X67" s="4688"/>
      <c r="Y67" s="4688"/>
      <c r="Z67" s="4688"/>
      <c r="AA67" s="3994"/>
      <c r="AB67" s="4700" t="str">
        <f>IF(SUM(Tablas!$P$1139:$P$1183)=0,"",IF(Tablas!A15&gt;MAX(Tablas!$P$1139:$P$1183),"",VLOOKUP(Tablas!A15,Tablas!$P$1139:$T$1183,4,FALSE)))</f>
        <v/>
      </c>
      <c r="AC67" s="3986"/>
      <c r="AD67" s="3986"/>
      <c r="AE67" s="3986"/>
      <c r="AF67" s="3986"/>
      <c r="AG67" s="3986"/>
      <c r="AH67" s="3986"/>
      <c r="AI67" s="3986"/>
      <c r="AJ67" s="3986"/>
      <c r="AK67" s="4701"/>
      <c r="AL67" s="1135"/>
      <c r="AM67" s="31"/>
      <c r="AN67" s="31"/>
      <c r="AO67" s="915" t="str">
        <f t="shared" si="15"/>
        <v>Conjuros</v>
      </c>
      <c r="AP67" s="4772"/>
      <c r="AQ67" s="4772"/>
      <c r="AR67" s="4593"/>
      <c r="AS67" s="4593"/>
      <c r="AT67" s="4593"/>
      <c r="AU67" s="4593"/>
      <c r="AV67" s="2524"/>
      <c r="AW67" s="2527">
        <f>IF(AR67="",0,AV67*VLOOKUP(AR67,'Tablas Magia'!$D$6:$Z$680,11,FALSE)/2)</f>
        <v>0</v>
      </c>
      <c r="AX67" s="790"/>
      <c r="AY67" s="611"/>
      <c r="AZ67" s="1872"/>
      <c r="BA67" s="1872"/>
      <c r="BB67" s="1872"/>
      <c r="BC67" s="1872"/>
      <c r="BD67" s="1872"/>
      <c r="BE67" s="1872"/>
      <c r="BF67" s="1872"/>
      <c r="BG67" s="1872"/>
      <c r="BH67" s="1872"/>
      <c r="BI67" s="1872"/>
      <c r="BJ67" s="1872"/>
      <c r="BK67" s="1872"/>
    </row>
    <row r="68" spans="1:63" ht="12" customHeight="1" x14ac:dyDescent="0.2">
      <c r="A68" s="31"/>
      <c r="B68" s="513"/>
      <c r="C68" s="4707"/>
      <c r="D68" s="4708"/>
      <c r="E68" s="4708"/>
      <c r="F68" s="4708"/>
      <c r="G68" s="4708"/>
      <c r="H68" s="4709"/>
      <c r="J68" s="2351">
        <v>140</v>
      </c>
      <c r="K68" s="4697" t="s">
        <v>1737</v>
      </c>
      <c r="L68" s="4697"/>
      <c r="M68" s="4695" t="str">
        <f>IF(Metamagia!$R$54+Metamagia!$U$54+Metamagia!$AA$54+Metamagia!$AA$59+Metamagia!$AA$64+Metamagia!$AD$48+Metamagia!$AG$46&gt;1,"Blancos hasta 250m. Zeón 20","Blancos hasta 250m")</f>
        <v>Blancos hasta 250m</v>
      </c>
      <c r="N68" s="4695"/>
      <c r="O68" s="4695"/>
      <c r="P68" s="4695"/>
      <c r="Q68" s="4696"/>
      <c r="S68" s="614"/>
      <c r="T68" s="512"/>
      <c r="U68" s="31"/>
      <c r="V68" s="716"/>
      <c r="W68" s="4687" t="str">
        <f>IF(SUM(Tablas!$P$1139:$S$1181)=0,"",IF(Tablas!A16&gt;MAX(Tablas!$P$1139:$P$1181),"",VLOOKUP(Tablas!A16,Tablas!$P$1139:$T$1181,2,FALSE)))</f>
        <v/>
      </c>
      <c r="X68" s="4688"/>
      <c r="Y68" s="4688"/>
      <c r="Z68" s="4688"/>
      <c r="AA68" s="3994"/>
      <c r="AB68" s="4700" t="str">
        <f>IF(SUM(Tablas!$P$1139:$P$1183)=0,"",IF(Tablas!A16&gt;MAX(Tablas!$P$1139:$P$1183),"",VLOOKUP(Tablas!A16,Tablas!$P$1139:$T$1183,4,FALSE)))</f>
        <v/>
      </c>
      <c r="AC68" s="3986"/>
      <c r="AD68" s="3986"/>
      <c r="AE68" s="3986"/>
      <c r="AF68" s="3986"/>
      <c r="AG68" s="3986"/>
      <c r="AH68" s="3986"/>
      <c r="AI68" s="3986"/>
      <c r="AJ68" s="3986"/>
      <c r="AK68" s="4701"/>
      <c r="AL68" s="1135"/>
      <c r="AM68" s="31"/>
      <c r="AN68" s="31"/>
      <c r="AO68" s="915" t="str">
        <f t="shared" si="15"/>
        <v>Conjuros</v>
      </c>
      <c r="AP68" s="4771"/>
      <c r="AQ68" s="4771"/>
      <c r="AR68" s="3787"/>
      <c r="AS68" s="3787"/>
      <c r="AT68" s="3787"/>
      <c r="AU68" s="3787"/>
      <c r="AV68" s="2523"/>
      <c r="AW68" s="1565">
        <f>IF(AR68="",0,AV68*VLOOKUP(AR68,'Tablas Magia'!$D$6:$Z$680,11,FALSE)/2)</f>
        <v>0</v>
      </c>
      <c r="AX68" s="790"/>
      <c r="AY68" s="611"/>
      <c r="AZ68" s="1872"/>
      <c r="BA68" s="1872"/>
      <c r="BB68" s="1872"/>
      <c r="BC68" s="1872"/>
      <c r="BD68" s="1872"/>
      <c r="BE68" s="1872"/>
      <c r="BF68" s="1872"/>
      <c r="BG68" s="1872"/>
      <c r="BH68" s="1872"/>
      <c r="BI68" s="1872"/>
      <c r="BJ68" s="1872"/>
      <c r="BK68" s="1872"/>
    </row>
    <row r="69" spans="1:63" ht="12" customHeight="1" x14ac:dyDescent="0.2">
      <c r="A69" s="31"/>
      <c r="B69" s="513"/>
      <c r="C69" s="4707"/>
      <c r="D69" s="4708"/>
      <c r="E69" s="4708"/>
      <c r="F69" s="4708"/>
      <c r="G69" s="4708"/>
      <c r="H69" s="4709"/>
      <c r="J69" s="2351">
        <v>180</v>
      </c>
      <c r="K69" s="4697" t="s">
        <v>1739</v>
      </c>
      <c r="L69" s="4697"/>
      <c r="M69" s="4695" t="str">
        <f>IF(Metamagia!$R$54+Metamagia!$U$54+Metamagia!$AA$54+Metamagia!$AA$59+Metamagia!$AA$64+Metamagia!$AD$48+Metamagia!$AG$46&gt;2,"Blancos hasta 500m. Zeón 40","Blancos hasta 500m")</f>
        <v>Blancos hasta 500m</v>
      </c>
      <c r="N69" s="4695"/>
      <c r="O69" s="4695"/>
      <c r="P69" s="4695"/>
      <c r="Q69" s="4696"/>
      <c r="S69" s="614"/>
      <c r="T69" s="512"/>
      <c r="U69" s="31"/>
      <c r="V69" s="716"/>
      <c r="W69" s="4687" t="str">
        <f>IF(SUM(Tablas!$P$1139:$S$1181)=0,"",IF(Tablas!A17&gt;MAX(Tablas!$P$1139:$P$1181),"",VLOOKUP(Tablas!A17,Tablas!$P$1139:$T$1181,2,FALSE)))</f>
        <v/>
      </c>
      <c r="X69" s="4688"/>
      <c r="Y69" s="4688"/>
      <c r="Z69" s="4688"/>
      <c r="AA69" s="3994"/>
      <c r="AB69" s="4700" t="str">
        <f>IF(SUM(Tablas!$P$1139:$P$1183)=0,"",IF(Tablas!A17&gt;MAX(Tablas!$P$1139:$P$1183),"",VLOOKUP(Tablas!A17,Tablas!$P$1139:$T$1183,4,FALSE)))</f>
        <v/>
      </c>
      <c r="AC69" s="3986"/>
      <c r="AD69" s="3986"/>
      <c r="AE69" s="3986"/>
      <c r="AF69" s="3986"/>
      <c r="AG69" s="3986"/>
      <c r="AH69" s="3986"/>
      <c r="AI69" s="3986"/>
      <c r="AJ69" s="3986"/>
      <c r="AK69" s="4701"/>
      <c r="AL69" s="1135"/>
      <c r="AM69" s="31"/>
      <c r="AN69" s="31"/>
      <c r="AO69" s="915" t="str">
        <f t="shared" si="15"/>
        <v>Conjuros</v>
      </c>
      <c r="AP69" s="4772"/>
      <c r="AQ69" s="4772"/>
      <c r="AR69" s="4593"/>
      <c r="AS69" s="4593"/>
      <c r="AT69" s="4593"/>
      <c r="AU69" s="4593"/>
      <c r="AV69" s="2524"/>
      <c r="AW69" s="2527">
        <f>IF(AR69="",0,AV69*VLOOKUP(AR69,'Tablas Magia'!$D$6:$Z$680,11,FALSE)/2)</f>
        <v>0</v>
      </c>
      <c r="AX69" s="790"/>
      <c r="AY69" s="611"/>
      <c r="AZ69" s="1872"/>
      <c r="BA69" s="1872"/>
      <c r="BB69" s="1872"/>
      <c r="BC69" s="1872"/>
      <c r="BD69" s="1872"/>
      <c r="BE69" s="1872"/>
      <c r="BF69" s="1872"/>
      <c r="BG69" s="1872"/>
      <c r="BH69" s="1872"/>
      <c r="BI69" s="1872"/>
      <c r="BJ69" s="1872"/>
      <c r="BK69" s="1872"/>
    </row>
    <row r="70" spans="1:63" ht="12" customHeight="1" x14ac:dyDescent="0.2">
      <c r="A70" s="31"/>
      <c r="B70" s="513"/>
      <c r="C70" s="4707"/>
      <c r="D70" s="4708"/>
      <c r="E70" s="4708"/>
      <c r="F70" s="4708"/>
      <c r="G70" s="4708"/>
      <c r="H70" s="4709"/>
      <c r="J70" s="2351">
        <v>240</v>
      </c>
      <c r="K70" s="4697" t="s">
        <v>1741</v>
      </c>
      <c r="L70" s="4697"/>
      <c r="M70" s="4695" t="str">
        <f>IF(Metamagia!$R$54+Metamagia!$U$54+Metamagia!$AA$54+Metamagia!$AA$59+Metamagia!$AA$64+Metamagia!$AD$48+Metamagia!$AG$46&gt;3,"Hasta 1 km. Blanco localizado. Zeón 60","Hasta 1 km. Blanco localizado")</f>
        <v>Hasta 1 km. Blanco localizado</v>
      </c>
      <c r="N70" s="4695"/>
      <c r="O70" s="4695"/>
      <c r="P70" s="4695"/>
      <c r="Q70" s="4696"/>
      <c r="S70" s="614"/>
      <c r="T70" s="512"/>
      <c r="U70" s="31"/>
      <c r="V70" s="716"/>
      <c r="W70" s="4687" t="str">
        <f>IF(SUM(Tablas!$P$1139:$S$1181)=0,"",IF(Tablas!A18&gt;MAX(Tablas!$P$1139:$P$1181),"",VLOOKUP(Tablas!A18,Tablas!$P$1139:$T$1181,2,FALSE)))</f>
        <v/>
      </c>
      <c r="X70" s="4688"/>
      <c r="Y70" s="4688"/>
      <c r="Z70" s="4688"/>
      <c r="AA70" s="3994"/>
      <c r="AB70" s="4700" t="str">
        <f>IF(SUM(Tablas!$P$1139:$P$1183)=0,"",IF(Tablas!A18&gt;MAX(Tablas!$P$1139:$P$1183),"",VLOOKUP(Tablas!A18,Tablas!$P$1139:$T$1183,4,FALSE)))</f>
        <v/>
      </c>
      <c r="AC70" s="3986"/>
      <c r="AD70" s="3986"/>
      <c r="AE70" s="3986"/>
      <c r="AF70" s="3986"/>
      <c r="AG70" s="3986"/>
      <c r="AH70" s="3986"/>
      <c r="AI70" s="3986"/>
      <c r="AJ70" s="3986"/>
      <c r="AK70" s="4701"/>
      <c r="AL70" s="1135"/>
      <c r="AM70" s="31"/>
      <c r="AN70" s="31"/>
      <c r="AO70" s="915" t="str">
        <f t="shared" si="15"/>
        <v>Conjuros</v>
      </c>
      <c r="AP70" s="4771"/>
      <c r="AQ70" s="4771"/>
      <c r="AR70" s="3787"/>
      <c r="AS70" s="3787"/>
      <c r="AT70" s="3787"/>
      <c r="AU70" s="3787"/>
      <c r="AV70" s="2523"/>
      <c r="AW70" s="1565">
        <f>IF(AR70="",0,AV70*VLOOKUP(AR70,'Tablas Magia'!$D$6:$Z$680,11,FALSE)/2)</f>
        <v>0</v>
      </c>
      <c r="AX70" s="790"/>
      <c r="AY70" s="611"/>
      <c r="AZ70" s="1872"/>
      <c r="BA70" s="1872"/>
      <c r="BB70" s="1872"/>
      <c r="BC70" s="1872"/>
      <c r="BD70" s="1872"/>
      <c r="BE70" s="1872"/>
      <c r="BF70" s="1872"/>
      <c r="BG70" s="1872"/>
      <c r="BH70" s="1872"/>
      <c r="BI70" s="1872"/>
      <c r="BJ70" s="1872"/>
      <c r="BK70" s="1872"/>
    </row>
    <row r="71" spans="1:63" ht="12" customHeight="1" x14ac:dyDescent="0.2">
      <c r="A71" s="31"/>
      <c r="B71" s="513"/>
      <c r="C71" s="4707"/>
      <c r="D71" s="4708"/>
      <c r="E71" s="4708"/>
      <c r="F71" s="4708"/>
      <c r="G71" s="4708"/>
      <c r="H71" s="4709"/>
      <c r="J71" s="2351">
        <v>280</v>
      </c>
      <c r="K71" s="4697" t="s">
        <v>1742</v>
      </c>
      <c r="L71" s="4697"/>
      <c r="M71" s="4695" t="str">
        <f>IF(Metamagia!$R$54+Metamagia!$U$54+Metamagia!$AA$54+Metamagia!$AA$59+Metamagia!$AA$64+Metamagia!$AD$48+Metamagia!$AG$46&gt;4,"Hasta 10 km. Blanco aprox. Zeón 80","Hasta 10 km. Blanco aproximado")</f>
        <v>Hasta 10 km. Blanco aproximado</v>
      </c>
      <c r="N71" s="4695"/>
      <c r="O71" s="4695"/>
      <c r="P71" s="4695"/>
      <c r="Q71" s="4696"/>
      <c r="S71" s="614"/>
      <c r="T71" s="512"/>
      <c r="U71" s="31"/>
      <c r="V71" s="716"/>
      <c r="W71" s="4687" t="str">
        <f>IF(SUM(Tablas!$P$1139:$S$1181)=0,"",IF(Tablas!A19&gt;MAX(Tablas!$P$1139:$P$1181),"",VLOOKUP(Tablas!A19,Tablas!$P$1139:$T$1181,2,FALSE)))</f>
        <v/>
      </c>
      <c r="X71" s="4688"/>
      <c r="Y71" s="4688"/>
      <c r="Z71" s="4688"/>
      <c r="AA71" s="3994"/>
      <c r="AB71" s="4700" t="str">
        <f>IF(SUM(Tablas!$P$1139:$P$1183)=0,"",IF(Tablas!A19&gt;MAX(Tablas!$P$1139:$P$1183),"",VLOOKUP(Tablas!A19,Tablas!$P$1139:$T$1183,4,FALSE)))</f>
        <v/>
      </c>
      <c r="AC71" s="3986"/>
      <c r="AD71" s="3986"/>
      <c r="AE71" s="3986"/>
      <c r="AF71" s="3986"/>
      <c r="AG71" s="3986"/>
      <c r="AH71" s="3986"/>
      <c r="AI71" s="3986"/>
      <c r="AJ71" s="3986"/>
      <c r="AK71" s="4701"/>
      <c r="AL71" s="1135"/>
      <c r="AM71" s="31"/>
      <c r="AN71" s="31"/>
      <c r="AO71" s="915" t="str">
        <f t="shared" si="15"/>
        <v>Conjuros</v>
      </c>
      <c r="AP71" s="4772"/>
      <c r="AQ71" s="4772"/>
      <c r="AR71" s="4593"/>
      <c r="AS71" s="4593"/>
      <c r="AT71" s="4593"/>
      <c r="AU71" s="4593"/>
      <c r="AV71" s="2524"/>
      <c r="AW71" s="2527">
        <f>IF(AR71="",0,AV71*VLOOKUP(AR71,'Tablas Magia'!$D$6:$Z$680,11,FALSE)/2)</f>
        <v>0</v>
      </c>
      <c r="AX71" s="790"/>
      <c r="AY71" s="611"/>
      <c r="AZ71" s="1872"/>
      <c r="BA71" s="1872"/>
      <c r="BB71" s="1872"/>
      <c r="BC71" s="1872"/>
      <c r="BD71" s="1872"/>
      <c r="BE71" s="1872"/>
      <c r="BF71" s="1872"/>
      <c r="BG71" s="1872"/>
      <c r="BH71" s="1872"/>
      <c r="BI71" s="1872"/>
      <c r="BJ71" s="1872"/>
      <c r="BK71" s="1872"/>
    </row>
    <row r="72" spans="1:63" ht="12" customHeight="1" x14ac:dyDescent="0.2">
      <c r="A72" s="31"/>
      <c r="B72" s="513"/>
      <c r="C72" s="4707"/>
      <c r="D72" s="4708"/>
      <c r="E72" s="4708"/>
      <c r="F72" s="4708"/>
      <c r="G72" s="4708"/>
      <c r="H72" s="4709"/>
      <c r="J72" s="2351">
        <v>320</v>
      </c>
      <c r="K72" s="4697" t="s">
        <v>1744</v>
      </c>
      <c r="L72" s="4697"/>
      <c r="M72" s="4695" t="str">
        <f>IF(Metamagia!$R$54+Metamagia!$U$54+Metamagia!$AA$54+Metamagia!$AA$59+Metamagia!$AA$64+Metamagia!$AD$48+Metamagia!$AG$46&gt;5,"Zeón 100","-")</f>
        <v>-</v>
      </c>
      <c r="N72" s="4695"/>
      <c r="O72" s="4695"/>
      <c r="P72" s="4695"/>
      <c r="Q72" s="4696"/>
      <c r="S72" s="614"/>
      <c r="T72" s="512"/>
      <c r="U72" s="31"/>
      <c r="V72" s="716"/>
      <c r="W72" s="4687" t="str">
        <f>IF(SUM(Tablas!$P$1139:$S$1181)=0,"",IF(Tablas!A20&gt;MAX(Tablas!$P$1139:$P$1181),"",VLOOKUP(Tablas!A20,Tablas!$P$1139:$T$1181,2,FALSE)))</f>
        <v/>
      </c>
      <c r="X72" s="4688"/>
      <c r="Y72" s="4688"/>
      <c r="Z72" s="4688"/>
      <c r="AA72" s="3994"/>
      <c r="AB72" s="4700" t="str">
        <f>IF(SUM(Tablas!$P$1139:$P$1183)=0,"",IF(Tablas!A20&gt;MAX(Tablas!$P$1139:$P$1183),"",VLOOKUP(Tablas!A20,Tablas!$P$1139:$T$1183,4,FALSE)))</f>
        <v/>
      </c>
      <c r="AC72" s="3986"/>
      <c r="AD72" s="3986"/>
      <c r="AE72" s="3986"/>
      <c r="AF72" s="3986"/>
      <c r="AG72" s="3986"/>
      <c r="AH72" s="3986"/>
      <c r="AI72" s="3986"/>
      <c r="AJ72" s="3986"/>
      <c r="AK72" s="4701"/>
      <c r="AL72" s="1135"/>
      <c r="AM72" s="31"/>
      <c r="AN72" s="31"/>
      <c r="AO72" s="915" t="str">
        <f t="shared" si="15"/>
        <v>Conjuros</v>
      </c>
      <c r="AP72" s="4771"/>
      <c r="AQ72" s="4771"/>
      <c r="AR72" s="3787"/>
      <c r="AS72" s="3787"/>
      <c r="AT72" s="3787"/>
      <c r="AU72" s="3787"/>
      <c r="AV72" s="2523"/>
      <c r="AW72" s="1565">
        <f>IF(AR72="",0,AV72*VLOOKUP(AR72,'Tablas Magia'!$D$6:$Z$680,11,FALSE)/2)</f>
        <v>0</v>
      </c>
      <c r="AX72" s="790"/>
      <c r="AY72" s="611"/>
      <c r="AZ72" s="1872"/>
      <c r="BA72" s="1872"/>
      <c r="BB72" s="1872"/>
      <c r="BC72" s="1872"/>
      <c r="BD72" s="1872"/>
      <c r="BE72" s="1872"/>
      <c r="BF72" s="1872"/>
      <c r="BG72" s="1872"/>
      <c r="BH72" s="1872"/>
      <c r="BI72" s="1872"/>
      <c r="BJ72" s="1872"/>
      <c r="BK72" s="1872"/>
    </row>
    <row r="73" spans="1:63" ht="12" customHeight="1" thickBot="1" x14ac:dyDescent="0.25">
      <c r="A73" s="31"/>
      <c r="B73" s="513"/>
      <c r="C73" s="4710"/>
      <c r="D73" s="4711"/>
      <c r="E73" s="4711"/>
      <c r="F73" s="4711"/>
      <c r="G73" s="4711"/>
      <c r="H73" s="4712"/>
      <c r="J73" s="2352">
        <v>440</v>
      </c>
      <c r="K73" s="4713" t="s">
        <v>1687</v>
      </c>
      <c r="L73" s="4713"/>
      <c r="M73" s="4714" t="str">
        <f>IF(Metamagia!$R$54+Metamagia!$U$54+Metamagia!$AA$54+Metamagia!$AA$59+Metamagia!$AA$64+Metamagia!$AD$48+Metamagia!$AG$46&gt;6,"Zeón 200","-")</f>
        <v>-</v>
      </c>
      <c r="N73" s="4714"/>
      <c r="O73" s="4714"/>
      <c r="P73" s="4714"/>
      <c r="Q73" s="4715"/>
      <c r="S73" s="614"/>
      <c r="T73" s="512"/>
      <c r="U73" s="31"/>
      <c r="V73" s="716"/>
      <c r="W73" s="4716" t="str">
        <f>IF(W72&lt;&gt;"","Más (Ver Metamagia)","")</f>
        <v/>
      </c>
      <c r="X73" s="4717"/>
      <c r="Y73" s="4717"/>
      <c r="Z73" s="4717"/>
      <c r="AA73" s="4718"/>
      <c r="AB73" s="4719" t="str">
        <f>IF(SUM(Tablas!$P$1139:$P$1183)=0,"",IF(Tablas!A21&gt;MAX(Tablas!$P$1139:$P$1183),"",VLOOKUP(Tablas!A21,Tablas!$P$1139:$T$1183,4,FALSE)))</f>
        <v/>
      </c>
      <c r="AC73" s="4720"/>
      <c r="AD73" s="4720"/>
      <c r="AE73" s="4720"/>
      <c r="AF73" s="4720"/>
      <c r="AG73" s="4720"/>
      <c r="AH73" s="4720"/>
      <c r="AI73" s="4720"/>
      <c r="AJ73" s="4720"/>
      <c r="AK73" s="4721"/>
      <c r="AL73" s="1135"/>
      <c r="AM73" s="31"/>
      <c r="AN73" s="31"/>
      <c r="AO73" s="780"/>
      <c r="AX73" s="790"/>
      <c r="AY73" s="611"/>
      <c r="AZ73" s="1872"/>
      <c r="BA73" s="1872"/>
      <c r="BB73" s="1872"/>
      <c r="BC73" s="1872"/>
      <c r="BD73" s="1872"/>
      <c r="BE73" s="1872"/>
      <c r="BF73" s="1872"/>
      <c r="BG73" s="1872"/>
      <c r="BH73" s="1872"/>
      <c r="BI73" s="1872"/>
      <c r="BJ73" s="1872"/>
      <c r="BK73" s="1872"/>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1872"/>
      <c r="BA74" s="1872"/>
      <c r="BB74" s="1872"/>
      <c r="BC74" s="1872"/>
      <c r="BD74" s="1872"/>
      <c r="BE74" s="1872"/>
      <c r="BF74" s="1872"/>
      <c r="BG74" s="1872"/>
      <c r="BH74" s="1872"/>
      <c r="BI74" s="1872"/>
      <c r="BJ74" s="1872"/>
      <c r="BK74" s="1872"/>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891"/>
      <c r="BA75" s="1872"/>
      <c r="BB75" s="1872"/>
      <c r="BC75" s="1872"/>
      <c r="BD75" s="1872"/>
      <c r="BE75" s="1872"/>
      <c r="BF75" s="1872"/>
      <c r="BG75" s="1872"/>
      <c r="BH75" s="1872"/>
      <c r="BI75" s="1872"/>
      <c r="BJ75" s="1872"/>
      <c r="BK75" s="1872"/>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833" priority="64" stopIfTrue="1" operator="greaterThan">
      <formula>$C$12</formula>
    </cfRule>
  </conditionalFormatting>
  <conditionalFormatting sqref="AK10">
    <cfRule type="cellIs" dxfId="832" priority="65" stopIfTrue="1" operator="equal">
      <formula>0</formula>
    </cfRule>
  </conditionalFormatting>
  <conditionalFormatting sqref="J61:Q61">
    <cfRule type="expression" dxfId="831" priority="1769">
      <formula>$P$25="Invocador"</formula>
    </cfRule>
  </conditionalFormatting>
  <conditionalFormatting sqref="K18:L19">
    <cfRule type="cellIs" dxfId="830" priority="52" operator="lessThan">
      <formula>0</formula>
    </cfRule>
  </conditionalFormatting>
  <conditionalFormatting sqref="AP44:AW44">
    <cfRule type="expression" dxfId="829" priority="33">
      <formula>$AP$44&lt;&gt;""</formula>
    </cfRule>
  </conditionalFormatting>
  <conditionalFormatting sqref="AK12:AK50">
    <cfRule type="expression" dxfId="828" priority="1916" stopIfTrue="1">
      <formula>VLOOKUP(AE12,$C$15:$H$25,6,FALSE)&lt;AK12</formula>
    </cfRule>
  </conditionalFormatting>
  <conditionalFormatting sqref="AG12:AI50">
    <cfRule type="expression" dxfId="827" priority="3" stopIfTrue="1">
      <formula>AK12&lt;VLOOKUP($AG12,Tabla_Conjuros_LA,3,0)</formula>
    </cfRule>
  </conditionalFormatting>
  <conditionalFormatting sqref="AE12:AF50">
    <cfRule type="expression" dxfId="826" priority="1">
      <formula>ISNA(VLOOKUP(AE12,$C$15:$D$25,1,0))</formula>
    </cfRule>
  </conditionalFormatting>
  <conditionalFormatting sqref="AJ12:AJ50">
    <cfRule type="expression" dxfId="825" priority="5802" stopIfTrue="1">
      <formula>AO12&lt;VLOOKUP($AG12,Tabla_Conjuros_LA,3,0)</formula>
    </cfRule>
  </conditionalFormatting>
  <conditionalFormatting sqref="AP55:AW55">
    <cfRule type="expression" dxfId="824" priority="9493">
      <formula>$BB$11</formula>
    </cfRule>
  </conditionalFormatting>
  <conditionalFormatting sqref="AP56:AQ58">
    <cfRule type="expression" dxfId="823" priority="9494">
      <formula>$BB$11</formula>
    </cfRule>
  </conditionalFormatting>
  <conditionalFormatting sqref="AP53:AW54">
    <cfRule type="expression" dxfId="822" priority="9495">
      <formula>$BC$11</formula>
    </cfRule>
  </conditionalFormatting>
  <conditionalFormatting sqref="AP60:AW72">
    <cfRule type="expression" dxfId="821" priority="9496" stopIfTrue="1">
      <formula>NOT($BA$11)</formula>
    </cfRule>
  </conditionalFormatting>
  <conditionalFormatting sqref="AP52:AW52">
    <cfRule type="expression" dxfId="820" priority="9497">
      <formula>$BC$11</formula>
    </cfRule>
  </conditionalFormatting>
  <conditionalFormatting sqref="AP56:AW58">
    <cfRule type="expression" dxfId="819" priority="9498">
      <formula>$BA$11</formula>
    </cfRule>
  </conditionalFormatting>
  <conditionalFormatting sqref="AP55:AU55">
    <cfRule type="expression" dxfId="818" priority="9499">
      <formula>$BA$11</formula>
    </cfRule>
  </conditionalFormatting>
  <conditionalFormatting sqref="AV55:AW55">
    <cfRule type="expression" dxfId="817" priority="9500">
      <formula>$BA$11</formula>
    </cfRule>
  </conditionalFormatting>
  <conditionalFormatting sqref="AP46:AW58">
    <cfRule type="expression" dxfId="816"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ISNUMBER(FIND($C15,VLOOKUP($E15,Tablas!$C$1095:$K$1108,9,FALSE)))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Tablas!$I$1051:$I$1062</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888" t="s">
        <v>8943</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1872"/>
    </row>
    <row r="3" spans="1:37" ht="12" customHeight="1" thickBot="1" x14ac:dyDescent="0.25">
      <c r="A3" s="512">
        <v>15</v>
      </c>
      <c r="B3" s="106"/>
      <c r="C3" s="3187"/>
      <c r="D3" s="3187"/>
      <c r="E3" s="3187"/>
      <c r="F3" s="3187"/>
      <c r="G3" s="3187"/>
      <c r="H3" s="3187"/>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1872"/>
    </row>
    <row r="4" spans="1:37" ht="12" customHeight="1" thickBot="1" x14ac:dyDescent="0.25">
      <c r="A4" s="512">
        <v>20</v>
      </c>
      <c r="B4" s="106"/>
      <c r="C4" s="3187"/>
      <c r="D4" s="3187"/>
      <c r="E4" s="3187"/>
      <c r="F4" s="3187"/>
      <c r="G4" s="3187"/>
      <c r="H4" s="3187"/>
      <c r="I4" s="10"/>
      <c r="J4" s="103"/>
      <c r="K4" s="103"/>
      <c r="L4" s="103"/>
      <c r="M4" s="103"/>
      <c r="N4" s="103"/>
      <c r="O4" s="103"/>
      <c r="P4" s="103"/>
      <c r="Q4" s="103"/>
      <c r="R4" s="103"/>
      <c r="S4" s="103"/>
      <c r="T4" s="103"/>
      <c r="U4" s="103"/>
      <c r="V4" s="31"/>
      <c r="W4" s="31"/>
      <c r="X4" s="31"/>
      <c r="Y4" s="31"/>
      <c r="Z4" s="31"/>
      <c r="AA4" s="3188" t="s">
        <v>1326</v>
      </c>
      <c r="AB4" s="4773"/>
      <c r="AC4" s="4774" t="str">
        <f>IF(OR(General!$F$22="",General!$F$22=0),"",General!$F$22)</f>
        <v/>
      </c>
      <c r="AD4" s="4774"/>
      <c r="AE4" s="4774"/>
      <c r="AF4" s="4774"/>
      <c r="AG4" s="4774"/>
      <c r="AH4" s="1889"/>
      <c r="AI4" s="1888"/>
      <c r="AJ4" s="1883"/>
      <c r="AK4" s="1872"/>
    </row>
    <row r="5" spans="1:37" ht="12" customHeight="1" thickBot="1" x14ac:dyDescent="0.25">
      <c r="A5" s="512">
        <v>25</v>
      </c>
      <c r="B5" s="106"/>
      <c r="C5" s="3187"/>
      <c r="D5" s="3187"/>
      <c r="E5" s="3187"/>
      <c r="F5" s="3187"/>
      <c r="G5" s="3187"/>
      <c r="H5" s="3187"/>
      <c r="I5" s="10"/>
      <c r="J5" s="103"/>
      <c r="K5" s="103"/>
      <c r="L5" s="103"/>
      <c r="M5" s="103"/>
      <c r="N5" s="103"/>
      <c r="O5" s="103"/>
      <c r="P5" s="103"/>
      <c r="Q5" s="103"/>
      <c r="R5" s="103"/>
      <c r="S5" s="103"/>
      <c r="T5" s="103"/>
      <c r="U5" s="103"/>
      <c r="V5" s="31"/>
      <c r="W5" s="31"/>
      <c r="X5" s="31"/>
      <c r="Y5" s="31"/>
      <c r="Z5" s="31"/>
      <c r="AA5" s="3181" t="s">
        <v>1327</v>
      </c>
      <c r="AB5" s="4775"/>
      <c r="AC5" s="3002" t="str">
        <f>PDs!$J$8</f>
        <v/>
      </c>
      <c r="AD5" s="3002"/>
      <c r="AE5" s="3002"/>
      <c r="AF5" s="2474" t="s">
        <v>1328</v>
      </c>
      <c r="AG5" s="2475" t="str">
        <f>Principal!$O$6</f>
        <v>0</v>
      </c>
      <c r="AH5" s="1890"/>
      <c r="AI5" s="1888"/>
      <c r="AJ5" s="1883"/>
      <c r="AK5" s="1872"/>
    </row>
    <row r="6" spans="1:37" ht="12" customHeight="1" thickBot="1" x14ac:dyDescent="0.25">
      <c r="A6" s="582"/>
      <c r="B6" s="108"/>
      <c r="C6" s="3187"/>
      <c r="D6" s="3187"/>
      <c r="E6" s="3187"/>
      <c r="F6" s="3187"/>
      <c r="G6" s="3187"/>
      <c r="H6" s="3187"/>
      <c r="I6" s="10"/>
      <c r="J6" s="103"/>
      <c r="K6" s="103"/>
      <c r="L6" s="103"/>
      <c r="M6" s="103"/>
      <c r="N6" s="103"/>
      <c r="O6" s="103"/>
      <c r="P6" s="103"/>
      <c r="Q6" s="103"/>
      <c r="R6" s="103"/>
      <c r="S6" s="103"/>
      <c r="T6" s="103"/>
      <c r="U6" s="103"/>
      <c r="V6" s="31"/>
      <c r="W6" s="31"/>
      <c r="X6" s="31"/>
      <c r="Y6" s="31"/>
      <c r="Z6" s="31"/>
      <c r="AA6" s="3182" t="s">
        <v>1747</v>
      </c>
      <c r="AB6" s="4776"/>
      <c r="AC6" s="4776"/>
      <c r="AD6" s="4776"/>
      <c r="AE6" s="4776"/>
      <c r="AF6" s="4776"/>
      <c r="AG6" s="4776"/>
      <c r="AH6" s="1890"/>
      <c r="AI6" s="1888"/>
      <c r="AJ6" s="1883"/>
      <c r="AK6" s="1872"/>
    </row>
    <row r="7" spans="1:37" ht="12" customHeight="1" thickBot="1" x14ac:dyDescent="0.25">
      <c r="A7" s="583"/>
      <c r="B7" s="109"/>
      <c r="C7" s="3187"/>
      <c r="D7" s="3187"/>
      <c r="E7" s="3187"/>
      <c r="F7" s="3187"/>
      <c r="G7" s="3187"/>
      <c r="H7" s="3187"/>
      <c r="I7" s="10"/>
      <c r="J7" s="103"/>
      <c r="K7" s="103"/>
      <c r="L7" s="103"/>
      <c r="M7" s="103"/>
      <c r="N7" s="103"/>
      <c r="O7" s="103"/>
      <c r="P7" s="103"/>
      <c r="Q7" s="103"/>
      <c r="R7" s="103"/>
      <c r="S7" s="103"/>
      <c r="T7" s="103"/>
      <c r="U7" s="103"/>
      <c r="V7" s="31"/>
      <c r="W7" s="31"/>
      <c r="X7" s="31"/>
      <c r="Y7" s="31"/>
      <c r="Z7" s="31"/>
      <c r="AA7" s="3182"/>
      <c r="AB7" s="4776"/>
      <c r="AC7" s="4776"/>
      <c r="AD7" s="4776"/>
      <c r="AE7" s="4776"/>
      <c r="AF7" s="4776"/>
      <c r="AG7" s="4776"/>
      <c r="AH7" s="1890"/>
      <c r="AI7" s="1888"/>
      <c r="AJ7" s="1883"/>
      <c r="AK7" s="1872"/>
    </row>
    <row r="8" spans="1:37" ht="12" customHeight="1" thickBot="1" x14ac:dyDescent="0.25">
      <c r="A8" s="583"/>
      <c r="B8" s="109"/>
      <c r="C8" s="3187"/>
      <c r="D8" s="3187"/>
      <c r="E8" s="3187"/>
      <c r="F8" s="3187"/>
      <c r="G8" s="3187"/>
      <c r="H8" s="3187"/>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1872"/>
    </row>
    <row r="9" spans="1:37" ht="12" customHeight="1" thickBot="1" x14ac:dyDescent="0.25">
      <c r="A9" s="584"/>
      <c r="B9" s="111"/>
      <c r="C9" s="28"/>
      <c r="D9" s="28"/>
      <c r="E9" s="28"/>
      <c r="AB9" s="1872"/>
      <c r="AC9" s="1872"/>
      <c r="AD9" s="1872"/>
      <c r="AE9" s="1872"/>
      <c r="AF9" s="1872"/>
      <c r="AG9" s="1872"/>
      <c r="AH9" s="1872"/>
      <c r="AI9" s="1888"/>
      <c r="AJ9" s="1883"/>
      <c r="AK9" s="1872"/>
    </row>
    <row r="10" spans="1:37" ht="12" customHeight="1" thickBot="1" x14ac:dyDescent="0.25">
      <c r="A10" s="585"/>
      <c r="B10" s="106"/>
      <c r="C10" s="28"/>
      <c r="D10" s="28"/>
      <c r="E10" s="28"/>
      <c r="F10" s="28"/>
      <c r="G10" s="28"/>
      <c r="H10" s="112"/>
      <c r="I10" s="4777" t="s">
        <v>1748</v>
      </c>
      <c r="J10" s="4777"/>
      <c r="K10" s="55"/>
      <c r="L10" s="28"/>
      <c r="M10" s="28"/>
      <c r="N10" s="28"/>
      <c r="X10" s="28"/>
      <c r="Y10" s="28"/>
      <c r="Z10" s="112"/>
      <c r="AA10" s="4777" t="s">
        <v>1749</v>
      </c>
      <c r="AB10" s="4778"/>
      <c r="AC10" s="975"/>
      <c r="AD10" s="1872"/>
      <c r="AE10" s="1872"/>
      <c r="AF10" s="612"/>
      <c r="AG10" s="1872"/>
      <c r="AH10" s="1872"/>
      <c r="AI10" s="1888"/>
      <c r="AJ10" s="1883"/>
      <c r="AK10" s="1872"/>
    </row>
    <row r="11" spans="1:37" ht="12" customHeight="1" thickBot="1" x14ac:dyDescent="0.25">
      <c r="A11" s="585"/>
      <c r="B11" s="106"/>
      <c r="C11" s="28"/>
      <c r="D11" s="28"/>
      <c r="E11" s="28"/>
      <c r="F11" s="4777" t="s">
        <v>1750</v>
      </c>
      <c r="G11" s="4777"/>
      <c r="H11" s="113"/>
      <c r="I11" s="4777"/>
      <c r="J11" s="4777"/>
      <c r="K11" s="114"/>
      <c r="L11" s="4777" t="s">
        <v>1751</v>
      </c>
      <c r="M11" s="4777"/>
      <c r="N11" s="112"/>
      <c r="X11" s="4777" t="s">
        <v>1752</v>
      </c>
      <c r="Y11" s="4777"/>
      <c r="Z11" s="113"/>
      <c r="AA11" s="4777"/>
      <c r="AB11" s="4778"/>
      <c r="AC11" s="1932"/>
      <c r="AD11" s="4778" t="s">
        <v>1752</v>
      </c>
      <c r="AE11" s="4778"/>
      <c r="AF11" s="975"/>
      <c r="AG11" s="1872"/>
      <c r="AH11" s="1872"/>
      <c r="AI11" s="1888"/>
      <c r="AJ11" s="1883"/>
      <c r="AK11" s="1872"/>
    </row>
    <row r="12" spans="1:37" ht="12" customHeight="1" thickBot="1" x14ac:dyDescent="0.25">
      <c r="A12" s="512"/>
      <c r="B12" s="106"/>
      <c r="C12" s="28"/>
      <c r="D12" s="28"/>
      <c r="E12" s="112"/>
      <c r="F12" s="4777"/>
      <c r="G12" s="4777"/>
      <c r="H12" s="116"/>
      <c r="I12" s="4777"/>
      <c r="J12" s="4777"/>
      <c r="K12" s="116"/>
      <c r="L12" s="4777"/>
      <c r="M12" s="4777"/>
      <c r="N12" s="112"/>
      <c r="X12" s="4777"/>
      <c r="Y12" s="4777"/>
      <c r="Z12" s="116"/>
      <c r="AA12" s="4777"/>
      <c r="AB12" s="4778"/>
      <c r="AC12" s="975"/>
      <c r="AD12" s="4778"/>
      <c r="AE12" s="4778"/>
      <c r="AF12" s="975"/>
      <c r="AG12" s="1872"/>
      <c r="AH12" s="1872"/>
      <c r="AI12" s="1888"/>
      <c r="AJ12" s="1883"/>
      <c r="AK12" s="1872"/>
    </row>
    <row r="13" spans="1:37" ht="12" customHeight="1" thickBot="1" x14ac:dyDescent="0.25">
      <c r="A13" s="512"/>
      <c r="B13" s="106"/>
      <c r="C13" s="28"/>
      <c r="D13" s="28"/>
      <c r="E13" s="112"/>
      <c r="F13" s="4777"/>
      <c r="G13" s="4777"/>
      <c r="H13" s="116"/>
      <c r="I13" s="117" t="str">
        <f>IF(PDs!$R$15&lt;Metamagia!K10,"Nv "&amp;Metamagia!K10,"")</f>
        <v/>
      </c>
      <c r="J13" s="1854"/>
      <c r="K13" s="116">
        <v>10</v>
      </c>
      <c r="L13" s="4777"/>
      <c r="M13" s="4777"/>
      <c r="N13" s="116"/>
      <c r="X13" s="4777"/>
      <c r="Y13" s="4777"/>
      <c r="Z13" s="116"/>
      <c r="AA13" s="117" t="str">
        <f>IF(PDs!$R$15&lt;Metamagia!AC10,"Nv "&amp;Metamagia!AC10,"")</f>
        <v/>
      </c>
      <c r="AB13" s="1894"/>
      <c r="AC13" s="975">
        <v>5</v>
      </c>
      <c r="AD13" s="4778"/>
      <c r="AE13" s="4778"/>
      <c r="AF13" s="975"/>
      <c r="AG13" s="1872"/>
      <c r="AH13" s="1872"/>
      <c r="AI13" s="1888"/>
      <c r="AJ13" s="1883"/>
      <c r="AK13" s="1872"/>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1872"/>
    </row>
    <row r="15" spans="1:37" ht="12" customHeight="1" thickBot="1" x14ac:dyDescent="0.25">
      <c r="A15" s="512"/>
      <c r="B15" s="106"/>
      <c r="F15" s="98">
        <f>IF(G14&gt;0,1,0)</f>
        <v>0</v>
      </c>
      <c r="G15" s="104"/>
      <c r="H15" s="116"/>
      <c r="I15" s="4777" t="s">
        <v>1753</v>
      </c>
      <c r="J15" s="4777"/>
      <c r="K15" s="116"/>
      <c r="L15" s="119">
        <f>IF(M14&gt;0,1,0)</f>
        <v>0</v>
      </c>
      <c r="M15" s="28"/>
      <c r="N15" s="116"/>
      <c r="O15" s="28"/>
      <c r="P15" s="28"/>
      <c r="Q15" s="112"/>
      <c r="R15" s="4777" t="s">
        <v>1751</v>
      </c>
      <c r="S15" s="4777"/>
      <c r="T15" s="28"/>
      <c r="W15" s="55"/>
      <c r="X15" s="98">
        <f>IF(Y14&gt;0,1,0)</f>
        <v>0</v>
      </c>
      <c r="Y15" s="104"/>
      <c r="Z15" s="116"/>
      <c r="AA15" s="4777" t="s">
        <v>1754</v>
      </c>
      <c r="AB15" s="4778"/>
      <c r="AC15" s="975"/>
      <c r="AD15" s="1938">
        <f>IF(AE14&gt;0,1,0)</f>
        <v>0</v>
      </c>
      <c r="AE15" s="1872"/>
      <c r="AF15" s="975"/>
      <c r="AG15" s="1872"/>
      <c r="AH15" s="1872"/>
      <c r="AI15" s="1888"/>
      <c r="AJ15" s="1883"/>
      <c r="AK15" s="1872"/>
    </row>
    <row r="16" spans="1:37" ht="12" customHeight="1" thickBot="1" x14ac:dyDescent="0.25">
      <c r="A16" s="512"/>
      <c r="B16" s="106"/>
      <c r="F16" s="28"/>
      <c r="G16" s="120"/>
      <c r="H16" s="114"/>
      <c r="I16" s="4777"/>
      <c r="J16" s="4777"/>
      <c r="K16" s="121"/>
      <c r="L16" s="122"/>
      <c r="M16" s="28"/>
      <c r="N16" s="116"/>
      <c r="O16" s="28"/>
      <c r="P16" s="123"/>
      <c r="Q16" s="124"/>
      <c r="R16" s="4777"/>
      <c r="S16" s="4777"/>
      <c r="T16" s="112"/>
      <c r="W16" s="55"/>
      <c r="X16" s="28"/>
      <c r="Y16" s="120"/>
      <c r="Z16" s="114"/>
      <c r="AA16" s="4777"/>
      <c r="AB16" s="4778"/>
      <c r="AC16" s="982"/>
      <c r="AD16" s="1896"/>
      <c r="AE16" s="1872"/>
      <c r="AF16" s="975"/>
      <c r="AG16" s="1872"/>
      <c r="AH16" s="1872"/>
      <c r="AI16" s="1888"/>
      <c r="AJ16" s="1883"/>
      <c r="AK16" s="1872"/>
    </row>
    <row r="17" spans="1:37" ht="12" customHeight="1" x14ac:dyDescent="0.2">
      <c r="A17" s="512"/>
      <c r="B17" s="106"/>
      <c r="F17" s="28"/>
      <c r="G17" s="106"/>
      <c r="H17" s="116"/>
      <c r="I17" s="4777"/>
      <c r="J17" s="4777"/>
      <c r="K17" s="116"/>
      <c r="L17" s="125"/>
      <c r="M17" s="28"/>
      <c r="N17" s="116"/>
      <c r="O17" s="125"/>
      <c r="P17" s="28"/>
      <c r="Q17" s="112"/>
      <c r="R17" s="4777"/>
      <c r="S17" s="4777"/>
      <c r="T17" s="116"/>
      <c r="W17" s="55"/>
      <c r="X17" s="28"/>
      <c r="Y17" s="106"/>
      <c r="Z17" s="116"/>
      <c r="AA17" s="4777"/>
      <c r="AB17" s="4778"/>
      <c r="AC17" s="975"/>
      <c r="AD17" s="1888"/>
      <c r="AE17" s="1872"/>
      <c r="AF17" s="975"/>
      <c r="AG17" s="1872"/>
      <c r="AH17" s="1872"/>
      <c r="AI17" s="1888"/>
      <c r="AJ17" s="1883"/>
      <c r="AK17" s="1872"/>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1872"/>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1872"/>
    </row>
    <row r="20" spans="1:37" ht="12" customHeight="1" thickBot="1" x14ac:dyDescent="0.25">
      <c r="A20" s="512"/>
      <c r="B20" s="106"/>
      <c r="C20" s="4777" t="s">
        <v>1751</v>
      </c>
      <c r="D20" s="4777"/>
      <c r="E20" s="116"/>
      <c r="F20" s="4777" t="s">
        <v>1755</v>
      </c>
      <c r="G20" s="4777"/>
      <c r="H20" s="116">
        <v>3</v>
      </c>
      <c r="I20" s="4777" t="s">
        <v>1756</v>
      </c>
      <c r="J20" s="4777"/>
      <c r="K20" s="116">
        <v>4</v>
      </c>
      <c r="L20" s="4777" t="s">
        <v>1757</v>
      </c>
      <c r="M20" s="4777"/>
      <c r="N20" s="116">
        <v>2</v>
      </c>
      <c r="O20" s="4777" t="s">
        <v>1748</v>
      </c>
      <c r="P20" s="4777"/>
      <c r="Q20" s="116">
        <v>4</v>
      </c>
      <c r="R20" s="4777" t="s">
        <v>1756</v>
      </c>
      <c r="S20" s="4777"/>
      <c r="T20" s="116">
        <v>5</v>
      </c>
      <c r="U20" s="4777" t="s">
        <v>1754</v>
      </c>
      <c r="V20" s="4777"/>
      <c r="W20" s="55"/>
      <c r="X20" s="4777" t="s">
        <v>1758</v>
      </c>
      <c r="Y20" s="4777"/>
      <c r="Z20" s="116">
        <v>3</v>
      </c>
      <c r="AA20" s="4777" t="s">
        <v>1759</v>
      </c>
      <c r="AB20" s="4778"/>
      <c r="AC20" s="975">
        <v>5</v>
      </c>
      <c r="AD20" s="4778" t="s">
        <v>1760</v>
      </c>
      <c r="AE20" s="4778"/>
      <c r="AF20" s="975">
        <v>2</v>
      </c>
      <c r="AG20" s="4778" t="s">
        <v>1758</v>
      </c>
      <c r="AH20" s="4778"/>
      <c r="AI20" s="1935">
        <v>3</v>
      </c>
      <c r="AJ20" s="1883"/>
      <c r="AK20" s="1872"/>
    </row>
    <row r="21" spans="1:37" ht="12" customHeight="1" thickBot="1" x14ac:dyDescent="0.25">
      <c r="A21" s="512"/>
      <c r="B21" s="106"/>
      <c r="C21" s="4777"/>
      <c r="D21" s="4777"/>
      <c r="E21" s="113"/>
      <c r="F21" s="4777"/>
      <c r="G21" s="4777"/>
      <c r="H21" s="113"/>
      <c r="I21" s="4777"/>
      <c r="J21" s="4777"/>
      <c r="K21" s="113"/>
      <c r="L21" s="4777"/>
      <c r="M21" s="4777"/>
      <c r="N21" s="113"/>
      <c r="O21" s="4777"/>
      <c r="P21" s="4777"/>
      <c r="Q21" s="116"/>
      <c r="R21" s="4777"/>
      <c r="S21" s="4777"/>
      <c r="T21" s="116"/>
      <c r="U21" s="4777"/>
      <c r="V21" s="4777"/>
      <c r="W21" s="115"/>
      <c r="X21" s="4777"/>
      <c r="Y21" s="4777"/>
      <c r="Z21" s="113"/>
      <c r="AA21" s="4777"/>
      <c r="AB21" s="4778"/>
      <c r="AC21" s="1932"/>
      <c r="AD21" s="4778"/>
      <c r="AE21" s="4778"/>
      <c r="AF21" s="1932"/>
      <c r="AG21" s="4778"/>
      <c r="AH21" s="4778"/>
      <c r="AI21" s="1935"/>
      <c r="AJ21" s="1883"/>
      <c r="AK21" s="1872"/>
    </row>
    <row r="22" spans="1:37" ht="12" customHeight="1" x14ac:dyDescent="0.2">
      <c r="A22" s="512"/>
      <c r="B22" s="106"/>
      <c r="C22" s="4777"/>
      <c r="D22" s="4777"/>
      <c r="E22" s="116"/>
      <c r="F22" s="4777"/>
      <c r="G22" s="4777"/>
      <c r="H22" s="116"/>
      <c r="I22" s="4777"/>
      <c r="J22" s="4777"/>
      <c r="K22" s="116"/>
      <c r="L22" s="4777"/>
      <c r="M22" s="4777"/>
      <c r="N22" s="116"/>
      <c r="O22" s="4777"/>
      <c r="P22" s="4777"/>
      <c r="Q22" s="116"/>
      <c r="R22" s="4777"/>
      <c r="S22" s="4777"/>
      <c r="T22" s="116"/>
      <c r="U22" s="4777"/>
      <c r="V22" s="4777"/>
      <c r="W22" s="55"/>
      <c r="X22" s="4777"/>
      <c r="Y22" s="4777"/>
      <c r="Z22" s="116"/>
      <c r="AA22" s="4777"/>
      <c r="AB22" s="4778"/>
      <c r="AC22" s="975"/>
      <c r="AD22" s="4778"/>
      <c r="AE22" s="4778"/>
      <c r="AF22" s="975"/>
      <c r="AG22" s="4778"/>
      <c r="AH22" s="4778"/>
      <c r="AI22" s="1935"/>
      <c r="AJ22" s="1883"/>
      <c r="AK22" s="1872"/>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1872"/>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1872"/>
    </row>
    <row r="25" spans="1:37" ht="12" customHeight="1" thickBot="1" x14ac:dyDescent="0.25">
      <c r="A25" s="512"/>
      <c r="B25" s="106"/>
      <c r="D25" s="38"/>
      <c r="E25" s="51"/>
      <c r="F25" s="122"/>
      <c r="G25" s="28"/>
      <c r="H25" s="116"/>
      <c r="I25" s="4777" t="s">
        <v>1757</v>
      </c>
      <c r="J25" s="4777"/>
      <c r="K25" s="116">
        <v>6</v>
      </c>
      <c r="L25" s="122"/>
      <c r="M25" s="28"/>
      <c r="N25" s="116"/>
      <c r="O25" s="28"/>
      <c r="P25" s="28"/>
      <c r="Q25" s="116"/>
      <c r="R25" s="4777" t="s">
        <v>1761</v>
      </c>
      <c r="S25" s="4777"/>
      <c r="T25" s="116">
        <v>2</v>
      </c>
      <c r="U25" s="39"/>
      <c r="W25" s="55"/>
      <c r="X25" s="122"/>
      <c r="Y25" s="28"/>
      <c r="Z25" s="116"/>
      <c r="AA25" s="4777" t="s">
        <v>1762</v>
      </c>
      <c r="AB25" s="4778"/>
      <c r="AC25" s="975">
        <v>8</v>
      </c>
      <c r="AD25" s="1896"/>
      <c r="AE25" s="1872"/>
      <c r="AF25" s="975"/>
      <c r="AG25" s="1872"/>
      <c r="AH25" s="1898"/>
      <c r="AI25" s="1935"/>
      <c r="AJ25" s="1883"/>
      <c r="AK25" s="1872"/>
    </row>
    <row r="26" spans="1:37" ht="12" customHeight="1" thickBot="1" x14ac:dyDescent="0.25">
      <c r="A26" s="512"/>
      <c r="B26" s="106"/>
      <c r="D26" s="38"/>
      <c r="E26" s="51"/>
      <c r="F26" s="4777" t="s">
        <v>1753</v>
      </c>
      <c r="G26" s="4777"/>
      <c r="H26" s="116">
        <v>6</v>
      </c>
      <c r="I26" s="4777"/>
      <c r="J26" s="4777"/>
      <c r="K26" s="116"/>
      <c r="L26" s="4777" t="s">
        <v>1755</v>
      </c>
      <c r="M26" s="4777"/>
      <c r="N26" s="116">
        <v>6</v>
      </c>
      <c r="O26" s="28"/>
      <c r="P26" s="28"/>
      <c r="Q26" s="116"/>
      <c r="R26" s="4777"/>
      <c r="S26" s="4777"/>
      <c r="T26" s="121"/>
      <c r="U26" s="77"/>
      <c r="W26" s="55"/>
      <c r="X26" s="4777" t="s">
        <v>1763</v>
      </c>
      <c r="Y26" s="4777"/>
      <c r="Z26" s="116">
        <v>7</v>
      </c>
      <c r="AA26" s="4777"/>
      <c r="AB26" s="4778"/>
      <c r="AC26" s="975"/>
      <c r="AD26" s="4778" t="s">
        <v>1764</v>
      </c>
      <c r="AE26" s="4778"/>
      <c r="AF26" s="975">
        <v>8</v>
      </c>
      <c r="AG26" s="1872"/>
      <c r="AH26" s="1898"/>
      <c r="AI26" s="1875"/>
      <c r="AJ26" s="1883"/>
      <c r="AK26" s="1872"/>
    </row>
    <row r="27" spans="1:37" ht="12" customHeight="1" thickBot="1" x14ac:dyDescent="0.25">
      <c r="A27" s="512"/>
      <c r="B27" s="106"/>
      <c r="D27" s="75"/>
      <c r="E27" s="51"/>
      <c r="F27" s="4777"/>
      <c r="G27" s="4777"/>
      <c r="H27" s="116"/>
      <c r="I27" s="4777"/>
      <c r="J27" s="4777"/>
      <c r="K27" s="116"/>
      <c r="L27" s="4777"/>
      <c r="M27" s="4777"/>
      <c r="N27" s="116"/>
      <c r="O27" s="28"/>
      <c r="P27" s="28"/>
      <c r="Q27" s="112"/>
      <c r="R27" s="4777"/>
      <c r="S27" s="4777"/>
      <c r="T27" s="116"/>
      <c r="W27" s="55"/>
      <c r="X27" s="4777"/>
      <c r="Y27" s="4777"/>
      <c r="Z27" s="116"/>
      <c r="AA27" s="4777"/>
      <c r="AB27" s="4778"/>
      <c r="AC27" s="975"/>
      <c r="AD27" s="4778"/>
      <c r="AE27" s="4778"/>
      <c r="AF27" s="975"/>
      <c r="AG27" s="1872"/>
      <c r="AH27" s="1899"/>
      <c r="AI27" s="1875"/>
      <c r="AJ27" s="1883"/>
      <c r="AK27" s="1872"/>
    </row>
    <row r="28" spans="1:37" ht="12" customHeight="1" thickBot="1" x14ac:dyDescent="0.25">
      <c r="A28" s="512"/>
      <c r="B28" s="106"/>
      <c r="C28" s="4777" t="s">
        <v>1750</v>
      </c>
      <c r="D28" s="4777"/>
      <c r="E28" s="116">
        <v>4</v>
      </c>
      <c r="F28" s="4777"/>
      <c r="G28" s="4777"/>
      <c r="H28" s="116"/>
      <c r="I28" s="117" t="str">
        <f>IF(PDs!$R$15&lt;Metamagia!K25,"Nv "&amp;Metamagia!K25,"")</f>
        <v>Nv 6</v>
      </c>
      <c r="J28" s="1854"/>
      <c r="K28" s="116">
        <v>10</v>
      </c>
      <c r="L28" s="4777"/>
      <c r="M28" s="4777"/>
      <c r="N28" s="116"/>
      <c r="O28" s="28"/>
      <c r="P28" s="28"/>
      <c r="Q28" s="112"/>
      <c r="R28" s="117" t="str">
        <f>IF(PDs!$R$15&lt;Metamagia!T25,"Nv "&amp;Metamagia!T25,"")</f>
        <v>Nv 2</v>
      </c>
      <c r="S28" s="1854"/>
      <c r="T28" s="116">
        <v>5</v>
      </c>
      <c r="W28" s="55"/>
      <c r="X28" s="4777"/>
      <c r="Y28" s="4777"/>
      <c r="Z28" s="116"/>
      <c r="AA28" s="117" t="str">
        <f>IF(PDs!$R$15&lt;Metamagia!AC25,"Nv "&amp;Metamagia!AC25,"")</f>
        <v>Nv 8</v>
      </c>
      <c r="AB28" s="1894"/>
      <c r="AC28" s="975">
        <v>5</v>
      </c>
      <c r="AD28" s="4778"/>
      <c r="AE28" s="4778"/>
      <c r="AF28" s="975"/>
      <c r="AG28" s="4778" t="s">
        <v>1760</v>
      </c>
      <c r="AH28" s="4778"/>
      <c r="AI28" s="1935">
        <v>4</v>
      </c>
      <c r="AJ28" s="1883"/>
      <c r="AK28" s="1872"/>
    </row>
    <row r="29" spans="1:37" ht="12" customHeight="1" thickBot="1" x14ac:dyDescent="0.25">
      <c r="A29" s="512"/>
      <c r="B29" s="106"/>
      <c r="C29" s="4777"/>
      <c r="D29" s="4777"/>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78"/>
      <c r="AH29" s="4778"/>
      <c r="AI29" s="1935"/>
      <c r="AJ29" s="1883"/>
      <c r="AK29" s="1872"/>
    </row>
    <row r="30" spans="1:37" ht="12" customHeight="1" thickBot="1" x14ac:dyDescent="0.25">
      <c r="A30" s="512"/>
      <c r="B30" s="106"/>
      <c r="C30" s="4777"/>
      <c r="D30" s="4777"/>
      <c r="E30" s="116"/>
      <c r="F30" s="119">
        <f>IF(G29&gt;0,1,0)</f>
        <v>0</v>
      </c>
      <c r="G30" s="123"/>
      <c r="H30" s="114"/>
      <c r="I30" s="4777" t="s">
        <v>1756</v>
      </c>
      <c r="J30" s="4777"/>
      <c r="K30" s="129">
        <v>7</v>
      </c>
      <c r="L30" s="126">
        <f>IF(M29&gt;0,1,0)</f>
        <v>0</v>
      </c>
      <c r="M30" s="28"/>
      <c r="N30" s="116"/>
      <c r="W30" s="55"/>
      <c r="X30" s="119">
        <f>IF(Y29&gt;0,1,0)</f>
        <v>0</v>
      </c>
      <c r="Y30" s="123"/>
      <c r="Z30" s="114"/>
      <c r="AA30" s="4777" t="s">
        <v>1765</v>
      </c>
      <c r="AB30" s="4778"/>
      <c r="AC30" s="1933">
        <v>9</v>
      </c>
      <c r="AD30" s="1939">
        <f>IF(AE29&gt;0,1,0)</f>
        <v>0</v>
      </c>
      <c r="AE30" s="1872"/>
      <c r="AF30" s="975"/>
      <c r="AG30" s="4778"/>
      <c r="AH30" s="4778"/>
      <c r="AI30" s="1935"/>
      <c r="AJ30" s="1883"/>
      <c r="AK30" s="1872"/>
    </row>
    <row r="31" spans="1:37" ht="12" customHeight="1" thickBot="1" x14ac:dyDescent="0.25">
      <c r="A31" s="512"/>
      <c r="B31" s="106"/>
      <c r="C31" s="117" t="str">
        <f>IF(PDs!$R$15&lt;Metamagia!E28,"Nv "&amp;Metamagia!E28,"")</f>
        <v>Nv 4</v>
      </c>
      <c r="D31" s="1854"/>
      <c r="E31" s="116">
        <v>5</v>
      </c>
      <c r="F31" s="130"/>
      <c r="G31" s="28"/>
      <c r="H31" s="116"/>
      <c r="I31" s="4777"/>
      <c r="J31" s="4777"/>
      <c r="K31" s="131"/>
      <c r="L31" s="28"/>
      <c r="M31" s="28"/>
      <c r="N31" s="116"/>
      <c r="W31" s="55"/>
      <c r="X31" s="130"/>
      <c r="Y31" s="28"/>
      <c r="Z31" s="116"/>
      <c r="AA31" s="4777"/>
      <c r="AB31" s="4778"/>
      <c r="AC31" s="1934"/>
      <c r="AD31" s="1872"/>
      <c r="AE31" s="1872"/>
      <c r="AF31" s="975"/>
      <c r="AG31" s="1940" t="str">
        <f>IF(PDs!$R$15&lt;Metamagia!AI28,"Nv "&amp;Metamagia!AI28,"")</f>
        <v>Nv 4</v>
      </c>
      <c r="AH31" s="1894"/>
      <c r="AI31" s="1935">
        <v>5</v>
      </c>
      <c r="AJ31" s="1883"/>
      <c r="AK31" s="1872"/>
    </row>
    <row r="32" spans="1:37" ht="12" customHeight="1" thickBot="1" x14ac:dyDescent="0.25">
      <c r="A32" s="512"/>
      <c r="B32" s="106"/>
      <c r="C32" s="128">
        <f>IF(D31&gt;0,1,0)</f>
        <v>0</v>
      </c>
      <c r="D32" s="132"/>
      <c r="E32" s="133"/>
      <c r="F32" s="134"/>
      <c r="G32" s="28"/>
      <c r="H32" s="116"/>
      <c r="I32" s="4777"/>
      <c r="J32" s="4777"/>
      <c r="K32" s="131"/>
      <c r="L32" s="28"/>
      <c r="M32" s="28"/>
      <c r="N32" s="116"/>
      <c r="W32" s="55"/>
      <c r="X32" s="134"/>
      <c r="Y32" s="28"/>
      <c r="Z32" s="116"/>
      <c r="AA32" s="4777"/>
      <c r="AB32" s="4778"/>
      <c r="AC32" s="1934"/>
      <c r="AD32" s="1872"/>
      <c r="AE32" s="1872"/>
      <c r="AF32" s="975"/>
      <c r="AG32" s="1941">
        <f>IF(AH31&gt;0,1,0)</f>
        <v>0</v>
      </c>
      <c r="AH32" s="1900"/>
      <c r="AI32" s="1935"/>
      <c r="AJ32" s="1883"/>
      <c r="AK32" s="1872"/>
    </row>
    <row r="33" spans="1:37" ht="12" customHeight="1" thickBot="1" x14ac:dyDescent="0.25">
      <c r="A33" s="512"/>
      <c r="B33" s="106"/>
      <c r="D33" s="38"/>
      <c r="E33" s="51"/>
      <c r="F33" s="4777" t="s">
        <v>1766</v>
      </c>
      <c r="G33" s="4777"/>
      <c r="H33" s="116">
        <v>10</v>
      </c>
      <c r="I33" s="117" t="str">
        <f>IF(PDs!$R$15&lt;Metamagia!K30,"Nv "&amp;Metamagia!K30,"")</f>
        <v>Nv 7</v>
      </c>
      <c r="J33" s="1854"/>
      <c r="K33" s="131">
        <v>10</v>
      </c>
      <c r="L33" s="28"/>
      <c r="M33" s="28"/>
      <c r="N33" s="116"/>
      <c r="W33" s="55"/>
      <c r="X33" s="4777" t="s">
        <v>1767</v>
      </c>
      <c r="Y33" s="4777"/>
      <c r="Z33" s="116">
        <v>10</v>
      </c>
      <c r="AA33" s="117" t="str">
        <f>IF(PDs!$R$15&lt;Metamagia!AC30,"Nv "&amp;Metamagia!AC30,"")</f>
        <v>Nv 9</v>
      </c>
      <c r="AB33" s="1894"/>
      <c r="AC33" s="1934">
        <v>20</v>
      </c>
      <c r="AD33" s="1872"/>
      <c r="AE33" s="1872"/>
      <c r="AF33" s="975"/>
      <c r="AG33" s="1872"/>
      <c r="AH33" s="1898"/>
      <c r="AI33" s="1875"/>
      <c r="AJ33" s="1883"/>
      <c r="AK33" s="1872"/>
    </row>
    <row r="34" spans="1:37" ht="12" customHeight="1" thickBot="1" x14ac:dyDescent="0.25">
      <c r="A34" s="512"/>
      <c r="B34" s="106"/>
      <c r="D34" s="75"/>
      <c r="E34" s="51"/>
      <c r="F34" s="4777"/>
      <c r="G34" s="4777"/>
      <c r="H34" s="121"/>
      <c r="I34" s="119">
        <f>IF(J33&gt;0,1,0)</f>
        <v>0</v>
      </c>
      <c r="J34" s="28"/>
      <c r="K34" s="116"/>
      <c r="N34" s="51"/>
      <c r="X34" s="4777"/>
      <c r="Y34" s="4777"/>
      <c r="Z34" s="121"/>
      <c r="AA34" s="126">
        <f>IF(AB33&gt;0,1,0)</f>
        <v>0</v>
      </c>
      <c r="AB34" s="1897"/>
      <c r="AC34" s="975"/>
      <c r="AD34" s="1872"/>
      <c r="AE34" s="1872"/>
      <c r="AF34" s="612"/>
      <c r="AG34" s="1872"/>
      <c r="AH34" s="1899"/>
      <c r="AI34" s="1875"/>
      <c r="AJ34" s="1883"/>
      <c r="AK34" s="1872"/>
    </row>
    <row r="35" spans="1:37" ht="12" customHeight="1" thickBot="1" x14ac:dyDescent="0.25">
      <c r="A35" s="512"/>
      <c r="B35" s="106"/>
      <c r="C35" s="4777" t="s">
        <v>1753</v>
      </c>
      <c r="D35" s="4777"/>
      <c r="E35" s="116">
        <v>5</v>
      </c>
      <c r="F35" s="4777"/>
      <c r="G35" s="4777"/>
      <c r="H35" s="116"/>
      <c r="I35" s="105"/>
      <c r="J35" s="28"/>
      <c r="K35" s="116"/>
      <c r="N35" s="51"/>
      <c r="P35" s="3324" t="s">
        <v>1516</v>
      </c>
      <c r="Q35" s="3324"/>
      <c r="R35" s="3324"/>
      <c r="S35" s="3324"/>
      <c r="T35" s="3324"/>
      <c r="U35" s="3324"/>
      <c r="X35" s="4777"/>
      <c r="Y35" s="4777"/>
      <c r="Z35" s="116"/>
      <c r="AA35" s="28"/>
      <c r="AB35" s="1872"/>
      <c r="AC35" s="975"/>
      <c r="AD35" s="1872"/>
      <c r="AE35" s="1872"/>
      <c r="AF35" s="612"/>
      <c r="AG35" s="4778" t="s">
        <v>1768</v>
      </c>
      <c r="AH35" s="4778"/>
      <c r="AI35" s="1935">
        <v>5</v>
      </c>
      <c r="AJ35" s="1883"/>
      <c r="AK35" s="1872"/>
    </row>
    <row r="36" spans="1:37" ht="12" customHeight="1" thickBot="1" x14ac:dyDescent="0.25">
      <c r="A36" s="512"/>
      <c r="B36" s="106"/>
      <c r="C36" s="4777"/>
      <c r="D36" s="4777"/>
      <c r="E36" s="116"/>
      <c r="F36" s="117" t="str">
        <f>IF(PDs!$R$15&lt;Metamagia!H33,"Nv "&amp;Metamagia!H33,"")</f>
        <v>Nv 10</v>
      </c>
      <c r="G36" s="1854"/>
      <c r="H36" s="116">
        <v>20</v>
      </c>
      <c r="I36" s="28"/>
      <c r="J36" s="28"/>
      <c r="K36" s="116"/>
      <c r="N36" s="51"/>
      <c r="P36" s="4779" t="s">
        <v>1693</v>
      </c>
      <c r="Q36" s="4779"/>
      <c r="R36" s="4780" t="s">
        <v>1694</v>
      </c>
      <c r="S36" s="4780"/>
      <c r="T36" s="4781" t="s">
        <v>1695</v>
      </c>
      <c r="U36" s="4781"/>
      <c r="X36" s="117" t="str">
        <f>IF(PDs!$R$15&lt;Metamagia!Z33,"Nv "&amp;Metamagia!Z33,"")</f>
        <v>Nv 10</v>
      </c>
      <c r="Y36" s="1854"/>
      <c r="Z36" s="116">
        <v>20</v>
      </c>
      <c r="AA36" s="28"/>
      <c r="AB36" s="1872"/>
      <c r="AC36" s="975"/>
      <c r="AD36" s="1872"/>
      <c r="AE36" s="1872"/>
      <c r="AF36" s="612"/>
      <c r="AG36" s="4778"/>
      <c r="AH36" s="4778"/>
      <c r="AI36" s="1935"/>
      <c r="AJ36" s="1883"/>
      <c r="AK36" s="1872"/>
    </row>
    <row r="37" spans="1:37" ht="12" customHeight="1" thickBot="1" x14ac:dyDescent="0.25">
      <c r="A37" s="512"/>
      <c r="B37" s="106"/>
      <c r="C37" s="4777"/>
      <c r="D37" s="4777"/>
      <c r="E37" s="116"/>
      <c r="F37" s="98">
        <f>IF(G36&gt;0,1,0)</f>
        <v>0</v>
      </c>
      <c r="H37" s="51"/>
      <c r="I37" s="28"/>
      <c r="J37" s="28"/>
      <c r="K37" s="116"/>
      <c r="L37" s="4777" t="s">
        <v>1769</v>
      </c>
      <c r="M37" s="4777"/>
      <c r="N37" s="116">
        <v>10</v>
      </c>
      <c r="P37" s="4782">
        <f>Místicos!$C$12</f>
        <v>0</v>
      </c>
      <c r="Q37" s="4782"/>
      <c r="R37" s="4783">
        <f>Místicos!$E$12</f>
        <v>0</v>
      </c>
      <c r="S37" s="4783"/>
      <c r="T37" s="4784">
        <f>D23+D31+D38+D45+D53+G14+G23+G29+G36+G47+G53+G62+J13+J18+J23+J28+J33+J43+J48+J53+J58+J63+M14+M23+M29+M40+M47+M53+M62+P23+P53+S18+S23+S28+S48+S53+S58+V23+V53+Y14+Y23+Y29+Y36+Y47+Y53+Y62+AB13+AB18+AB23+AB28+AB33+AB43+AB48+AB53+AB58+AB63+AE14+AE23+AE29+AE40+AE47+AE53+AE62+AH23+AH31+AH38+AH45+AH53</f>
        <v>0</v>
      </c>
      <c r="U37" s="4784"/>
      <c r="X37" s="98">
        <f>IF(Y36&gt;0,1,0)</f>
        <v>0</v>
      </c>
      <c r="Z37" s="51"/>
      <c r="AA37" s="28"/>
      <c r="AB37" s="1872"/>
      <c r="AC37" s="1935"/>
      <c r="AD37" s="4778" t="s">
        <v>1770</v>
      </c>
      <c r="AE37" s="4778"/>
      <c r="AF37" s="975">
        <v>10</v>
      </c>
      <c r="AG37" s="4778"/>
      <c r="AH37" s="4778"/>
      <c r="AI37" s="1935"/>
      <c r="AJ37" s="1883"/>
      <c r="AK37" s="1872"/>
    </row>
    <row r="38" spans="1:37" ht="12" customHeight="1" thickBot="1" x14ac:dyDescent="0.25">
      <c r="A38" s="512"/>
      <c r="B38" s="106"/>
      <c r="C38" s="117" t="str">
        <f>IF(PDs!$R$15&lt;Metamagia!E35,"Nv "&amp;Metamagia!E35,"")</f>
        <v>Nv 5</v>
      </c>
      <c r="D38" s="1854"/>
      <c r="E38" s="116">
        <v>10</v>
      </c>
      <c r="H38" s="51"/>
      <c r="I38" s="28"/>
      <c r="J38" s="76"/>
      <c r="K38" s="135"/>
      <c r="L38" s="4777"/>
      <c r="M38" s="4777"/>
      <c r="N38" s="136"/>
      <c r="P38" s="4782"/>
      <c r="Q38" s="4782"/>
      <c r="R38" s="4783"/>
      <c r="S38" s="4783"/>
      <c r="T38" s="4784"/>
      <c r="U38" s="4784"/>
      <c r="W38" s="55"/>
      <c r="Z38" s="51"/>
      <c r="AA38" s="28"/>
      <c r="AB38" s="1901"/>
      <c r="AC38" s="1936"/>
      <c r="AD38" s="4778"/>
      <c r="AE38" s="4778"/>
      <c r="AF38" s="975"/>
      <c r="AG38" s="1940" t="str">
        <f>IF(PDs!$R$15&lt;Metamagia!AI35,"Nv "&amp;Metamagia!AI35,"")</f>
        <v>Nv 5</v>
      </c>
      <c r="AH38" s="1894"/>
      <c r="AI38" s="1935">
        <v>5</v>
      </c>
      <c r="AJ38" s="1883"/>
      <c r="AK38" s="1872"/>
    </row>
    <row r="39" spans="1:37" ht="12" customHeight="1" thickBot="1" x14ac:dyDescent="0.25">
      <c r="A39" s="512"/>
      <c r="B39" s="106"/>
      <c r="C39" s="128">
        <f>IF(D38&gt;0,1,0)</f>
        <v>0</v>
      </c>
      <c r="D39" s="104"/>
      <c r="E39" s="116"/>
      <c r="H39" s="51"/>
      <c r="I39" s="122"/>
      <c r="J39" s="28"/>
      <c r="K39" s="116"/>
      <c r="L39" s="4777"/>
      <c r="M39" s="4777"/>
      <c r="N39" s="116"/>
      <c r="W39" s="55"/>
      <c r="Z39" s="51"/>
      <c r="AA39" s="28"/>
      <c r="AB39" s="1899"/>
      <c r="AC39" s="1935"/>
      <c r="AD39" s="4778"/>
      <c r="AE39" s="4778"/>
      <c r="AF39" s="975"/>
      <c r="AG39" s="718">
        <f>IF(AH38&gt;0,1,0)</f>
        <v>0</v>
      </c>
      <c r="AH39" s="1898"/>
      <c r="AI39" s="1935"/>
      <c r="AJ39" s="1883"/>
      <c r="AK39" s="1872"/>
    </row>
    <row r="40" spans="1:37" ht="12" customHeight="1" thickBot="1" x14ac:dyDescent="0.25">
      <c r="A40" s="512"/>
      <c r="B40" s="106"/>
      <c r="C40" s="28"/>
      <c r="D40" s="106"/>
      <c r="E40" s="116"/>
      <c r="F40" s="137"/>
      <c r="G40" s="28"/>
      <c r="H40" s="116"/>
      <c r="I40" s="4777" t="s">
        <v>1771</v>
      </c>
      <c r="J40" s="4777"/>
      <c r="K40" s="116">
        <v>7</v>
      </c>
      <c r="L40" s="117" t="str">
        <f>IF(PDs!$R$15&lt;Metamagia!N37,"Nv "&amp;Metamagia!N37,"")</f>
        <v>Nv 10</v>
      </c>
      <c r="M40" s="1854"/>
      <c r="N40" s="116">
        <v>20</v>
      </c>
      <c r="W40" s="55"/>
      <c r="Z40" s="51"/>
      <c r="AA40" s="4777" t="s">
        <v>1772</v>
      </c>
      <c r="AB40" s="4778"/>
      <c r="AC40" s="975">
        <v>9</v>
      </c>
      <c r="AD40" s="1940" t="str">
        <f>IF(PDs!$R$15&lt;Metamagia!AF37,"Nv "&amp;Metamagia!AF37,"")</f>
        <v>Nv 10</v>
      </c>
      <c r="AE40" s="1894"/>
      <c r="AF40" s="975">
        <v>20</v>
      </c>
      <c r="AG40" s="1872"/>
      <c r="AH40" s="1898"/>
      <c r="AI40" s="1935"/>
      <c r="AJ40" s="1883"/>
      <c r="AK40" s="1872"/>
    </row>
    <row r="41" spans="1:37" ht="12" customHeight="1" thickBot="1" x14ac:dyDescent="0.25">
      <c r="A41" s="512"/>
      <c r="B41" s="106"/>
      <c r="D41" s="75"/>
      <c r="E41" s="51"/>
      <c r="F41" s="137"/>
      <c r="G41" s="28"/>
      <c r="H41" s="116"/>
      <c r="I41" s="4777"/>
      <c r="J41" s="4777"/>
      <c r="K41" s="116"/>
      <c r="L41" s="98">
        <f>IF(M40&gt;0,1,0)</f>
        <v>0</v>
      </c>
      <c r="M41" s="28"/>
      <c r="N41" s="116"/>
      <c r="W41" s="55"/>
      <c r="X41" s="137"/>
      <c r="Y41" s="28"/>
      <c r="Z41" s="116"/>
      <c r="AA41" s="4777"/>
      <c r="AB41" s="4778"/>
      <c r="AC41" s="975"/>
      <c r="AD41" s="718">
        <f>IF(AE40&gt;0,1,0)</f>
        <v>0</v>
      </c>
      <c r="AE41" s="1872"/>
      <c r="AF41" s="975"/>
      <c r="AG41" s="1872"/>
      <c r="AH41" s="1899"/>
      <c r="AI41" s="1875"/>
      <c r="AJ41" s="1883"/>
      <c r="AK41" s="1872"/>
    </row>
    <row r="42" spans="1:37" ht="12" customHeight="1" thickBot="1" x14ac:dyDescent="0.25">
      <c r="A42" s="512"/>
      <c r="B42" s="106"/>
      <c r="C42" s="4777" t="s">
        <v>1773</v>
      </c>
      <c r="D42" s="4777"/>
      <c r="E42" s="138">
        <v>2</v>
      </c>
      <c r="F42" s="28"/>
      <c r="G42" s="104"/>
      <c r="H42" s="139"/>
      <c r="I42" s="4777"/>
      <c r="J42" s="4777"/>
      <c r="K42" s="140"/>
      <c r="L42" s="141"/>
      <c r="M42" s="28"/>
      <c r="N42" s="116"/>
      <c r="W42" s="55"/>
      <c r="X42" s="28"/>
      <c r="Y42" s="104"/>
      <c r="Z42" s="139"/>
      <c r="AA42" s="4777"/>
      <c r="AB42" s="4778"/>
      <c r="AC42" s="1937"/>
      <c r="AD42" s="1885"/>
      <c r="AE42" s="1872"/>
      <c r="AF42" s="975"/>
      <c r="AG42" s="4778" t="s">
        <v>1774</v>
      </c>
      <c r="AH42" s="4778"/>
      <c r="AI42" s="1935">
        <v>3</v>
      </c>
      <c r="AJ42" s="1883"/>
      <c r="AK42" s="1872"/>
    </row>
    <row r="43" spans="1:37" ht="12" customHeight="1" thickBot="1" x14ac:dyDescent="0.25">
      <c r="A43" s="512"/>
      <c r="B43" s="106"/>
      <c r="C43" s="4777"/>
      <c r="D43" s="4777"/>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78"/>
      <c r="AH43" s="4778"/>
      <c r="AI43" s="1935"/>
      <c r="AJ43" s="1883"/>
      <c r="AK43" s="1872"/>
    </row>
    <row r="44" spans="1:37" ht="12" customHeight="1" thickBot="1" x14ac:dyDescent="0.25">
      <c r="A44" s="512"/>
      <c r="B44" s="106"/>
      <c r="C44" s="4777"/>
      <c r="D44" s="4777"/>
      <c r="E44" s="116"/>
      <c r="F44" s="4777" t="s">
        <v>1775</v>
      </c>
      <c r="G44" s="4777"/>
      <c r="H44" s="116">
        <v>6</v>
      </c>
      <c r="I44" s="98">
        <f>IF(J43&gt;0,1,0)</f>
        <v>0</v>
      </c>
      <c r="J44" s="28"/>
      <c r="K44" s="116"/>
      <c r="L44" s="4777" t="s">
        <v>1776</v>
      </c>
      <c r="M44" s="4777"/>
      <c r="N44" s="116">
        <v>9</v>
      </c>
      <c r="O44" s="28"/>
      <c r="W44" s="55"/>
      <c r="X44" s="4777" t="s">
        <v>1777</v>
      </c>
      <c r="Y44" s="4777"/>
      <c r="Z44" s="116">
        <v>8</v>
      </c>
      <c r="AA44" s="98">
        <f>IF(AB43&gt;0,1,0)</f>
        <v>0</v>
      </c>
      <c r="AB44" s="1872"/>
      <c r="AC44" s="975"/>
      <c r="AD44" s="4778" t="s">
        <v>1774</v>
      </c>
      <c r="AE44" s="4778"/>
      <c r="AF44" s="975">
        <v>10</v>
      </c>
      <c r="AG44" s="4778"/>
      <c r="AH44" s="4778"/>
      <c r="AI44" s="1935"/>
      <c r="AJ44" s="1883"/>
      <c r="AK44" s="1872"/>
    </row>
    <row r="45" spans="1:37" ht="12" customHeight="1" thickBot="1" x14ac:dyDescent="0.25">
      <c r="A45" s="512"/>
      <c r="B45" s="106"/>
      <c r="C45" s="117" t="str">
        <f>IF(PDs!$R$15&lt;Metamagia!E42,"Nv "&amp;Metamagia!E42,"")</f>
        <v>Nv 2</v>
      </c>
      <c r="D45" s="1854"/>
      <c r="E45" s="116">
        <v>5</v>
      </c>
      <c r="F45" s="4777"/>
      <c r="G45" s="4777"/>
      <c r="H45" s="116"/>
      <c r="I45" s="4777" t="s">
        <v>1776</v>
      </c>
      <c r="J45" s="4777"/>
      <c r="K45" s="116">
        <v>6</v>
      </c>
      <c r="L45" s="4777"/>
      <c r="M45" s="4777"/>
      <c r="N45" s="116"/>
      <c r="O45" s="28"/>
      <c r="P45" s="28"/>
      <c r="Q45" s="112"/>
      <c r="R45" s="4777" t="s">
        <v>1773</v>
      </c>
      <c r="S45" s="4777"/>
      <c r="T45" s="116">
        <v>2</v>
      </c>
      <c r="W45" s="55"/>
      <c r="X45" s="4777"/>
      <c r="Y45" s="4777"/>
      <c r="Z45" s="116"/>
      <c r="AA45" s="4777" t="s">
        <v>1778</v>
      </c>
      <c r="AB45" s="4778"/>
      <c r="AC45" s="975">
        <v>6</v>
      </c>
      <c r="AD45" s="4778"/>
      <c r="AE45" s="4778"/>
      <c r="AF45" s="975"/>
      <c r="AG45" s="1940" t="str">
        <f>IF(PDs!$R$15&lt;Metamagia!AI42,"Nv "&amp;Metamagia!AI42,"")</f>
        <v>Nv 3</v>
      </c>
      <c r="AH45" s="1894"/>
      <c r="AI45" s="1935">
        <v>5</v>
      </c>
      <c r="AJ45" s="1883"/>
      <c r="AK45" s="1872"/>
    </row>
    <row r="46" spans="1:37" ht="12" customHeight="1" thickBot="1" x14ac:dyDescent="0.25">
      <c r="A46" s="512"/>
      <c r="B46" s="106"/>
      <c r="C46" s="119">
        <f>IF(D45&gt;0,1,0)</f>
        <v>0</v>
      </c>
      <c r="D46" s="28"/>
      <c r="E46" s="116"/>
      <c r="F46" s="4777"/>
      <c r="G46" s="4777"/>
      <c r="H46" s="116"/>
      <c r="I46" s="4777"/>
      <c r="J46" s="4777"/>
      <c r="K46" s="116"/>
      <c r="L46" s="4777"/>
      <c r="M46" s="4777"/>
      <c r="N46" s="116"/>
      <c r="O46" s="28"/>
      <c r="P46" s="123"/>
      <c r="Q46" s="124"/>
      <c r="R46" s="4777"/>
      <c r="S46" s="4777"/>
      <c r="T46" s="116"/>
      <c r="W46" s="55"/>
      <c r="X46" s="4777"/>
      <c r="Y46" s="4777"/>
      <c r="Z46" s="116"/>
      <c r="AA46" s="4777"/>
      <c r="AB46" s="4778"/>
      <c r="AC46" s="975"/>
      <c r="AD46" s="4778"/>
      <c r="AE46" s="4778"/>
      <c r="AF46" s="975"/>
      <c r="AG46" s="1941">
        <f>IF(AH45&gt;0,1,0)</f>
        <v>0</v>
      </c>
      <c r="AH46" s="1897"/>
      <c r="AI46" s="1935"/>
      <c r="AJ46" s="1883"/>
      <c r="AK46" s="1872"/>
    </row>
    <row r="47" spans="1:37" ht="12" customHeight="1" thickBot="1" x14ac:dyDescent="0.25">
      <c r="A47" s="512"/>
      <c r="B47" s="106"/>
      <c r="C47" s="125"/>
      <c r="D47" s="28"/>
      <c r="E47" s="116"/>
      <c r="F47" s="117" t="str">
        <f>IF(PDs!$R$15&lt;Metamagia!H44,"Nv "&amp;Metamagia!H44,"")</f>
        <v>Nv 6</v>
      </c>
      <c r="G47" s="1854"/>
      <c r="H47" s="116">
        <v>10</v>
      </c>
      <c r="I47" s="4777"/>
      <c r="J47" s="4777"/>
      <c r="K47" s="116"/>
      <c r="L47" s="117" t="str">
        <f>IF(PDs!$R$15&lt;Metamagia!N44,"Nv "&amp;Metamagia!N44,"")</f>
        <v>Nv 9</v>
      </c>
      <c r="M47" s="1854"/>
      <c r="N47" s="116">
        <v>25</v>
      </c>
      <c r="O47" s="125"/>
      <c r="P47" s="28"/>
      <c r="Q47" s="112"/>
      <c r="R47" s="4777"/>
      <c r="S47" s="4777"/>
      <c r="T47" s="116"/>
      <c r="W47" s="142"/>
      <c r="X47" s="117" t="str">
        <f>IF(PDs!$R$15&lt;Metamagia!Z44,"Nv "&amp;Metamagia!Z44,"")</f>
        <v>Nv 8</v>
      </c>
      <c r="Y47" s="1854"/>
      <c r="Z47" s="116">
        <v>5</v>
      </c>
      <c r="AA47" s="4777"/>
      <c r="AB47" s="4778"/>
      <c r="AC47" s="975"/>
      <c r="AD47" s="1940" t="str">
        <f>IF(PDs!$R$15&lt;Metamagia!AF44,"Nv "&amp;Metamagia!AF44,"")</f>
        <v>Nv 10</v>
      </c>
      <c r="AE47" s="1894"/>
      <c r="AF47" s="975">
        <v>5</v>
      </c>
      <c r="AG47" s="1872"/>
      <c r="AH47" s="1898"/>
      <c r="AI47" s="1935"/>
      <c r="AJ47" s="1883"/>
      <c r="AK47" s="1872"/>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1872"/>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1872"/>
    </row>
    <row r="50" spans="1:37" ht="12" customHeight="1" thickBot="1" x14ac:dyDescent="0.25">
      <c r="A50" s="512"/>
      <c r="B50" s="106"/>
      <c r="C50" s="4777" t="s">
        <v>1779</v>
      </c>
      <c r="D50" s="4777"/>
      <c r="E50" s="116"/>
      <c r="F50" s="4777" t="s">
        <v>1780</v>
      </c>
      <c r="G50" s="4777"/>
      <c r="H50" s="116">
        <v>3</v>
      </c>
      <c r="I50" s="4777" t="s">
        <v>1781</v>
      </c>
      <c r="J50" s="4777"/>
      <c r="K50" s="116">
        <v>3</v>
      </c>
      <c r="L50" s="4777" t="s">
        <v>1782</v>
      </c>
      <c r="M50" s="4777"/>
      <c r="N50" s="116">
        <v>3</v>
      </c>
      <c r="O50" s="4777" t="s">
        <v>1783</v>
      </c>
      <c r="P50" s="4777"/>
      <c r="Q50" s="112"/>
      <c r="R50" s="4777" t="s">
        <v>1774</v>
      </c>
      <c r="S50" s="4777"/>
      <c r="T50" s="116">
        <v>5</v>
      </c>
      <c r="U50" s="4777" t="s">
        <v>1774</v>
      </c>
      <c r="V50" s="4777"/>
      <c r="W50" s="116">
        <v>4</v>
      </c>
      <c r="X50" s="4777" t="s">
        <v>1784</v>
      </c>
      <c r="Y50" s="4777"/>
      <c r="Z50" s="116">
        <v>3</v>
      </c>
      <c r="AA50" s="4777" t="s">
        <v>1774</v>
      </c>
      <c r="AB50" s="4778"/>
      <c r="AC50" s="975">
        <v>6</v>
      </c>
      <c r="AD50" s="4778" t="s">
        <v>1785</v>
      </c>
      <c r="AE50" s="4778"/>
      <c r="AF50" s="975">
        <v>3</v>
      </c>
      <c r="AG50" s="4778" t="s">
        <v>1786</v>
      </c>
      <c r="AH50" s="4778"/>
      <c r="AI50" s="1935">
        <v>3</v>
      </c>
      <c r="AJ50" s="1883"/>
      <c r="AK50" s="1872"/>
    </row>
    <row r="51" spans="1:37" ht="12" customHeight="1" thickBot="1" x14ac:dyDescent="0.25">
      <c r="A51" s="512"/>
      <c r="B51" s="106"/>
      <c r="C51" s="4777"/>
      <c r="D51" s="4777"/>
      <c r="E51" s="113"/>
      <c r="F51" s="4777"/>
      <c r="G51" s="4777"/>
      <c r="H51" s="113"/>
      <c r="I51" s="4777"/>
      <c r="J51" s="4777"/>
      <c r="K51" s="113"/>
      <c r="L51" s="4777"/>
      <c r="M51" s="4777"/>
      <c r="N51" s="113"/>
      <c r="O51" s="4777"/>
      <c r="P51" s="4777"/>
      <c r="Q51" s="112"/>
      <c r="R51" s="4777"/>
      <c r="S51" s="4777"/>
      <c r="T51" s="116"/>
      <c r="U51" s="4777"/>
      <c r="V51" s="4777"/>
      <c r="W51" s="113"/>
      <c r="X51" s="4777"/>
      <c r="Y51" s="4777"/>
      <c r="Z51" s="113"/>
      <c r="AA51" s="4777"/>
      <c r="AB51" s="4778"/>
      <c r="AC51" s="1932"/>
      <c r="AD51" s="4778"/>
      <c r="AE51" s="4778"/>
      <c r="AF51" s="1932"/>
      <c r="AG51" s="4778"/>
      <c r="AH51" s="4778"/>
      <c r="AI51" s="1935"/>
      <c r="AJ51" s="1883"/>
      <c r="AK51" s="1872"/>
    </row>
    <row r="52" spans="1:37" ht="12" customHeight="1" x14ac:dyDescent="0.2">
      <c r="A52" s="512"/>
      <c r="B52" s="106"/>
      <c r="C52" s="4777"/>
      <c r="D52" s="4777"/>
      <c r="E52" s="116"/>
      <c r="F52" s="4777"/>
      <c r="G52" s="4777"/>
      <c r="H52" s="116"/>
      <c r="I52" s="4777"/>
      <c r="J52" s="4777"/>
      <c r="K52" s="116"/>
      <c r="L52" s="4777"/>
      <c r="M52" s="4777"/>
      <c r="N52" s="116"/>
      <c r="O52" s="4777"/>
      <c r="P52" s="4777"/>
      <c r="Q52" s="112"/>
      <c r="R52" s="4777"/>
      <c r="S52" s="4777"/>
      <c r="T52" s="116"/>
      <c r="U52" s="4777"/>
      <c r="V52" s="4777"/>
      <c r="W52" s="116"/>
      <c r="X52" s="4777"/>
      <c r="Y52" s="4777"/>
      <c r="Z52" s="116"/>
      <c r="AA52" s="4777"/>
      <c r="AB52" s="4778"/>
      <c r="AC52" s="975"/>
      <c r="AD52" s="4778"/>
      <c r="AE52" s="4778"/>
      <c r="AF52" s="975"/>
      <c r="AG52" s="4778"/>
      <c r="AH52" s="4778"/>
      <c r="AI52" s="1935"/>
      <c r="AJ52" s="1883"/>
      <c r="AK52" s="1872"/>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1872"/>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1872"/>
    </row>
    <row r="55" spans="1:37" ht="12" customHeight="1" thickBot="1" x14ac:dyDescent="0.25">
      <c r="A55" s="512"/>
      <c r="B55" s="106"/>
      <c r="C55" s="144"/>
      <c r="D55" s="144"/>
      <c r="E55" s="112"/>
      <c r="F55" s="145"/>
      <c r="G55" s="146"/>
      <c r="H55" s="147"/>
      <c r="I55" s="4777" t="s">
        <v>1787</v>
      </c>
      <c r="J55" s="4777"/>
      <c r="K55" s="116"/>
      <c r="L55" s="28"/>
      <c r="M55" s="106"/>
      <c r="N55" s="116"/>
      <c r="O55" s="28"/>
      <c r="P55" s="28"/>
      <c r="Q55" s="112"/>
      <c r="R55" s="4777" t="s">
        <v>1777</v>
      </c>
      <c r="S55" s="4777"/>
      <c r="T55" s="116">
        <v>5</v>
      </c>
      <c r="U55" s="39"/>
      <c r="W55" s="55"/>
      <c r="X55" s="145"/>
      <c r="Y55" s="146"/>
      <c r="Z55" s="147"/>
      <c r="AA55" s="4777" t="s">
        <v>1774</v>
      </c>
      <c r="AB55" s="4778"/>
      <c r="AC55" s="975"/>
      <c r="AD55" s="1872"/>
      <c r="AE55" s="1898"/>
      <c r="AF55" s="975"/>
      <c r="AG55" s="1872"/>
      <c r="AH55" s="1872"/>
      <c r="AI55" s="1935"/>
      <c r="AJ55" s="1883"/>
      <c r="AK55" s="1872"/>
    </row>
    <row r="56" spans="1:37" ht="12" customHeight="1" thickBot="1" x14ac:dyDescent="0.25">
      <c r="A56" s="512"/>
      <c r="B56" s="38"/>
      <c r="C56" s="48"/>
      <c r="D56" s="48"/>
      <c r="E56" s="55"/>
      <c r="F56" s="148"/>
      <c r="G56" s="149"/>
      <c r="H56" s="150"/>
      <c r="I56" s="4777"/>
      <c r="J56" s="4777"/>
      <c r="K56" s="121"/>
      <c r="L56" s="77"/>
      <c r="M56" s="38"/>
      <c r="N56" s="116"/>
      <c r="O56" s="28"/>
      <c r="P56" s="28"/>
      <c r="Q56" s="112"/>
      <c r="R56" s="4777"/>
      <c r="S56" s="4777"/>
      <c r="T56" s="121"/>
      <c r="U56" s="77"/>
      <c r="W56" s="55"/>
      <c r="X56" s="148"/>
      <c r="Y56" s="149"/>
      <c r="Z56" s="150"/>
      <c r="AA56" s="4777"/>
      <c r="AB56" s="4778"/>
      <c r="AC56" s="982"/>
      <c r="AD56" s="1896"/>
      <c r="AE56" s="1898"/>
      <c r="AF56" s="975"/>
      <c r="AG56" s="1872"/>
      <c r="AH56" s="1872"/>
      <c r="AI56" s="1875"/>
      <c r="AJ56" s="1883"/>
      <c r="AK56" s="1872"/>
    </row>
    <row r="57" spans="1:37" ht="12" customHeight="1" x14ac:dyDescent="0.2">
      <c r="A57" s="512"/>
      <c r="B57" s="38"/>
      <c r="C57" s="48"/>
      <c r="D57" s="48"/>
      <c r="E57" s="55"/>
      <c r="F57" s="151"/>
      <c r="G57" s="152"/>
      <c r="H57" s="116"/>
      <c r="I57" s="4777"/>
      <c r="J57" s="4777"/>
      <c r="K57" s="116"/>
      <c r="M57" s="38"/>
      <c r="N57" s="116"/>
      <c r="O57" s="28"/>
      <c r="P57" s="28"/>
      <c r="Q57" s="112"/>
      <c r="R57" s="4777"/>
      <c r="S57" s="4777"/>
      <c r="T57" s="116"/>
      <c r="W57" s="55"/>
      <c r="X57" s="151"/>
      <c r="Y57" s="152"/>
      <c r="Z57" s="116"/>
      <c r="AA57" s="4777"/>
      <c r="AB57" s="4778"/>
      <c r="AC57" s="975"/>
      <c r="AD57" s="1872"/>
      <c r="AE57" s="1898"/>
      <c r="AF57" s="975"/>
      <c r="AG57" s="1872"/>
      <c r="AH57" s="1872"/>
      <c r="AI57" s="1875"/>
      <c r="AJ57" s="1883"/>
      <c r="AK57" s="1872"/>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1872"/>
    </row>
    <row r="59" spans="1:37" ht="12" customHeight="1" thickBot="1" x14ac:dyDescent="0.25">
      <c r="A59" s="512"/>
      <c r="B59" s="38"/>
      <c r="C59" s="48"/>
      <c r="D59" s="48"/>
      <c r="E59" s="94"/>
      <c r="F59" s="4777" t="s">
        <v>1788</v>
      </c>
      <c r="G59" s="4777"/>
      <c r="H59" s="116"/>
      <c r="I59" s="126">
        <f>IF(J58&gt;0,1,0)</f>
        <v>0</v>
      </c>
      <c r="K59" s="116"/>
      <c r="L59" s="4777" t="s">
        <v>1773</v>
      </c>
      <c r="M59" s="4777"/>
      <c r="N59" s="116"/>
      <c r="Q59" s="55"/>
      <c r="R59" s="98">
        <f>IF(S58&gt;0,1,0)</f>
        <v>0</v>
      </c>
      <c r="T59" s="55"/>
      <c r="W59" s="55"/>
      <c r="X59" s="4777" t="s">
        <v>1777</v>
      </c>
      <c r="Y59" s="4777"/>
      <c r="Z59" s="116"/>
      <c r="AA59" s="126">
        <f>IF(AB58&gt;0,1,0)</f>
        <v>0</v>
      </c>
      <c r="AB59" s="1872"/>
      <c r="AC59" s="975"/>
      <c r="AD59" s="4778" t="s">
        <v>1786</v>
      </c>
      <c r="AE59" s="4778"/>
      <c r="AF59" s="975"/>
      <c r="AG59" s="1872"/>
      <c r="AH59" s="1872"/>
      <c r="AI59" s="1875"/>
      <c r="AJ59" s="1883"/>
      <c r="AK59" s="1872"/>
    </row>
    <row r="60" spans="1:37" ht="12" customHeight="1" thickBot="1" x14ac:dyDescent="0.25">
      <c r="A60" s="586"/>
      <c r="B60" s="154"/>
      <c r="C60" s="48"/>
      <c r="D60" s="48"/>
      <c r="E60" s="94"/>
      <c r="F60" s="4777"/>
      <c r="G60" s="4777"/>
      <c r="H60" s="113"/>
      <c r="I60" s="4777" t="s">
        <v>1781</v>
      </c>
      <c r="J60" s="4777"/>
      <c r="K60" s="115"/>
      <c r="L60" s="4777"/>
      <c r="M60" s="4777"/>
      <c r="N60" s="116"/>
      <c r="T60" s="55"/>
      <c r="W60" s="55"/>
      <c r="X60" s="4777"/>
      <c r="Y60" s="4777"/>
      <c r="Z60" s="113"/>
      <c r="AA60" s="4777" t="s">
        <v>1774</v>
      </c>
      <c r="AB60" s="4778"/>
      <c r="AC60" s="1932"/>
      <c r="AD60" s="4778"/>
      <c r="AE60" s="4778"/>
      <c r="AF60" s="975"/>
      <c r="AG60" s="1872"/>
      <c r="AH60" s="1872"/>
      <c r="AI60" s="1875"/>
      <c r="AJ60" s="1883"/>
      <c r="AK60" s="1872"/>
    </row>
    <row r="61" spans="1:37" ht="12" customHeight="1" thickBot="1" x14ac:dyDescent="0.25">
      <c r="A61" s="586"/>
      <c r="B61" s="154"/>
      <c r="C61" s="48"/>
      <c r="D61" s="48"/>
      <c r="E61" s="94"/>
      <c r="F61" s="4777"/>
      <c r="G61" s="4777"/>
      <c r="H61" s="116"/>
      <c r="I61" s="4777"/>
      <c r="J61" s="4777"/>
      <c r="K61" s="55"/>
      <c r="L61" s="4777"/>
      <c r="M61" s="4777"/>
      <c r="N61" s="116"/>
      <c r="T61" s="55"/>
      <c r="W61" s="55"/>
      <c r="X61" s="4777"/>
      <c r="Y61" s="4777"/>
      <c r="Z61" s="116"/>
      <c r="AA61" s="4777"/>
      <c r="AB61" s="4778"/>
      <c r="AC61" s="975"/>
      <c r="AD61" s="4778"/>
      <c r="AE61" s="4778"/>
      <c r="AF61" s="975"/>
      <c r="AG61" s="1872"/>
      <c r="AH61" s="1872"/>
      <c r="AI61" s="1875"/>
      <c r="AJ61" s="1883"/>
      <c r="AK61" s="1872"/>
    </row>
    <row r="62" spans="1:37" ht="12" customHeight="1" thickBot="1" x14ac:dyDescent="0.25">
      <c r="A62" s="586"/>
      <c r="B62" s="154"/>
      <c r="C62" s="48"/>
      <c r="D62" s="48"/>
      <c r="F62" s="117" t="str">
        <f>IF(PDs!$R$15&lt;Metamagia!H59,"Nv "&amp;Metamagia!H59,"")</f>
        <v/>
      </c>
      <c r="G62" s="1854"/>
      <c r="H62" s="116">
        <v>5</v>
      </c>
      <c r="I62" s="4777"/>
      <c r="J62" s="4777"/>
      <c r="K62" s="55"/>
      <c r="L62" s="117" t="str">
        <f>IF(PDs!$R$15&lt;Metamagia!N59,"Nv "&amp;Metamagia!N59,"")</f>
        <v/>
      </c>
      <c r="M62" s="1854"/>
      <c r="N62" s="116">
        <v>5</v>
      </c>
      <c r="T62" s="55"/>
      <c r="W62" s="142"/>
      <c r="X62" s="117" t="str">
        <f>IF(PDs!$R$15&lt;Metamagia!Z59,"Nv "&amp;Metamagia!Z59,"")</f>
        <v/>
      </c>
      <c r="Y62" s="1854"/>
      <c r="Z62" s="116">
        <v>5</v>
      </c>
      <c r="AA62" s="4777"/>
      <c r="AB62" s="4778"/>
      <c r="AC62" s="975"/>
      <c r="AD62" s="1940" t="str">
        <f>IF(PDs!$R$15&lt;Metamagia!AF59,"Nv "&amp;Metamagia!AF59,"")</f>
        <v/>
      </c>
      <c r="AE62" s="1894"/>
      <c r="AF62" s="975">
        <v>5</v>
      </c>
      <c r="AG62" s="1872"/>
      <c r="AH62" s="1872"/>
      <c r="AI62" s="1888"/>
      <c r="AJ62" s="1883"/>
      <c r="AK62" s="1872"/>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1872"/>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1872"/>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1872"/>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89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814" priority="74" stopIfTrue="1" operator="greaterThan">
      <formula>$P$37</formula>
    </cfRule>
  </conditionalFormatting>
  <conditionalFormatting sqref="F11:G13">
    <cfRule type="expression" dxfId="813" priority="69" stopIfTrue="1">
      <formula>$G$14&gt;0</formula>
    </cfRule>
  </conditionalFormatting>
  <conditionalFormatting sqref="AA60:AB62">
    <cfRule type="expression" dxfId="812" priority="68" stopIfTrue="1">
      <formula>$AB$63&gt;0</formula>
    </cfRule>
  </conditionalFormatting>
  <conditionalFormatting sqref="AD59:AE61">
    <cfRule type="expression" dxfId="811" priority="67" stopIfTrue="1">
      <formula>$AE$62&gt;0</formula>
    </cfRule>
  </conditionalFormatting>
  <conditionalFormatting sqref="X59:Y61">
    <cfRule type="expression" dxfId="810" priority="66" stopIfTrue="1">
      <formula>$Y$62&gt;0</formula>
    </cfRule>
  </conditionalFormatting>
  <conditionalFormatting sqref="AA55:AB57">
    <cfRule type="expression" dxfId="809" priority="65" stopIfTrue="1">
      <formula>$AB$58&gt;0</formula>
    </cfRule>
  </conditionalFormatting>
  <conditionalFormatting sqref="AD50:AE52">
    <cfRule type="expression" dxfId="808" priority="64" stopIfTrue="1">
      <formula>$AE$53&gt;0</formula>
    </cfRule>
  </conditionalFormatting>
  <conditionalFormatting sqref="AG50:AH52">
    <cfRule type="expression" dxfId="807" priority="63" stopIfTrue="1">
      <formula>$AH$53&gt;0</formula>
    </cfRule>
  </conditionalFormatting>
  <conditionalFormatting sqref="AG42:AH44">
    <cfRule type="expression" dxfId="806" priority="62" stopIfTrue="1">
      <formula>$AH$45&gt;0</formula>
    </cfRule>
  </conditionalFormatting>
  <conditionalFormatting sqref="AD44:AE46">
    <cfRule type="expression" dxfId="805" priority="61" stopIfTrue="1">
      <formula>$AE$47&gt;0</formula>
    </cfRule>
  </conditionalFormatting>
  <conditionalFormatting sqref="AA50:AB52">
    <cfRule type="expression" dxfId="804" priority="60" stopIfTrue="1">
      <formula>$AB$53&gt;0</formula>
    </cfRule>
  </conditionalFormatting>
  <conditionalFormatting sqref="X50:Y52">
    <cfRule type="expression" dxfId="803" priority="59" stopIfTrue="1">
      <formula>$Y$53&gt;0</formula>
    </cfRule>
  </conditionalFormatting>
  <conditionalFormatting sqref="AA45:AB47">
    <cfRule type="expression" dxfId="802" priority="58" stopIfTrue="1">
      <formula>$AB$48&gt;0</formula>
    </cfRule>
  </conditionalFormatting>
  <conditionalFormatting sqref="U50:V52">
    <cfRule type="expression" dxfId="801" priority="57" stopIfTrue="1">
      <formula>$V$53&gt;0</formula>
    </cfRule>
  </conditionalFormatting>
  <conditionalFormatting sqref="X44:Y46">
    <cfRule type="expression" dxfId="800" priority="56" stopIfTrue="1">
      <formula>$Y$47&gt;0</formula>
    </cfRule>
  </conditionalFormatting>
  <conditionalFormatting sqref="AA40:AB42">
    <cfRule type="expression" dxfId="799" priority="55" stopIfTrue="1">
      <formula>$AB$43&gt;0</formula>
    </cfRule>
  </conditionalFormatting>
  <conditionalFormatting sqref="AD37:AE39">
    <cfRule type="expression" dxfId="798" priority="54" stopIfTrue="1">
      <formula>$AE$40&gt;0</formula>
    </cfRule>
  </conditionalFormatting>
  <conditionalFormatting sqref="AG35:AH37">
    <cfRule type="expression" dxfId="797" priority="53" stopIfTrue="1">
      <formula>$AH$38&gt;0</formula>
    </cfRule>
  </conditionalFormatting>
  <conditionalFormatting sqref="R45:S47">
    <cfRule type="expression" dxfId="796" priority="52" stopIfTrue="1">
      <formula>$S$48&gt;0</formula>
    </cfRule>
  </conditionalFormatting>
  <conditionalFormatting sqref="R50:S52">
    <cfRule type="expression" dxfId="795" priority="51" stopIfTrue="1">
      <formula>$S$53&gt;0</formula>
    </cfRule>
  </conditionalFormatting>
  <conditionalFormatting sqref="R55:S57">
    <cfRule type="expression" dxfId="794" priority="50" stopIfTrue="1">
      <formula>$S$58&gt;0</formula>
    </cfRule>
  </conditionalFormatting>
  <conditionalFormatting sqref="O50:P52">
    <cfRule type="expression" dxfId="793" priority="49" stopIfTrue="1">
      <formula>$P$53&gt;0</formula>
    </cfRule>
  </conditionalFormatting>
  <conditionalFormatting sqref="L59:M61">
    <cfRule type="expression" dxfId="792" priority="48" stopIfTrue="1">
      <formula>$M$62&gt;0</formula>
    </cfRule>
  </conditionalFormatting>
  <conditionalFormatting sqref="I60:J62">
    <cfRule type="expression" dxfId="791" priority="47" stopIfTrue="1">
      <formula>$J$63&gt;0</formula>
    </cfRule>
  </conditionalFormatting>
  <conditionalFormatting sqref="F59:G61">
    <cfRule type="expression" dxfId="790" priority="46" stopIfTrue="1">
      <formula>$G$62&gt;0</formula>
    </cfRule>
  </conditionalFormatting>
  <conditionalFormatting sqref="I55:J57">
    <cfRule type="expression" dxfId="789" priority="45" stopIfTrue="1">
      <formula>$J$58&gt;0</formula>
    </cfRule>
  </conditionalFormatting>
  <conditionalFormatting sqref="L50:M52">
    <cfRule type="expression" dxfId="788" priority="44" stopIfTrue="1">
      <formula>$M$53&gt;0</formula>
    </cfRule>
  </conditionalFormatting>
  <conditionalFormatting sqref="I50:J52">
    <cfRule type="expression" dxfId="787" priority="43" stopIfTrue="1">
      <formula>$J$53&gt;0</formula>
    </cfRule>
  </conditionalFormatting>
  <conditionalFormatting sqref="F50:G52">
    <cfRule type="expression" dxfId="786" priority="42" stopIfTrue="1">
      <formula>$G$53&gt;0</formula>
    </cfRule>
  </conditionalFormatting>
  <conditionalFormatting sqref="C50:D52">
    <cfRule type="expression" dxfId="785" priority="41" stopIfTrue="1">
      <formula>$D$53&gt;0</formula>
    </cfRule>
  </conditionalFormatting>
  <conditionalFormatting sqref="L44:M46">
    <cfRule type="expression" dxfId="784" priority="40" stopIfTrue="1">
      <formula>$M$47&gt;0</formula>
    </cfRule>
  </conditionalFormatting>
  <conditionalFormatting sqref="I45:J47">
    <cfRule type="expression" dxfId="783" priority="39" stopIfTrue="1">
      <formula>$J$48&gt;0</formula>
    </cfRule>
  </conditionalFormatting>
  <conditionalFormatting sqref="F44:G46">
    <cfRule type="expression" dxfId="782" priority="38" stopIfTrue="1">
      <formula>$G$47&gt;0</formula>
    </cfRule>
  </conditionalFormatting>
  <conditionalFormatting sqref="C42:D44">
    <cfRule type="expression" dxfId="781" priority="34" stopIfTrue="1">
      <formula>$D$45&gt;0</formula>
    </cfRule>
    <cfRule type="expression" dxfId="780" priority="37" stopIfTrue="1">
      <formula>$D$45&gt;0</formula>
    </cfRule>
  </conditionalFormatting>
  <conditionalFormatting sqref="I40:J42">
    <cfRule type="expression" dxfId="779" priority="36" stopIfTrue="1">
      <formula>$J$43&gt;0</formula>
    </cfRule>
  </conditionalFormatting>
  <conditionalFormatting sqref="L37:M39">
    <cfRule type="expression" dxfId="778" priority="35" stopIfTrue="1">
      <formula>$M$40&gt;0</formula>
    </cfRule>
  </conditionalFormatting>
  <conditionalFormatting sqref="C35:D37">
    <cfRule type="expression" dxfId="777" priority="33" stopIfTrue="1">
      <formula>$D$38&gt;0</formula>
    </cfRule>
  </conditionalFormatting>
  <conditionalFormatting sqref="F33:G35">
    <cfRule type="expression" dxfId="776" priority="32" stopIfTrue="1">
      <formula>$G$36&gt;0</formula>
    </cfRule>
  </conditionalFormatting>
  <conditionalFormatting sqref="I30:J32">
    <cfRule type="expression" dxfId="775" priority="31" stopIfTrue="1">
      <formula>$J$33&gt;0</formula>
    </cfRule>
  </conditionalFormatting>
  <conditionalFormatting sqref="C28:D30">
    <cfRule type="expression" dxfId="774" priority="30" stopIfTrue="1">
      <formula>$D$31&gt;0</formula>
    </cfRule>
  </conditionalFormatting>
  <conditionalFormatting sqref="F26:G28">
    <cfRule type="expression" dxfId="773" priority="29" stopIfTrue="1">
      <formula>$G$29&gt;0</formula>
    </cfRule>
  </conditionalFormatting>
  <conditionalFormatting sqref="I25:J27">
    <cfRule type="expression" dxfId="772" priority="28" stopIfTrue="1">
      <formula>$J$28&gt;0</formula>
    </cfRule>
  </conditionalFormatting>
  <conditionalFormatting sqref="L26:M28">
    <cfRule type="expression" dxfId="771" priority="27" stopIfTrue="1">
      <formula>$M$29&gt;0</formula>
    </cfRule>
  </conditionalFormatting>
  <conditionalFormatting sqref="C20:D22">
    <cfRule type="expression" dxfId="770" priority="26" stopIfTrue="1">
      <formula>$D$23&gt;0</formula>
    </cfRule>
  </conditionalFormatting>
  <conditionalFormatting sqref="F20:G22">
    <cfRule type="expression" dxfId="769" priority="25" stopIfTrue="1">
      <formula>$G$23&gt;0</formula>
    </cfRule>
  </conditionalFormatting>
  <conditionalFormatting sqref="I20:J22">
    <cfRule type="expression" dxfId="768" priority="24" stopIfTrue="1">
      <formula>$J$23&gt;0</formula>
    </cfRule>
  </conditionalFormatting>
  <conditionalFormatting sqref="I10:J12">
    <cfRule type="expression" dxfId="767" priority="23" stopIfTrue="1">
      <formula>$J$13&gt;0</formula>
    </cfRule>
  </conditionalFormatting>
  <conditionalFormatting sqref="I15:J17">
    <cfRule type="expression" dxfId="766" priority="22" stopIfTrue="1">
      <formula>$J$18&gt;0</formula>
    </cfRule>
  </conditionalFormatting>
  <conditionalFormatting sqref="L11:M13">
    <cfRule type="expression" dxfId="765" priority="21" stopIfTrue="1">
      <formula>$M$14&gt;0</formula>
    </cfRule>
  </conditionalFormatting>
  <conditionalFormatting sqref="L20:M22">
    <cfRule type="expression" dxfId="764" priority="20" stopIfTrue="1">
      <formula>$M$23&gt;0</formula>
    </cfRule>
  </conditionalFormatting>
  <conditionalFormatting sqref="O20:P22">
    <cfRule type="expression" dxfId="763" priority="19" stopIfTrue="1">
      <formula>$P$23&gt;0</formula>
    </cfRule>
  </conditionalFormatting>
  <conditionalFormatting sqref="R15:S17">
    <cfRule type="expression" dxfId="762" priority="18" stopIfTrue="1">
      <formula>$S$18&gt;0</formula>
    </cfRule>
  </conditionalFormatting>
  <conditionalFormatting sqref="R20:S22">
    <cfRule type="expression" dxfId="761" priority="17" stopIfTrue="1">
      <formula>$S$23&gt;0</formula>
    </cfRule>
  </conditionalFormatting>
  <conditionalFormatting sqref="R25:S27">
    <cfRule type="expression" dxfId="760" priority="16" stopIfTrue="1">
      <formula>$S$28&gt;0</formula>
    </cfRule>
  </conditionalFormatting>
  <conditionalFormatting sqref="U20:V22">
    <cfRule type="expression" dxfId="759" priority="15" stopIfTrue="1">
      <formula>$V$23&gt;0</formula>
    </cfRule>
  </conditionalFormatting>
  <conditionalFormatting sqref="X11:Y13">
    <cfRule type="expression" dxfId="758" priority="14" stopIfTrue="1">
      <formula>$Y$14&gt;0</formula>
    </cfRule>
  </conditionalFormatting>
  <conditionalFormatting sqref="X20:Y22">
    <cfRule type="expression" dxfId="757" priority="13" stopIfTrue="1">
      <formula>$Y$23&gt;0</formula>
    </cfRule>
  </conditionalFormatting>
  <conditionalFormatting sqref="X26:Y28">
    <cfRule type="expression" dxfId="756" priority="12" stopIfTrue="1">
      <formula>$Y$29&gt;0</formula>
    </cfRule>
  </conditionalFormatting>
  <conditionalFormatting sqref="X33:Y35">
    <cfRule type="expression" dxfId="755" priority="11" stopIfTrue="1">
      <formula>$Y$36&gt;0</formula>
    </cfRule>
  </conditionalFormatting>
  <conditionalFormatting sqref="AA10:AB12">
    <cfRule type="expression" dxfId="754" priority="10" stopIfTrue="1">
      <formula>$AB$13&gt;0</formula>
    </cfRule>
  </conditionalFormatting>
  <conditionalFormatting sqref="AA15:AB17">
    <cfRule type="expression" dxfId="753" priority="9" stopIfTrue="1">
      <formula>$AB$18&gt;0</formula>
    </cfRule>
  </conditionalFormatting>
  <conditionalFormatting sqref="AA20:AB22">
    <cfRule type="expression" dxfId="752" priority="8" stopIfTrue="1">
      <formula>$AB$23&gt;0</formula>
    </cfRule>
  </conditionalFormatting>
  <conditionalFormatting sqref="AA25:AB27">
    <cfRule type="expression" dxfId="751" priority="7" stopIfTrue="1">
      <formula>$AB$28&gt;0</formula>
    </cfRule>
  </conditionalFormatting>
  <conditionalFormatting sqref="AA30:AB32">
    <cfRule type="expression" dxfId="750" priority="6" stopIfTrue="1">
      <formula>$AB$33&gt;0</formula>
    </cfRule>
  </conditionalFormatting>
  <conditionalFormatting sqref="AD11:AE13">
    <cfRule type="expression" dxfId="749" priority="5" stopIfTrue="1">
      <formula>$AE$14&gt;0</formula>
    </cfRule>
  </conditionalFormatting>
  <conditionalFormatting sqref="AD20:AE22">
    <cfRule type="expression" dxfId="748" priority="4" stopIfTrue="1">
      <formula>$AE$23&gt;0</formula>
    </cfRule>
  </conditionalFormatting>
  <conditionalFormatting sqref="AD26:AE28">
    <cfRule type="expression" dxfId="747" priority="3" stopIfTrue="1">
      <formula>$AE$29&gt;0</formula>
    </cfRule>
  </conditionalFormatting>
  <conditionalFormatting sqref="AG20:AH22">
    <cfRule type="expression" dxfId="746" priority="2" stopIfTrue="1">
      <formula>$AH$23&gt;0</formula>
    </cfRule>
  </conditionalFormatting>
  <conditionalFormatting sqref="AG28:AH30">
    <cfRule type="expression" dxfId="74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888" t="s">
        <v>8943</v>
      </c>
      <c r="AD1" s="2919"/>
      <c r="AE1" s="2919"/>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19"/>
      <c r="AD2" s="2919"/>
      <c r="AE2" s="2919"/>
    </row>
    <row r="3" spans="1:31" ht="12" customHeight="1" thickBot="1" x14ac:dyDescent="0.25">
      <c r="A3" s="340"/>
      <c r="B3" s="346"/>
      <c r="C3" s="347"/>
      <c r="D3" s="348"/>
      <c r="E3" s="348"/>
      <c r="F3" s="348"/>
      <c r="G3" s="348"/>
      <c r="H3" s="348"/>
      <c r="I3" s="348"/>
      <c r="J3" s="348"/>
      <c r="K3" s="348"/>
      <c r="L3" s="4835" t="str">
        <f>"Sheele ("&amp;VLOOKUP(Sheele!D5,'Tablas Sheele'!C5:G12,5,FALSE)&amp;")"</f>
        <v>Sheele (Haley)</v>
      </c>
      <c r="M3" s="4835"/>
      <c r="N3" s="4835"/>
      <c r="O3" s="4835"/>
      <c r="P3" s="4835"/>
      <c r="Q3" s="348"/>
      <c r="R3" s="348"/>
      <c r="S3" s="348"/>
      <c r="T3" s="348"/>
      <c r="U3" s="348"/>
      <c r="V3" s="348"/>
      <c r="W3" s="348"/>
      <c r="X3" s="348"/>
      <c r="Y3" s="348"/>
      <c r="Z3" s="349"/>
      <c r="AA3" s="2183"/>
      <c r="AB3" s="2181"/>
      <c r="AC3" s="2919"/>
      <c r="AD3" s="2919"/>
      <c r="AE3" s="2919"/>
    </row>
    <row r="4" spans="1:31" ht="12" customHeight="1" thickBot="1" x14ac:dyDescent="0.25">
      <c r="A4" s="340"/>
      <c r="B4" s="346"/>
      <c r="C4" s="350"/>
      <c r="D4" s="4838" t="s">
        <v>2827</v>
      </c>
      <c r="E4" s="4839"/>
      <c r="F4" s="4839" t="s">
        <v>2828</v>
      </c>
      <c r="G4" s="4840"/>
      <c r="H4" s="351"/>
      <c r="I4" s="351"/>
      <c r="J4" s="351"/>
      <c r="K4" s="351"/>
      <c r="L4" s="4836"/>
      <c r="M4" s="4836"/>
      <c r="N4" s="4836"/>
      <c r="O4" s="4836"/>
      <c r="P4" s="4836"/>
      <c r="Q4" s="351"/>
      <c r="R4" s="4846" t="s">
        <v>6340</v>
      </c>
      <c r="S4" s="4846"/>
      <c r="T4" s="4846"/>
      <c r="U4" s="2476">
        <f>VALUE(PDs!R15)</f>
        <v>0</v>
      </c>
      <c r="V4" s="351"/>
      <c r="W4" s="351"/>
      <c r="X4" s="351"/>
      <c r="Y4" s="351"/>
      <c r="Z4" s="352"/>
      <c r="AA4" s="2183"/>
      <c r="AB4" s="2181"/>
      <c r="AC4" s="2919"/>
      <c r="AD4" s="2919"/>
      <c r="AE4" s="2919"/>
    </row>
    <row r="5" spans="1:31" ht="12" customHeight="1" thickBot="1" x14ac:dyDescent="0.25">
      <c r="A5" s="340"/>
      <c r="B5" s="346"/>
      <c r="C5" s="350"/>
      <c r="D5" s="4841" t="s">
        <v>1607</v>
      </c>
      <c r="E5" s="4842"/>
      <c r="F5" s="4842" t="s">
        <v>1384</v>
      </c>
      <c r="G5" s="4843"/>
      <c r="H5" s="351"/>
      <c r="I5" s="351"/>
      <c r="J5" s="351"/>
      <c r="K5" s="351"/>
      <c r="L5" s="4836"/>
      <c r="M5" s="4836"/>
      <c r="N5" s="4836"/>
      <c r="O5" s="4836"/>
      <c r="P5" s="4836"/>
      <c r="Q5" s="351"/>
      <c r="R5" s="4846" t="s">
        <v>9829</v>
      </c>
      <c r="S5" s="4846"/>
      <c r="T5" s="4846"/>
      <c r="U5" s="2473">
        <f>ROUNDUP(IF(U4=0,5,10*U4)/2,0)</f>
        <v>3</v>
      </c>
      <c r="V5" s="4924"/>
      <c r="W5" s="351"/>
      <c r="X5" s="351"/>
      <c r="Y5" s="351"/>
      <c r="Z5" s="352"/>
      <c r="AA5" s="2183"/>
      <c r="AB5" s="2181"/>
      <c r="AC5" s="2919"/>
      <c r="AD5" s="2919"/>
      <c r="AE5" s="2919"/>
    </row>
    <row r="6" spans="1:31" ht="12" customHeight="1" thickBot="1" x14ac:dyDescent="0.25">
      <c r="A6" s="340"/>
      <c r="B6" s="346"/>
      <c r="C6" s="353"/>
      <c r="D6" s="354"/>
      <c r="E6" s="354"/>
      <c r="F6" s="354"/>
      <c r="G6" s="354"/>
      <c r="H6" s="354"/>
      <c r="I6" s="354"/>
      <c r="J6" s="354"/>
      <c r="K6" s="354"/>
      <c r="L6" s="4837"/>
      <c r="M6" s="4837"/>
      <c r="N6" s="4837"/>
      <c r="O6" s="4837"/>
      <c r="P6" s="4837"/>
      <c r="Q6" s="354"/>
      <c r="R6" s="354"/>
      <c r="S6" s="354"/>
      <c r="T6" s="916"/>
      <c r="U6" s="354"/>
      <c r="V6" s="4925"/>
      <c r="W6" s="354"/>
      <c r="X6" s="354"/>
      <c r="Y6" s="354"/>
      <c r="Z6" s="355"/>
      <c r="AA6" s="2183"/>
      <c r="AB6" s="2181"/>
      <c r="AC6" s="2919" t="str">
        <f>"Mejoras_"&amp;D5</f>
        <v>Mejoras_Aire</v>
      </c>
      <c r="AD6" s="2919"/>
      <c r="AE6" s="2919"/>
    </row>
    <row r="7" spans="1:31" ht="12" customHeight="1" thickBot="1" x14ac:dyDescent="0.25">
      <c r="A7" s="340"/>
      <c r="B7" s="346"/>
      <c r="AA7" s="2183"/>
      <c r="AB7" s="2181"/>
      <c r="AC7" s="2919"/>
      <c r="AD7" s="2919"/>
      <c r="AE7" s="2919"/>
    </row>
    <row r="8" spans="1:31" ht="12" customHeight="1" thickBot="1" x14ac:dyDescent="0.25">
      <c r="A8" s="340"/>
      <c r="B8" s="346"/>
      <c r="C8" s="4868" t="s">
        <v>1367</v>
      </c>
      <c r="D8" s="356"/>
      <c r="E8" s="543" t="s">
        <v>1368</v>
      </c>
      <c r="F8" s="357" t="s">
        <v>1369</v>
      </c>
      <c r="G8" s="358" t="s">
        <v>1352</v>
      </c>
      <c r="H8" s="359" t="s">
        <v>1370</v>
      </c>
      <c r="J8" s="4268" t="s">
        <v>1371</v>
      </c>
      <c r="K8" s="4269"/>
      <c r="L8" s="4270"/>
      <c r="N8" s="4871" t="s">
        <v>1372</v>
      </c>
      <c r="O8" s="4872"/>
      <c r="P8" s="4873"/>
      <c r="Q8" s="328"/>
      <c r="R8" s="4268" t="s">
        <v>2844</v>
      </c>
      <c r="S8" s="4270"/>
      <c r="U8" s="4305" t="s">
        <v>1398</v>
      </c>
      <c r="V8" s="4306"/>
      <c r="W8" s="4306"/>
      <c r="X8" s="4306"/>
      <c r="Y8" s="4306"/>
      <c r="Z8" s="4307"/>
      <c r="AA8" s="2183"/>
      <c r="AB8" s="2181"/>
      <c r="AC8" s="2919"/>
      <c r="AD8" s="2919"/>
      <c r="AE8" s="2919"/>
    </row>
    <row r="9" spans="1:31" ht="12" customHeight="1" thickBot="1" x14ac:dyDescent="0.25">
      <c r="A9" s="340"/>
      <c r="B9" s="346"/>
      <c r="C9" s="4869"/>
      <c r="D9" s="360" t="s">
        <v>1376</v>
      </c>
      <c r="E9" s="540">
        <f>HLOOKUP($D$5,'Tablas Sheele'!$G$17:$N$25,'Tablas Sheele'!E18,)</f>
        <v>8</v>
      </c>
      <c r="F9" s="2438"/>
      <c r="G9" s="361">
        <f>E9+'Tablas Sheele'!D18+IF('Tablas Sheele'!F142&gt;0,2,0)+F9</f>
        <v>8</v>
      </c>
      <c r="H9" s="541">
        <f>IF(G9&lt;1,0,VLOOKUP(G9,Tablas!$C$14:$D$33,2))</f>
        <v>10</v>
      </c>
      <c r="I9" s="328"/>
      <c r="J9" s="4877">
        <f>VLOOKUP(G10,Tablas!C37:G65,2)+L11</f>
        <v>0</v>
      </c>
      <c r="K9" s="4879" t="str">
        <f>IF(D5='Tablas Sheele'!C11,"5 PV / asalto",IF('Tablas Sheele'!F131&gt;0,"10 PV / asalto",VLOOKUP(J9,Tablas!D38:G65,2)))</f>
        <v>Ninguna</v>
      </c>
      <c r="L9" s="4880"/>
      <c r="N9" s="4874"/>
      <c r="O9" s="4875"/>
      <c r="P9" s="4876"/>
      <c r="Q9" s="328"/>
      <c r="R9" s="4885" t="s">
        <v>10227</v>
      </c>
      <c r="S9" s="4886"/>
      <c r="U9" s="4897"/>
      <c r="V9" s="4898"/>
      <c r="W9" s="4898"/>
      <c r="X9" s="4898"/>
      <c r="Y9" s="4898"/>
      <c r="Z9" s="4899"/>
      <c r="AA9" s="2183"/>
      <c r="AB9" s="2181"/>
      <c r="AC9" s="2919"/>
      <c r="AD9" s="2919"/>
      <c r="AE9" s="2919"/>
    </row>
    <row r="10" spans="1:31" ht="12" customHeight="1" thickBot="1" x14ac:dyDescent="0.25">
      <c r="A10" s="340"/>
      <c r="B10" s="346"/>
      <c r="C10" s="4869"/>
      <c r="D10" s="360" t="s">
        <v>1501</v>
      </c>
      <c r="E10" s="540">
        <f>HLOOKUP($D$5,'Tablas Sheele'!$G$17:$N$25,'Tablas Sheele'!E19,)</f>
        <v>2</v>
      </c>
      <c r="F10" s="2439"/>
      <c r="G10" s="361">
        <f>E10+'Tablas Sheele'!D19+F10</f>
        <v>2</v>
      </c>
      <c r="H10" s="541">
        <f>IF(G10&lt;1,0,VLOOKUP(G10,Tablas!$C$14:$D$33,2))</f>
        <v>-20</v>
      </c>
      <c r="I10" s="328"/>
      <c r="J10" s="4878"/>
      <c r="K10" s="4931" t="str">
        <f>VLOOKUP(J9,Tablas!D38:G65,4)</f>
        <v>Ninguna</v>
      </c>
      <c r="L10" s="4932"/>
      <c r="N10" s="4933">
        <f>IF('Tablas Sheele'!F107&gt;0, P15*4, P15*2)+IF('Tablas Sheele'!F148&gt;0,250,0)</f>
        <v>50</v>
      </c>
      <c r="O10" s="4935"/>
      <c r="P10" s="4936"/>
      <c r="Q10" s="328"/>
      <c r="R10" s="4900">
        <f>20+10*ROUNDDOWN(Controlar_final/50,0)+MIN(100,25*'Tablas Sheele'!F108)</f>
        <v>20</v>
      </c>
      <c r="S10" s="4901"/>
      <c r="U10" s="4904" t="s">
        <v>6673</v>
      </c>
      <c r="V10" s="4905"/>
      <c r="W10" s="4905"/>
      <c r="X10" s="4905"/>
      <c r="Y10" s="4906"/>
      <c r="Z10" s="2556">
        <f>IF(VALUE($U$4)&lt;2,0,5*($U$4-1)-SUMIF(Y12:Y74,"&gt;0"))</f>
        <v>0</v>
      </c>
      <c r="AA10" s="2183"/>
      <c r="AB10" s="2181"/>
      <c r="AC10" s="2919"/>
      <c r="AD10" s="2919"/>
      <c r="AE10" s="2919"/>
    </row>
    <row r="11" spans="1:31" ht="12" customHeight="1" thickBot="1" x14ac:dyDescent="0.25">
      <c r="A11" s="340"/>
      <c r="B11" s="346"/>
      <c r="C11" s="4869"/>
      <c r="D11" s="360" t="s">
        <v>1381</v>
      </c>
      <c r="E11" s="540">
        <f>HLOOKUP($D$5,'Tablas Sheele'!$G$17:$N$25,'Tablas Sheele'!E20,)</f>
        <v>8</v>
      </c>
      <c r="F11" s="2439"/>
      <c r="G11" s="361">
        <f>E11+'Tablas Sheele'!D20+IF('Tablas Sheele'!F142&gt;0,2,0)+F11</f>
        <v>8</v>
      </c>
      <c r="H11" s="541">
        <f>IF(G11&lt;1,0,VLOOKUP(G11,Tablas!$C$14:$D$33,2))</f>
        <v>10</v>
      </c>
      <c r="J11" s="3545" t="s">
        <v>1382</v>
      </c>
      <c r="K11" s="3336"/>
      <c r="L11" s="2492"/>
      <c r="N11" s="4933"/>
      <c r="O11" s="4935"/>
      <c r="P11" s="4936"/>
      <c r="Q11" s="328"/>
      <c r="R11" s="4902"/>
      <c r="S11" s="4903"/>
      <c r="U11" s="368" t="s">
        <v>1402</v>
      </c>
      <c r="V11" s="4881" t="s">
        <v>1378</v>
      </c>
      <c r="W11" s="4882"/>
      <c r="X11" s="1551" t="s">
        <v>1368</v>
      </c>
      <c r="Y11" s="1735" t="s">
        <v>2846</v>
      </c>
      <c r="Z11" s="2562" t="s">
        <v>1352</v>
      </c>
      <c r="AA11" s="2183"/>
      <c r="AB11" s="2181"/>
      <c r="AC11" s="2931" t="s">
        <v>8814</v>
      </c>
      <c r="AD11" s="2931" t="s">
        <v>2646</v>
      </c>
      <c r="AE11" s="2931" t="s">
        <v>7480</v>
      </c>
    </row>
    <row r="12" spans="1:31" ht="12" customHeight="1" thickBot="1" x14ac:dyDescent="0.25">
      <c r="A12" s="340"/>
      <c r="B12" s="289"/>
      <c r="C12" s="4869"/>
      <c r="D12" s="360" t="s">
        <v>1386</v>
      </c>
      <c r="E12" s="540">
        <f>HLOOKUP($D$5,'Tablas Sheele'!$G$17:$N$25,'Tablas Sheele'!E21,)</f>
        <v>2</v>
      </c>
      <c r="F12" s="2439"/>
      <c r="G12" s="361">
        <f>E12+'Tablas Sheele'!D21+IF('Tablas Sheele'!F142&gt;0,2,0)+F12</f>
        <v>2</v>
      </c>
      <c r="H12" s="541">
        <f>IF(G12&lt;1,0,VLOOKUP(G12,Tablas!$C$14:$D$33,2))</f>
        <v>-20</v>
      </c>
      <c r="I12" s="328"/>
      <c r="N12" s="4934"/>
      <c r="O12" s="4937"/>
      <c r="P12" s="4938"/>
      <c r="Q12" s="328"/>
      <c r="R12" s="4887" t="s">
        <v>2845</v>
      </c>
      <c r="S12" s="4888"/>
      <c r="U12" s="4856" t="s">
        <v>1407</v>
      </c>
      <c r="V12" s="4896" t="s">
        <v>1408</v>
      </c>
      <c r="W12" s="4896"/>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31"/>
      <c r="AD12" s="2931"/>
      <c r="AE12" s="2931">
        <f t="shared" ref="AE12:AE43" si="0">IF(AND(X12="",Y12=""),-30,IF(X12="",0,X12)+10*Y12)</f>
        <v>60</v>
      </c>
    </row>
    <row r="13" spans="1:31" ht="12" customHeight="1" thickBot="1" x14ac:dyDescent="0.25">
      <c r="A13" s="340"/>
      <c r="B13" s="362"/>
      <c r="C13" s="4869"/>
      <c r="D13" s="360" t="s">
        <v>1389</v>
      </c>
      <c r="E13" s="540">
        <f>HLOOKUP($D$5,'Tablas Sheele'!$G$17:$N$25,'Tablas Sheele'!E22,)</f>
        <v>8</v>
      </c>
      <c r="F13" s="2439"/>
      <c r="G13" s="361">
        <f>E13+'Tablas Sheele'!D22+F13</f>
        <v>8</v>
      </c>
      <c r="H13" s="541">
        <f>IF(G13&lt;1,0,VLOOKUP(G13,Tablas!$C$14:$D$33,2))</f>
        <v>10</v>
      </c>
      <c r="J13" s="4942" t="s">
        <v>1390</v>
      </c>
      <c r="K13" s="4943"/>
      <c r="L13" s="4944"/>
      <c r="R13" s="4887"/>
      <c r="S13" s="4888"/>
      <c r="U13" s="3286"/>
      <c r="V13" s="3272" t="s">
        <v>1409</v>
      </c>
      <c r="W13" s="3272"/>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31"/>
      <c r="AD13" s="2931"/>
      <c r="AE13" s="2931">
        <f t="shared" si="0"/>
        <v>-30</v>
      </c>
    </row>
    <row r="14" spans="1:31" ht="12" customHeight="1" thickBot="1" x14ac:dyDescent="0.25">
      <c r="A14" s="340"/>
      <c r="B14" s="362"/>
      <c r="C14" s="4869"/>
      <c r="D14" s="360" t="s">
        <v>1392</v>
      </c>
      <c r="E14" s="540">
        <f>HLOOKUP($D$5,'Tablas Sheele'!$G$17:$N$25,'Tablas Sheele'!E23,)</f>
        <v>6</v>
      </c>
      <c r="F14" s="2439"/>
      <c r="G14" s="361">
        <f>E14+'Tablas Sheele'!D23+F14</f>
        <v>6</v>
      </c>
      <c r="H14" s="541">
        <f>IF(G14&lt;1,0,VLOOKUP(G14,Tablas!$C$14:$D$33,2))</f>
        <v>5</v>
      </c>
      <c r="J14" s="4907">
        <f>MIN(20,G9+L20)</f>
        <v>8</v>
      </c>
      <c r="K14" s="4908" t="s">
        <v>1581</v>
      </c>
      <c r="L14" s="4909"/>
      <c r="R14" s="4889" t="s">
        <v>2847</v>
      </c>
      <c r="S14" s="4890"/>
      <c r="U14" s="3286"/>
      <c r="V14" s="3272" t="s">
        <v>1412</v>
      </c>
      <c r="W14" s="3272"/>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31"/>
      <c r="AD14" s="2931"/>
      <c r="AE14" s="2931">
        <f t="shared" si="0"/>
        <v>-30</v>
      </c>
    </row>
    <row r="15" spans="1:31" ht="12" customHeight="1" x14ac:dyDescent="0.2">
      <c r="A15" s="340"/>
      <c r="B15" s="362"/>
      <c r="C15" s="4869"/>
      <c r="D15" s="360" t="s">
        <v>1394</v>
      </c>
      <c r="E15" s="1848">
        <f>HLOOKUP($D$5,'Tablas Sheele'!$G$17:$N$25,'Tablas Sheele'!E24,)</f>
        <v>8</v>
      </c>
      <c r="F15" s="2440"/>
      <c r="G15" s="361">
        <f>E15+'Tablas Sheele'!D24+F15</f>
        <v>8</v>
      </c>
      <c r="H15" s="541">
        <f>IF(G15&lt;1,0,VLOOKUP(G15,Tablas!$C$14:$D$33,2))</f>
        <v>10</v>
      </c>
      <c r="J15" s="4907"/>
      <c r="K15" s="4859" t="str">
        <f>IF(J14&lt;1,"",VLOOKUP(J14,Tabla_TipoMovimiento,2,FALSE))</f>
        <v>28 m / asalto</v>
      </c>
      <c r="L15" s="4860"/>
      <c r="N15" s="4893" t="s">
        <v>10226</v>
      </c>
      <c r="O15" s="366" t="s">
        <v>1562</v>
      </c>
      <c r="P15" s="2724">
        <f>25+5*U4</f>
        <v>25</v>
      </c>
      <c r="R15" s="4891"/>
      <c r="S15" s="4892"/>
      <c r="U15" s="3286"/>
      <c r="V15" s="3272" t="s">
        <v>1416</v>
      </c>
      <c r="W15" s="3272"/>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31"/>
      <c r="AD15" s="2931"/>
      <c r="AE15" s="2931">
        <f t="shared" si="0"/>
        <v>-30</v>
      </c>
    </row>
    <row r="16" spans="1:31" ht="12" customHeight="1" thickBot="1" x14ac:dyDescent="0.25">
      <c r="A16" s="340"/>
      <c r="B16" s="362"/>
      <c r="C16" s="4870"/>
      <c r="D16" s="363" t="s">
        <v>1395</v>
      </c>
      <c r="E16" s="1847">
        <f>HLOOKUP($D$5,'Tablas Sheele'!$G$17:$N$25,'Tablas Sheele'!E25,)</f>
        <v>6</v>
      </c>
      <c r="F16" s="2441"/>
      <c r="G16" s="364">
        <f>E16+'Tablas Sheele'!D25+F16</f>
        <v>6</v>
      </c>
      <c r="H16" s="542">
        <f>IF(G16&lt;1,0,VLOOKUP(G16,Tablas!$C$14:$D$33,2))</f>
        <v>5</v>
      </c>
      <c r="J16" s="4861">
        <f>MIN(20,IF('Tablas Sheele'!F116&gt;0,14,VLOOKUP(C49,'Tablas Sheele'!C203:M242,10,FALSE))+L20)</f>
        <v>10</v>
      </c>
      <c r="K16" s="4863" t="s">
        <v>1630</v>
      </c>
      <c r="L16" s="4864"/>
      <c r="N16" s="4894"/>
      <c r="O16" s="2725" t="s">
        <v>1462</v>
      </c>
      <c r="P16" s="367">
        <f>Principal!J58-Principal!I58+IF('Tablas Sheele'!F$164&gt;0,50,0)</f>
        <v>20</v>
      </c>
      <c r="U16" s="3286"/>
      <c r="V16" s="3272" t="s">
        <v>1419</v>
      </c>
      <c r="W16" s="3272"/>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31"/>
      <c r="AD16" s="2931"/>
      <c r="AE16" s="2931">
        <f t="shared" si="0"/>
        <v>-30</v>
      </c>
    </row>
    <row r="17" spans="1:31" ht="12" customHeight="1" thickBot="1" x14ac:dyDescent="0.25">
      <c r="A17" s="340"/>
      <c r="B17" s="362"/>
      <c r="J17" s="4862"/>
      <c r="K17" s="4859" t="str">
        <f>IF(J16&lt;1,"",VLOOKUP(J16,Tabla_TipoMovimiento,2,FALSE))</f>
        <v>35 m / asalto</v>
      </c>
      <c r="L17" s="4860"/>
      <c r="N17" s="4894"/>
      <c r="O17" s="2725" t="s">
        <v>1464</v>
      </c>
      <c r="P17" s="367">
        <f>Principal!J59-Principal!I59+IF('Tablas Sheele'!F$164&gt;0,50,0)</f>
        <v>20</v>
      </c>
      <c r="U17" s="3286"/>
      <c r="V17" s="3272" t="s">
        <v>1422</v>
      </c>
      <c r="W17" s="3272"/>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31"/>
      <c r="AD17" s="2931"/>
      <c r="AE17" s="2931">
        <f t="shared" si="0"/>
        <v>-30</v>
      </c>
    </row>
    <row r="18" spans="1:31" ht="12" customHeight="1" thickBot="1" x14ac:dyDescent="0.25">
      <c r="A18" s="340"/>
      <c r="B18" s="362"/>
      <c r="C18" s="2998" t="s">
        <v>8600</v>
      </c>
      <c r="D18" s="2999"/>
      <c r="E18" s="2999"/>
      <c r="F18" s="2999"/>
      <c r="G18" s="2999"/>
      <c r="H18" s="3000"/>
      <c r="J18" s="4861" t="str">
        <f>IF('Tablas Sheele'!F127&gt;0,MIN(20,15+L20),IF(D5='Tablas Sheele'!C6,MIN(20,10+L20),IF('Tablas Sheele'!F152&gt;0,J14,"-")))</f>
        <v>-</v>
      </c>
      <c r="K18" s="4863" t="str">
        <f>IF(D5='Tablas Sheele'!C6,"Acuático",IF('Tablas Sheele'!F152&gt;0,"Subterráneo","Otros"))</f>
        <v>Otros</v>
      </c>
      <c r="L18" s="4864"/>
      <c r="N18" s="4894"/>
      <c r="O18" s="2725" t="s">
        <v>1466</v>
      </c>
      <c r="P18" s="367">
        <f>Principal!J60-Principal!I60+IF('Tablas Sheele'!F$164&gt;0,50,0)</f>
        <v>20</v>
      </c>
      <c r="U18" s="3287"/>
      <c r="V18" s="4857" t="s">
        <v>6372</v>
      </c>
      <c r="W18" s="4858"/>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31"/>
      <c r="AD18" s="2931"/>
      <c r="AE18" s="2931">
        <f t="shared" si="0"/>
        <v>-30</v>
      </c>
    </row>
    <row r="19" spans="1:31" ht="12" customHeight="1" x14ac:dyDescent="0.2">
      <c r="A19" s="340"/>
      <c r="B19" s="362"/>
      <c r="C19" s="3316" t="str">
        <f>INDEX(Tabla_Regen,MATCH($J$9,INDEX(Tabla_Regen,,2),0),6)</f>
        <v/>
      </c>
      <c r="D19" s="3317"/>
      <c r="E19" s="3317"/>
      <c r="F19" s="3317"/>
      <c r="G19" s="3317"/>
      <c r="H19" s="3318"/>
      <c r="J19" s="4862"/>
      <c r="K19" s="4859" t="str">
        <f>IF(J18="-","-",VLOOKUP(J16,Tabla_TipoMovimiento,2,FALSE))</f>
        <v>-</v>
      </c>
      <c r="L19" s="4860"/>
      <c r="N19" s="4894"/>
      <c r="O19" s="2725" t="s">
        <v>1468</v>
      </c>
      <c r="P19" s="367">
        <f>Principal!J61-Principal!I61+IF('Tablas Sheele'!F$164&gt;0,50,0)</f>
        <v>20</v>
      </c>
      <c r="U19" s="3286" t="s">
        <v>1425</v>
      </c>
      <c r="V19" s="3272" t="s">
        <v>1426</v>
      </c>
      <c r="W19" s="3272"/>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31"/>
      <c r="AD19" s="2931"/>
      <c r="AE19" s="2931">
        <f t="shared" si="0"/>
        <v>-30</v>
      </c>
    </row>
    <row r="20" spans="1:31" ht="12" customHeight="1" thickBot="1" x14ac:dyDescent="0.25">
      <c r="A20" s="340"/>
      <c r="B20" s="362"/>
      <c r="C20" s="3319"/>
      <c r="D20" s="3320"/>
      <c r="E20" s="3320"/>
      <c r="F20" s="3320"/>
      <c r="G20" s="3320"/>
      <c r="H20" s="3321"/>
      <c r="J20" s="3545" t="s">
        <v>1382</v>
      </c>
      <c r="K20" s="3336"/>
      <c r="L20" s="2492"/>
      <c r="N20" s="4895"/>
      <c r="O20" s="2726" t="s">
        <v>1470</v>
      </c>
      <c r="P20" s="2727">
        <f>Principal!J62-Principal!I62+IF('Tablas Sheele'!F$164&gt;0,50,0)</f>
        <v>20</v>
      </c>
      <c r="U20" s="3286"/>
      <c r="V20" s="3272" t="s">
        <v>1428</v>
      </c>
      <c r="W20" s="3272"/>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31"/>
      <c r="AD20" s="2931"/>
      <c r="AE20" s="2931">
        <f t="shared" si="0"/>
        <v>-30</v>
      </c>
    </row>
    <row r="21" spans="1:31" ht="12" customHeight="1" x14ac:dyDescent="0.2">
      <c r="A21" s="340"/>
      <c r="B21" s="346"/>
      <c r="K21" s="365"/>
      <c r="U21" s="3286"/>
      <c r="V21" s="3272" t="s">
        <v>1431</v>
      </c>
      <c r="W21" s="3272"/>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31"/>
      <c r="AD21" s="2931"/>
      <c r="AE21" s="2931">
        <f t="shared" si="0"/>
        <v>-30</v>
      </c>
    </row>
    <row r="22" spans="1:31" ht="12" customHeight="1" thickBot="1" x14ac:dyDescent="0.25">
      <c r="A22" s="340"/>
      <c r="B22" s="346"/>
      <c r="K22" s="365"/>
      <c r="U22" s="3286"/>
      <c r="V22" s="3272" t="s">
        <v>1433</v>
      </c>
      <c r="W22" s="3272"/>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31"/>
      <c r="AD22" s="2931"/>
      <c r="AE22" s="2931">
        <f t="shared" si="0"/>
        <v>-30</v>
      </c>
    </row>
    <row r="23" spans="1:31" ht="12" customHeight="1" x14ac:dyDescent="0.2">
      <c r="A23" s="340"/>
      <c r="B23" s="346"/>
      <c r="C23" s="4871" t="s">
        <v>2841</v>
      </c>
      <c r="D23" s="4872"/>
      <c r="E23" s="4872"/>
      <c r="F23" s="4872"/>
      <c r="G23" s="4872"/>
      <c r="H23" s="4872"/>
      <c r="I23" s="4872"/>
      <c r="J23" s="4957">
        <f>IF(F5='Tablas Sheele'!L4,0,$U$4+IF($F$5='Tablas Sheele'!L6,2,0)+COUNTBLANK(C26:C44)+COUNTBLANK(G26:G39)-33+IF(Tablas!G393&gt;0,2,0)-SUM($H$41:$H$44,$J$41:$J$44))</f>
        <v>0</v>
      </c>
      <c r="L23" s="4798" t="s">
        <v>2829</v>
      </c>
      <c r="M23" s="4799"/>
      <c r="N23" s="4799"/>
      <c r="O23" s="4799"/>
      <c r="P23" s="4799"/>
      <c r="Q23" s="2259"/>
      <c r="R23" s="2260" t="s">
        <v>9770</v>
      </c>
      <c r="S23" s="2261" t="s">
        <v>2094</v>
      </c>
      <c r="U23" s="3286"/>
      <c r="V23" s="3272" t="s">
        <v>819</v>
      </c>
      <c r="W23" s="3272"/>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31"/>
      <c r="AD23" s="2931"/>
      <c r="AE23" s="2931">
        <f t="shared" si="0"/>
        <v>-30</v>
      </c>
    </row>
    <row r="24" spans="1:31" ht="12" customHeight="1" x14ac:dyDescent="0.2">
      <c r="A24" s="340"/>
      <c r="B24" s="346"/>
      <c r="C24" s="4955"/>
      <c r="D24" s="4956"/>
      <c r="E24" s="4956"/>
      <c r="F24" s="4956"/>
      <c r="G24" s="4956"/>
      <c r="H24" s="4956"/>
      <c r="I24" s="4956"/>
      <c r="J24" s="4958"/>
      <c r="L24" s="4865" t="s">
        <v>1511</v>
      </c>
      <c r="M24" s="4866"/>
      <c r="N24" s="4866"/>
      <c r="O24" s="4867"/>
      <c r="P24" s="4883" t="s">
        <v>2830</v>
      </c>
      <c r="Q24" s="4883"/>
      <c r="R24" s="4883"/>
      <c r="S24" s="4884"/>
      <c r="U24" s="3286"/>
      <c r="V24" s="3272" t="s">
        <v>820</v>
      </c>
      <c r="W24" s="3272"/>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31"/>
      <c r="AD24" s="2931"/>
      <c r="AE24" s="2931">
        <f t="shared" si="0"/>
        <v>-30</v>
      </c>
    </row>
    <row r="25" spans="1:31" ht="12" customHeight="1" x14ac:dyDescent="0.2">
      <c r="A25" s="340"/>
      <c r="B25" s="346"/>
      <c r="C25" s="4817" t="s">
        <v>2843</v>
      </c>
      <c r="D25" s="4818"/>
      <c r="E25" s="4818"/>
      <c r="F25" s="4818"/>
      <c r="G25" s="4819" t="str">
        <f>"Mejoras de "&amp;D5</f>
        <v>Mejoras de Aire</v>
      </c>
      <c r="H25" s="4820"/>
      <c r="I25" s="4820"/>
      <c r="J25" s="4821"/>
      <c r="L25" s="4822" t="s">
        <v>2831</v>
      </c>
      <c r="M25" s="4814"/>
      <c r="N25" s="4834">
        <f>IF(P15*2+20*'Tablas Sheele'!F103&gt;200, IF(P15*2&gt;=200,P15*2+10*'Tablas Sheele'!F103,200+1/2*(20*'Tablas Sheele'!F103-(200-P15*2))),P15*2+20*'Tablas Sheele'!F103 )</f>
        <v>50</v>
      </c>
      <c r="O25" s="4834"/>
      <c r="P25" s="4814" t="s">
        <v>2832</v>
      </c>
      <c r="Q25" s="4814"/>
      <c r="R25" s="4826">
        <f>IF('Tablas Sheele'!F175&gt;0,MAX(Sheele!N25,H11),H11)</f>
        <v>10</v>
      </c>
      <c r="S25" s="4827"/>
      <c r="U25" s="3286"/>
      <c r="V25" s="4857" t="s">
        <v>821</v>
      </c>
      <c r="W25" s="4858"/>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31"/>
      <c r="AD25" s="2931"/>
      <c r="AE25" s="2931">
        <f t="shared" si="0"/>
        <v>-30</v>
      </c>
    </row>
    <row r="26" spans="1:31" ht="12" customHeight="1" x14ac:dyDescent="0.2">
      <c r="A26" s="340"/>
      <c r="B26" s="346"/>
      <c r="C26" s="4959"/>
      <c r="D26" s="4960"/>
      <c r="E26" s="4960"/>
      <c r="F26" s="4961"/>
      <c r="G26" s="4854"/>
      <c r="H26" s="3419"/>
      <c r="I26" s="3419"/>
      <c r="J26" s="4855"/>
      <c r="L26" s="4822"/>
      <c r="M26" s="4814"/>
      <c r="N26" s="4834"/>
      <c r="O26" s="4834"/>
      <c r="P26" s="4814"/>
      <c r="Q26" s="4814"/>
      <c r="R26" s="4826"/>
      <c r="S26" s="4827"/>
      <c r="U26" s="4856" t="s">
        <v>1434</v>
      </c>
      <c r="V26" s="3272" t="s">
        <v>1435</v>
      </c>
      <c r="W26" s="3272"/>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32">
        <f>IF('Tablas Sheele'!$F$160&gt;0,100,0)</f>
        <v>0</v>
      </c>
      <c r="AD26" s="2931"/>
      <c r="AE26" s="2931">
        <f t="shared" si="0"/>
        <v>30</v>
      </c>
    </row>
    <row r="27" spans="1:31" ht="12" customHeight="1" x14ac:dyDescent="0.2">
      <c r="A27" s="340"/>
      <c r="B27" s="346"/>
      <c r="C27" s="3495"/>
      <c r="D27" s="3496"/>
      <c r="E27" s="3496"/>
      <c r="F27" s="4853"/>
      <c r="G27" s="4854"/>
      <c r="H27" s="3419"/>
      <c r="I27" s="3419"/>
      <c r="J27" s="4855"/>
      <c r="L27" s="4822" t="s">
        <v>2835</v>
      </c>
      <c r="M27" s="4814"/>
      <c r="N27" s="4834">
        <f>IF(P15*2+20*'Tablas Sheele'!F103&gt;200, IF(P15*2&gt;=200,P15*2+10*'Tablas Sheele'!F103,200+1/2*(20*'Tablas Sheele'!F103-(200-P15*2))),P15*2+20*'Tablas Sheele'!F103 )+IF('Tablas Sheele'!F186&gt;0,40,0)</f>
        <v>50</v>
      </c>
      <c r="O27" s="4834"/>
      <c r="P27" s="4814" t="s">
        <v>2836</v>
      </c>
      <c r="Q27" s="4814"/>
      <c r="R27" s="4826">
        <f>IF('Tablas Sheele'!F175&gt;0,MAX(Sheele!N27,H9),IF(D5="Aire",MAX(N27,H9),H9))</f>
        <v>50</v>
      </c>
      <c r="S27" s="4827"/>
      <c r="U27" s="3286"/>
      <c r="V27" s="3272" t="s">
        <v>1436</v>
      </c>
      <c r="W27" s="3272"/>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32">
        <f>IF('Tablas Sheele'!$F$160&gt;0,100,0)</f>
        <v>0</v>
      </c>
      <c r="AD27" s="2931"/>
      <c r="AE27" s="2931">
        <f t="shared" si="0"/>
        <v>10</v>
      </c>
    </row>
    <row r="28" spans="1:31" ht="12" customHeight="1" x14ac:dyDescent="0.2">
      <c r="A28" s="340"/>
      <c r="B28" s="346"/>
      <c r="C28" s="3495"/>
      <c r="D28" s="3496"/>
      <c r="E28" s="3496"/>
      <c r="F28" s="4853"/>
      <c r="G28" s="4854"/>
      <c r="H28" s="3419"/>
      <c r="I28" s="3419"/>
      <c r="J28" s="4855"/>
      <c r="L28" s="4822"/>
      <c r="M28" s="4814"/>
      <c r="N28" s="4834"/>
      <c r="O28" s="4834"/>
      <c r="P28" s="4814"/>
      <c r="Q28" s="4814"/>
      <c r="R28" s="4826"/>
      <c r="S28" s="4827"/>
      <c r="U28" s="3287"/>
      <c r="V28" s="4857" t="s">
        <v>1437</v>
      </c>
      <c r="W28" s="4858"/>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31"/>
      <c r="AD28" s="2931"/>
      <c r="AE28" s="2931">
        <f t="shared" si="0"/>
        <v>-30</v>
      </c>
    </row>
    <row r="29" spans="1:31" ht="12" customHeight="1" x14ac:dyDescent="0.2">
      <c r="A29" s="340"/>
      <c r="B29" s="346"/>
      <c r="C29" s="3495"/>
      <c r="D29" s="3496"/>
      <c r="E29" s="3496"/>
      <c r="F29" s="4853"/>
      <c r="G29" s="4812"/>
      <c r="H29" s="3496"/>
      <c r="I29" s="3496"/>
      <c r="J29" s="4813"/>
      <c r="L29" s="4822" t="s">
        <v>2837</v>
      </c>
      <c r="M29" s="4823"/>
      <c r="N29" s="4824" t="str">
        <f>IF(D5="Naturaleza","Esencia",D5)</f>
        <v>Aire</v>
      </c>
      <c r="O29" s="4824"/>
      <c r="P29" s="4825" t="s">
        <v>2838</v>
      </c>
      <c r="Q29" s="4814"/>
      <c r="R29" s="4826">
        <f>IF('Tablas Sheele'!F175&gt;0,MAX(Sheele!N27,H11),H11)</f>
        <v>10</v>
      </c>
      <c r="S29" s="4827"/>
      <c r="U29" s="3286" t="s">
        <v>1438</v>
      </c>
      <c r="V29" s="3272" t="s">
        <v>1439</v>
      </c>
      <c r="W29" s="3272"/>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31"/>
      <c r="AD29" s="2931"/>
      <c r="AE29" s="2931">
        <f t="shared" si="0"/>
        <v>-30</v>
      </c>
    </row>
    <row r="30" spans="1:31" ht="12" customHeight="1" x14ac:dyDescent="0.2">
      <c r="A30" s="340"/>
      <c r="B30" s="346"/>
      <c r="C30" s="3495"/>
      <c r="D30" s="3496"/>
      <c r="E30" s="3496"/>
      <c r="F30" s="4853"/>
      <c r="G30" s="4812"/>
      <c r="H30" s="3496"/>
      <c r="I30" s="3496"/>
      <c r="J30" s="4813"/>
      <c r="L30" s="4822"/>
      <c r="M30" s="4823"/>
      <c r="N30" s="4828">
        <f>IF(20+10*'Tablas Sheele'!F104&lt;=50,20+10*'Tablas Sheele'!F104,50+1/2*(10*'Tablas Sheele'!F104-(50-20)))</f>
        <v>20</v>
      </c>
      <c r="O30" s="4829"/>
      <c r="P30" s="4825"/>
      <c r="Q30" s="4814"/>
      <c r="R30" s="4826"/>
      <c r="S30" s="4827"/>
      <c r="U30" s="3286"/>
      <c r="V30" s="3272" t="str">
        <f>IF($D$5='Tablas Sheele'!$C$8,"Ciencia (geología)","Ciencia")</f>
        <v>Ciencia</v>
      </c>
      <c r="W30" s="3272"/>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31"/>
      <c r="AD30" s="2931">
        <v>1</v>
      </c>
      <c r="AE30" s="2931">
        <f t="shared" si="0"/>
        <v>-30</v>
      </c>
    </row>
    <row r="31" spans="1:31" ht="12" customHeight="1" x14ac:dyDescent="0.2">
      <c r="A31" s="340"/>
      <c r="B31" s="346"/>
      <c r="C31" s="3495"/>
      <c r="D31" s="3496"/>
      <c r="E31" s="3496"/>
      <c r="F31" s="4853"/>
      <c r="G31" s="4812"/>
      <c r="H31" s="3496"/>
      <c r="I31" s="3496"/>
      <c r="J31" s="4813"/>
      <c r="L31" s="4822" t="s">
        <v>2840</v>
      </c>
      <c r="M31" s="4814"/>
      <c r="N31" s="4832">
        <f>Místicos!L12</f>
        <v>0</v>
      </c>
      <c r="O31" s="4832"/>
      <c r="P31" s="4814" t="s">
        <v>1396</v>
      </c>
      <c r="Q31" s="4814"/>
      <c r="R31" s="4815">
        <f>Turno_SinArmas_final+IF('Tablas Sheele'!F120,50,0)</f>
        <v>40</v>
      </c>
      <c r="S31" s="4816"/>
      <c r="U31" s="3286"/>
      <c r="V31" s="3272" t="s">
        <v>2595</v>
      </c>
      <c r="W31" s="3272"/>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31"/>
      <c r="AD31" s="2931"/>
      <c r="AE31" s="2931">
        <f t="shared" si="0"/>
        <v>-30</v>
      </c>
    </row>
    <row r="32" spans="1:31" ht="12" customHeight="1" x14ac:dyDescent="0.2">
      <c r="A32" s="340"/>
      <c r="B32" s="346"/>
      <c r="C32" s="3495"/>
      <c r="D32" s="3496"/>
      <c r="E32" s="3496"/>
      <c r="F32" s="4853"/>
      <c r="G32" s="4812"/>
      <c r="H32" s="3496"/>
      <c r="I32" s="3496"/>
      <c r="J32" s="4813"/>
      <c r="L32" s="4830"/>
      <c r="M32" s="4831"/>
      <c r="N32" s="4833"/>
      <c r="O32" s="4834"/>
      <c r="P32" s="4814"/>
      <c r="Q32" s="4814"/>
      <c r="R32" s="4815"/>
      <c r="S32" s="4816"/>
      <c r="U32" s="3286"/>
      <c r="V32" s="3272" t="s">
        <v>1441</v>
      </c>
      <c r="W32" s="3272"/>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31"/>
      <c r="AD32" s="2931"/>
      <c r="AE32" s="2931">
        <f t="shared" si="0"/>
        <v>-30</v>
      </c>
    </row>
    <row r="33" spans="1:31" ht="12" customHeight="1" thickBot="1" x14ac:dyDescent="0.25">
      <c r="A33" s="340"/>
      <c r="B33" s="346"/>
      <c r="C33" s="3495"/>
      <c r="D33" s="3496"/>
      <c r="E33" s="3496"/>
      <c r="F33" s="4853"/>
      <c r="G33" s="4812"/>
      <c r="H33" s="3496"/>
      <c r="I33" s="3496"/>
      <c r="J33" s="4813"/>
      <c r="L33" s="1544"/>
      <c r="M33" s="1545"/>
      <c r="N33" s="1546" t="s">
        <v>2842</v>
      </c>
      <c r="O33" s="1547">
        <f>5*'Tablas Sheele'!F105</f>
        <v>0</v>
      </c>
      <c r="P33" s="1548"/>
      <c r="Q33" s="1548"/>
      <c r="R33" s="1549" t="s">
        <v>1427</v>
      </c>
      <c r="S33" s="1550">
        <f>VLOOKUP(G11+G9,Tabla_NumAcciones,2)</f>
        <v>3</v>
      </c>
      <c r="U33" s="3286"/>
      <c r="V33" s="3272" t="s">
        <v>1443</v>
      </c>
      <c r="W33" s="3272"/>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31"/>
      <c r="AD33" s="2931">
        <v>1</v>
      </c>
      <c r="AE33" s="2931">
        <f t="shared" si="0"/>
        <v>-30</v>
      </c>
    </row>
    <row r="34" spans="1:31" ht="12" customHeight="1" thickBot="1" x14ac:dyDescent="0.25">
      <c r="A34" s="340"/>
      <c r="B34" s="369"/>
      <c r="C34" s="3495"/>
      <c r="D34" s="3496"/>
      <c r="E34" s="3496"/>
      <c r="F34" s="4853"/>
      <c r="G34" s="4812"/>
      <c r="H34" s="3496"/>
      <c r="I34" s="3496"/>
      <c r="J34" s="4813"/>
      <c r="U34" s="3286"/>
      <c r="V34" s="3272" t="s">
        <v>822</v>
      </c>
      <c r="W34" s="3272"/>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31"/>
      <c r="AD34" s="2931"/>
      <c r="AE34" s="2931">
        <f t="shared" si="0"/>
        <v>-30</v>
      </c>
    </row>
    <row r="35" spans="1:31" ht="12" customHeight="1" x14ac:dyDescent="0.2">
      <c r="A35" s="340"/>
      <c r="B35" s="369"/>
      <c r="C35" s="4847"/>
      <c r="D35" s="4848"/>
      <c r="E35" s="4848"/>
      <c r="F35" s="4849"/>
      <c r="G35" s="4812"/>
      <c r="H35" s="3496"/>
      <c r="I35" s="3496"/>
      <c r="J35" s="4813"/>
      <c r="L35" s="4871" t="s">
        <v>10228</v>
      </c>
      <c r="M35" s="4872"/>
      <c r="N35" s="4872"/>
      <c r="O35" s="4872"/>
      <c r="P35" s="4872"/>
      <c r="Q35" s="4872"/>
      <c r="R35" s="4872"/>
      <c r="S35" s="4873"/>
      <c r="U35" s="3286"/>
      <c r="V35" s="3272" t="s">
        <v>1446</v>
      </c>
      <c r="W35" s="3272"/>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31"/>
      <c r="AD35" s="2931">
        <v>1</v>
      </c>
      <c r="AE35" s="2931">
        <f t="shared" si="0"/>
        <v>-30</v>
      </c>
    </row>
    <row r="36" spans="1:31" ht="12" customHeight="1" x14ac:dyDescent="0.2">
      <c r="A36" s="340"/>
      <c r="B36" s="369"/>
      <c r="C36" s="4847"/>
      <c r="D36" s="4848"/>
      <c r="E36" s="4848"/>
      <c r="F36" s="4849"/>
      <c r="G36" s="4812"/>
      <c r="H36" s="3496"/>
      <c r="I36" s="3496"/>
      <c r="J36" s="4813"/>
      <c r="L36" s="4962"/>
      <c r="M36" s="4963"/>
      <c r="N36" s="4963"/>
      <c r="O36" s="4963"/>
      <c r="P36" s="4963"/>
      <c r="Q36" s="4963"/>
      <c r="R36" s="4963"/>
      <c r="S36" s="4964"/>
      <c r="U36" s="3286"/>
      <c r="V36" s="3272" t="s">
        <v>1447</v>
      </c>
      <c r="W36" s="3272"/>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31"/>
      <c r="AD36" s="2931"/>
      <c r="AE36" s="2931">
        <f t="shared" si="0"/>
        <v>-30</v>
      </c>
    </row>
    <row r="37" spans="1:31" ht="12" customHeight="1" x14ac:dyDescent="0.2">
      <c r="A37" s="340"/>
      <c r="B37" s="369"/>
      <c r="C37" s="4847"/>
      <c r="D37" s="4848"/>
      <c r="E37" s="4848"/>
      <c r="F37" s="4849"/>
      <c r="G37" s="4812"/>
      <c r="H37" s="3496"/>
      <c r="I37" s="3496"/>
      <c r="J37" s="4813"/>
      <c r="L37" s="4969" t="s">
        <v>1406</v>
      </c>
      <c r="M37" s="4970"/>
      <c r="N37" s="4973" t="str">
        <f>IF('Tablas Sheele'!F98&gt;0,U4+'Tablas Sheele'!F101,"-")</f>
        <v>-</v>
      </c>
      <c r="O37" s="4974"/>
      <c r="P37" s="4844" t="s">
        <v>2833</v>
      </c>
      <c r="Q37" s="4844"/>
      <c r="R37" s="4967" t="str">
        <f>IF('Tablas Sheele'!F98&gt;0,150,"-")</f>
        <v>-</v>
      </c>
      <c r="S37" s="4968"/>
      <c r="U37" s="3286"/>
      <c r="V37" s="3272" t="s">
        <v>1448</v>
      </c>
      <c r="W37" s="3272"/>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31"/>
      <c r="AD37" s="2931"/>
      <c r="AE37" s="2931">
        <f t="shared" si="0"/>
        <v>-30</v>
      </c>
    </row>
    <row r="38" spans="1:31" ht="12" customHeight="1" thickBot="1" x14ac:dyDescent="0.25">
      <c r="A38" s="340"/>
      <c r="B38" s="369"/>
      <c r="C38" s="4847"/>
      <c r="D38" s="4848"/>
      <c r="E38" s="4848"/>
      <c r="F38" s="4849"/>
      <c r="G38" s="4812"/>
      <c r="H38" s="3496"/>
      <c r="I38" s="3496"/>
      <c r="J38" s="4813"/>
      <c r="L38" s="4971"/>
      <c r="M38" s="4972"/>
      <c r="N38" s="4975"/>
      <c r="O38" s="4976"/>
      <c r="P38" s="4845" t="s">
        <v>2834</v>
      </c>
      <c r="Q38" s="4845"/>
      <c r="R38" s="4965" t="str">
        <f>IF('Tablas Sheele'!F98&gt;0,MAX(10,25+N37*5-'Tablas Sheele'!F99*10)&amp;" / asalto","-")</f>
        <v>-</v>
      </c>
      <c r="S38" s="4966"/>
      <c r="U38" s="3286"/>
      <c r="V38" s="3272" t="s">
        <v>1449</v>
      </c>
      <c r="W38" s="3272"/>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31"/>
      <c r="AD38" s="2931"/>
      <c r="AE38" s="2931">
        <f t="shared" si="0"/>
        <v>-30</v>
      </c>
    </row>
    <row r="39" spans="1:31" ht="12" customHeight="1" x14ac:dyDescent="0.2">
      <c r="A39" s="340"/>
      <c r="B39" s="369"/>
      <c r="C39" s="4847"/>
      <c r="D39" s="4848"/>
      <c r="E39" s="4848"/>
      <c r="F39" s="4849"/>
      <c r="G39" s="4800"/>
      <c r="H39" s="4800"/>
      <c r="I39" s="4800"/>
      <c r="J39" s="4801"/>
      <c r="L39" s="4949" t="str">
        <f>"Crea una ficha independiente de criatura con Gnosis "&amp;IF('Tablas Sheele'!F100&gt;0,30,20)</f>
        <v>Crea una ficha independiente de criatura con Gnosis 20</v>
      </c>
      <c r="M39" s="4950"/>
      <c r="N39" s="4950"/>
      <c r="O39" s="4950"/>
      <c r="P39" s="4950"/>
      <c r="Q39" s="4950"/>
      <c r="R39" s="4950"/>
      <c r="S39" s="4951"/>
      <c r="U39" s="3286"/>
      <c r="V39" s="3272" t="s">
        <v>1450</v>
      </c>
      <c r="W39" s="3272"/>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31"/>
      <c r="AD39" s="2931">
        <v>1</v>
      </c>
      <c r="AE39" s="2931">
        <f t="shared" si="0"/>
        <v>-30</v>
      </c>
    </row>
    <row r="40" spans="1:31" ht="12" customHeight="1" x14ac:dyDescent="0.2">
      <c r="A40" s="340"/>
      <c r="B40" s="369"/>
      <c r="C40" s="4847"/>
      <c r="D40" s="4848"/>
      <c r="E40" s="4848"/>
      <c r="F40" s="4849"/>
      <c r="G40" s="4809" t="s">
        <v>2848</v>
      </c>
      <c r="H40" s="4810"/>
      <c r="I40" s="4810"/>
      <c r="J40" s="4811"/>
      <c r="L40" s="4949"/>
      <c r="M40" s="4950"/>
      <c r="N40" s="4950"/>
      <c r="O40" s="4950"/>
      <c r="P40" s="4950"/>
      <c r="Q40" s="4950"/>
      <c r="R40" s="4950"/>
      <c r="S40" s="4951"/>
      <c r="U40" s="3286"/>
      <c r="V40" s="4857" t="s">
        <v>1451</v>
      </c>
      <c r="W40" s="4858"/>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31"/>
      <c r="AD40" s="2931">
        <v>1</v>
      </c>
      <c r="AE40" s="2931">
        <f t="shared" si="0"/>
        <v>80</v>
      </c>
    </row>
    <row r="41" spans="1:31" ht="12" customHeight="1" x14ac:dyDescent="0.2">
      <c r="A41" s="340"/>
      <c r="B41" s="369"/>
      <c r="C41" s="4847"/>
      <c r="D41" s="4848"/>
      <c r="E41" s="4848"/>
      <c r="F41" s="4849"/>
      <c r="G41" s="2728" t="s">
        <v>1376</v>
      </c>
      <c r="H41" s="2674"/>
      <c r="I41" s="2688" t="s">
        <v>1389</v>
      </c>
      <c r="J41" s="2684"/>
      <c r="L41" s="4949" t="s">
        <v>2839</v>
      </c>
      <c r="M41" s="4950"/>
      <c r="N41" s="4950"/>
      <c r="O41" s="4950"/>
      <c r="P41" s="4950"/>
      <c r="Q41" s="4950"/>
      <c r="R41" s="4950"/>
      <c r="S41" s="4951"/>
      <c r="U41" s="4856" t="s">
        <v>1452</v>
      </c>
      <c r="V41" s="3272" t="s">
        <v>1453</v>
      </c>
      <c r="W41" s="3272"/>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31"/>
      <c r="AD41" s="2931"/>
      <c r="AE41" s="2931">
        <f t="shared" si="0"/>
        <v>-30</v>
      </c>
    </row>
    <row r="42" spans="1:31" ht="12" customHeight="1" x14ac:dyDescent="0.2">
      <c r="A42" s="340"/>
      <c r="B42" s="369"/>
      <c r="C42" s="4847"/>
      <c r="D42" s="4848"/>
      <c r="E42" s="4848"/>
      <c r="F42" s="4849"/>
      <c r="G42" s="2729" t="str">
        <f>IF(OR($P$38="Ánima",$P$38="Ánima, Elemental",$P$38="No muerto, Espectro"),"-","CON")</f>
        <v>CON</v>
      </c>
      <c r="H42" s="2673"/>
      <c r="I42" s="2688" t="s">
        <v>1392</v>
      </c>
      <c r="J42" s="2682"/>
      <c r="L42" s="4949"/>
      <c r="M42" s="4950"/>
      <c r="N42" s="4950"/>
      <c r="O42" s="4950"/>
      <c r="P42" s="4950"/>
      <c r="Q42" s="4950"/>
      <c r="R42" s="4950"/>
      <c r="S42" s="4951"/>
      <c r="U42" s="3286"/>
      <c r="V42" s="3272" t="s">
        <v>1454</v>
      </c>
      <c r="W42" s="3272"/>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31"/>
      <c r="AD42" s="2931"/>
      <c r="AE42" s="2931">
        <f t="shared" si="0"/>
        <v>-30</v>
      </c>
    </row>
    <row r="43" spans="1:31" ht="12" customHeight="1" x14ac:dyDescent="0.2">
      <c r="A43" s="340"/>
      <c r="B43" s="346"/>
      <c r="C43" s="4850"/>
      <c r="D43" s="4851"/>
      <c r="E43" s="4851"/>
      <c r="F43" s="4852"/>
      <c r="G43" s="2729" t="s">
        <v>1381</v>
      </c>
      <c r="H43" s="2673"/>
      <c r="I43" s="2688" t="s">
        <v>1394</v>
      </c>
      <c r="J43" s="2682"/>
      <c r="L43" s="4949" t="s">
        <v>10229</v>
      </c>
      <c r="M43" s="4950"/>
      <c r="N43" s="4950"/>
      <c r="O43" s="4950"/>
      <c r="P43" s="4950"/>
      <c r="Q43" s="4950"/>
      <c r="R43" s="4950"/>
      <c r="S43" s="4951"/>
      <c r="U43" s="3287"/>
      <c r="V43" s="4857" t="s">
        <v>1457</v>
      </c>
      <c r="W43" s="4858"/>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31"/>
      <c r="AD43" s="2931"/>
      <c r="AE43" s="2931">
        <f t="shared" si="0"/>
        <v>-30</v>
      </c>
    </row>
    <row r="44" spans="1:31" ht="12" customHeight="1" thickBot="1" x14ac:dyDescent="0.25">
      <c r="A44" s="340"/>
      <c r="B44" s="346"/>
      <c r="C44" s="4795"/>
      <c r="D44" s="4796"/>
      <c r="E44" s="4796"/>
      <c r="F44" s="4797"/>
      <c r="G44" s="2730" t="s">
        <v>1386</v>
      </c>
      <c r="H44" s="2685"/>
      <c r="I44" s="2689" t="s">
        <v>1395</v>
      </c>
      <c r="J44" s="2683"/>
      <c r="L44" s="4952"/>
      <c r="M44" s="4953"/>
      <c r="N44" s="4953"/>
      <c r="O44" s="4953"/>
      <c r="P44" s="4953"/>
      <c r="Q44" s="4953"/>
      <c r="R44" s="4953"/>
      <c r="S44" s="4954"/>
      <c r="U44" s="3286" t="s">
        <v>1460</v>
      </c>
      <c r="V44" s="3272" t="s">
        <v>1461</v>
      </c>
      <c r="W44" s="3272"/>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31"/>
      <c r="AD44" s="2931"/>
      <c r="AE44" s="2931">
        <f t="shared" ref="AE44:AE67" si="1">IF(AND(X44="",Y44=""),-30,IF(X44="",0,X44)+10*Y44)</f>
        <v>-30</v>
      </c>
    </row>
    <row r="45" spans="1:31" ht="12" customHeight="1" thickBot="1" x14ac:dyDescent="0.25">
      <c r="A45" s="340"/>
      <c r="B45" s="346"/>
      <c r="U45" s="3286"/>
      <c r="V45" s="3272" t="s">
        <v>1463</v>
      </c>
      <c r="W45" s="3272"/>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31"/>
      <c r="AD45" s="2931"/>
      <c r="AE45" s="2931">
        <f t="shared" si="1"/>
        <v>-30</v>
      </c>
    </row>
    <row r="46" spans="1:31" ht="12" customHeight="1" x14ac:dyDescent="0.2">
      <c r="A46" s="340"/>
      <c r="B46" s="346"/>
      <c r="C46" s="4871" t="s">
        <v>2849</v>
      </c>
      <c r="D46" s="4872"/>
      <c r="E46" s="4872"/>
      <c r="F46" s="4872"/>
      <c r="G46" s="4872"/>
      <c r="H46" s="4872"/>
      <c r="I46" s="4872"/>
      <c r="J46" s="4872"/>
      <c r="K46" s="4872"/>
      <c r="L46" s="4872"/>
      <c r="M46" s="4872"/>
      <c r="N46" s="4872"/>
      <c r="O46" s="4872"/>
      <c r="P46" s="4872"/>
      <c r="Q46" s="4872"/>
      <c r="R46" s="4872"/>
      <c r="S46" s="4873"/>
      <c r="U46" s="3286"/>
      <c r="V46" s="3272" t="s">
        <v>1465</v>
      </c>
      <c r="W46" s="3272"/>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32">
        <f>IF('Tablas Sheele'!$F$166&gt;0,100,0)</f>
        <v>0</v>
      </c>
      <c r="AD46" s="2931"/>
      <c r="AE46" s="2931">
        <f t="shared" si="1"/>
        <v>-30</v>
      </c>
    </row>
    <row r="47" spans="1:31" ht="12" customHeight="1" thickBot="1" x14ac:dyDescent="0.25">
      <c r="A47" s="340"/>
      <c r="B47" s="346"/>
      <c r="C47" s="4874"/>
      <c r="D47" s="4875"/>
      <c r="E47" s="4875"/>
      <c r="F47" s="4875"/>
      <c r="G47" s="4875"/>
      <c r="H47" s="4875"/>
      <c r="I47" s="4875"/>
      <c r="J47" s="4875"/>
      <c r="K47" s="4875"/>
      <c r="L47" s="4875"/>
      <c r="M47" s="4875"/>
      <c r="N47" s="4875"/>
      <c r="O47" s="4875"/>
      <c r="P47" s="4875"/>
      <c r="Q47" s="4875"/>
      <c r="R47" s="4875"/>
      <c r="S47" s="4876"/>
      <c r="U47" s="3286"/>
      <c r="V47" s="3272" t="s">
        <v>1467</v>
      </c>
      <c r="W47" s="3272"/>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33"/>
      <c r="AD47" s="2931"/>
      <c r="AE47" s="2931">
        <f t="shared" si="1"/>
        <v>40</v>
      </c>
    </row>
    <row r="48" spans="1:31" ht="12" customHeight="1" x14ac:dyDescent="0.2">
      <c r="A48" s="340"/>
      <c r="B48" s="346"/>
      <c r="C48" s="4913" t="s">
        <v>2850</v>
      </c>
      <c r="D48" s="4914"/>
      <c r="E48" s="2716" t="s">
        <v>2694</v>
      </c>
      <c r="F48" s="2717" t="s">
        <v>2851</v>
      </c>
      <c r="G48" s="2716" t="s">
        <v>1570</v>
      </c>
      <c r="H48" s="4915" t="s">
        <v>1553</v>
      </c>
      <c r="I48" s="4916"/>
      <c r="J48" s="4916"/>
      <c r="K48" s="4916"/>
      <c r="L48" s="4916"/>
      <c r="M48" s="4916"/>
      <c r="N48" s="4916"/>
      <c r="O48" s="4916"/>
      <c r="P48" s="4916"/>
      <c r="Q48" s="4916"/>
      <c r="R48" s="4916"/>
      <c r="S48" s="4917"/>
      <c r="U48" s="3286"/>
      <c r="V48" s="3272" t="s">
        <v>1469</v>
      </c>
      <c r="W48" s="3272"/>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32">
        <f>IF('Tablas Sheele'!$F$166&gt;0,100,0)</f>
        <v>0</v>
      </c>
      <c r="AD48" s="2931"/>
      <c r="AE48" s="2931">
        <f t="shared" si="1"/>
        <v>-30</v>
      </c>
    </row>
    <row r="49" spans="1:31" ht="12" customHeight="1" x14ac:dyDescent="0.2">
      <c r="A49" s="340"/>
      <c r="B49" s="346"/>
      <c r="C49" s="4787" t="str">
        <f>INDEX('Tablas Sheele'!$C$203:$C$242,MATCH(Sheele!$D$5,'Tablas Sheele'!$C$203:$C$242,0)+'Tablas Sheele'!A1)</f>
        <v>Vuelo Místico 10</v>
      </c>
      <c r="D49" s="4788"/>
      <c r="E49" s="2718" t="str">
        <f>IF($C49=" ","","-")</f>
        <v>-</v>
      </c>
      <c r="F49" s="2718" t="str">
        <f>IF($C49=" ","","-")</f>
        <v>-</v>
      </c>
      <c r="G49" s="2719" t="str">
        <f>IF($C49=" ","","-")</f>
        <v>-</v>
      </c>
      <c r="H49" s="4918" t="str">
        <f>IF(C49=" ","",VLOOKUP(C49,'Tablas Sheele'!$C$203:$J$242,3,FALSE))</f>
        <v>Puede volar con Tipo de Movimiento 10</v>
      </c>
      <c r="I49" s="4919"/>
      <c r="J49" s="4919"/>
      <c r="K49" s="4919"/>
      <c r="L49" s="4919"/>
      <c r="M49" s="4919"/>
      <c r="N49" s="4919"/>
      <c r="O49" s="4919"/>
      <c r="P49" s="4919"/>
      <c r="Q49" s="4919"/>
      <c r="R49" s="4919"/>
      <c r="S49" s="4920"/>
      <c r="U49" s="3286"/>
      <c r="V49" s="3272" t="s">
        <v>1471</v>
      </c>
      <c r="W49" s="3272"/>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31"/>
      <c r="AD49" s="2931"/>
      <c r="AE49" s="2931">
        <f t="shared" si="1"/>
        <v>-30</v>
      </c>
    </row>
    <row r="50" spans="1:31" ht="12" customHeight="1" x14ac:dyDescent="0.2">
      <c r="A50" s="340"/>
      <c r="B50" s="346"/>
      <c r="C50" s="4789" t="str">
        <f>INDEX('Tablas Sheele'!$C$203:$C$242,MATCH(Sheele!$D$5,'Tablas Sheele'!$C$203:$C$242,0)+'Tablas Sheele'!A2)</f>
        <v>Movimiento Defensivo</v>
      </c>
      <c r="D50" s="4790"/>
      <c r="E50" s="2720" t="str">
        <f>IF($C50=" ","","-")</f>
        <v>-</v>
      </c>
      <c r="F50" s="2720" t="str">
        <f>IF($C50=" ","",IF(C50='Tablas Sheele'!C215,Sheele!N25,"-"))</f>
        <v>-</v>
      </c>
      <c r="G50" s="370" t="str">
        <f>IF($C50=" ","","-")</f>
        <v>-</v>
      </c>
      <c r="H50" s="4921" t="str">
        <f>IF(C50=" ","",VLOOKUP(C50,'Tablas Sheele'!$C$203:$J$242,3,FALSE))</f>
        <v>Usa su Proyección Mágica como Esquiva.</v>
      </c>
      <c r="I50" s="4922"/>
      <c r="J50" s="4922"/>
      <c r="K50" s="4922"/>
      <c r="L50" s="4922"/>
      <c r="M50" s="4922"/>
      <c r="N50" s="4922"/>
      <c r="O50" s="4922"/>
      <c r="P50" s="4922"/>
      <c r="Q50" s="4922"/>
      <c r="R50" s="4922"/>
      <c r="S50" s="4923"/>
      <c r="U50" s="3286"/>
      <c r="V50" s="4857" t="s">
        <v>1472</v>
      </c>
      <c r="W50" s="4858"/>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31"/>
      <c r="AD50" s="2931">
        <v>1</v>
      </c>
      <c r="AE50" s="2931">
        <f t="shared" si="1"/>
        <v>-30</v>
      </c>
    </row>
    <row r="51" spans="1:31" ht="12" customHeight="1" x14ac:dyDescent="0.2">
      <c r="A51" s="340"/>
      <c r="B51" s="346"/>
      <c r="C51" s="4789" t="str">
        <f>INDEX('Tablas Sheele'!$C$203:$C$242,MATCH(Sheele!$D$5,'Tablas Sheele'!$C$203:$C$242,0)+'Tablas Sheele'!A3)</f>
        <v xml:space="preserve"> </v>
      </c>
      <c r="D51" s="4790"/>
      <c r="E51" s="2720" t="str">
        <f>IF($C51=" ","","-")</f>
        <v/>
      </c>
      <c r="F51" s="2720" t="str">
        <f>IF($C51=" ","","-")</f>
        <v/>
      </c>
      <c r="G51" s="370" t="str">
        <f>IF($C51=" ","","-")</f>
        <v/>
      </c>
      <c r="H51" s="4921" t="str">
        <f>IF(C51=" ","",VLOOKUP(C51,'Tablas Sheele'!$C$203:$J$242,3,FALSE))</f>
        <v/>
      </c>
      <c r="I51" s="4922"/>
      <c r="J51" s="4922"/>
      <c r="K51" s="4922"/>
      <c r="L51" s="4922"/>
      <c r="M51" s="4922"/>
      <c r="N51" s="4922"/>
      <c r="O51" s="4922"/>
      <c r="P51" s="4922"/>
      <c r="Q51" s="4922"/>
      <c r="R51" s="4922"/>
      <c r="S51" s="4923"/>
      <c r="U51" s="4856" t="s">
        <v>1473</v>
      </c>
      <c r="V51" s="3272" t="s">
        <v>1474</v>
      </c>
      <c r="W51" s="3272"/>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31"/>
      <c r="AD51" s="2931"/>
      <c r="AE51" s="2931">
        <f t="shared" si="1"/>
        <v>-30</v>
      </c>
    </row>
    <row r="52" spans="1:31" ht="12" customHeight="1" x14ac:dyDescent="0.2">
      <c r="A52" s="340"/>
      <c r="B52" s="346"/>
      <c r="C52" s="4791" t="str">
        <f>INDEX('Tablas Sheele'!$C$203:$C$242,MATCH(Sheele!$D$5,'Tablas Sheele'!$C$203:$C$242,0)+'Tablas Sheele'!A4)</f>
        <v xml:space="preserve"> </v>
      </c>
      <c r="D52" s="4792"/>
      <c r="E52" s="2721" t="str">
        <f>IF($C52=" ","","-")</f>
        <v/>
      </c>
      <c r="F52" s="2721" t="str">
        <f>IF($C52=" ","","-")</f>
        <v/>
      </c>
      <c r="G52" s="2722" t="str">
        <f>IF($C52=" ","","-")</f>
        <v/>
      </c>
      <c r="H52" s="4939" t="str">
        <f>IF(C52=" ","",VLOOKUP(C52,'Tablas Sheele'!$C$203:$J$242,3,FALSE))</f>
        <v/>
      </c>
      <c r="I52" s="4940"/>
      <c r="J52" s="4940"/>
      <c r="K52" s="4940"/>
      <c r="L52" s="4940"/>
      <c r="M52" s="4940"/>
      <c r="N52" s="4940"/>
      <c r="O52" s="4940"/>
      <c r="P52" s="4940"/>
      <c r="Q52" s="4940"/>
      <c r="R52" s="4940"/>
      <c r="S52" s="4941"/>
      <c r="U52" s="3286"/>
      <c r="V52" s="3272" t="s">
        <v>1475</v>
      </c>
      <c r="W52" s="3272"/>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31"/>
      <c r="AD52" s="2931">
        <v>1</v>
      </c>
      <c r="AE52" s="2931">
        <f t="shared" si="1"/>
        <v>40</v>
      </c>
    </row>
    <row r="53" spans="1:31" ht="12" customHeight="1" x14ac:dyDescent="0.2">
      <c r="A53" s="340"/>
      <c r="B53" s="346"/>
      <c r="C53" s="4787" t="str">
        <f>IF(COUNTA($C$52:C52)&lt;='Tablas Sheele'!$H$198,VLOOKUP('Tablas Sheele'!A1,'Tablas Sheele'!$B$110:$R$197,3,FALSE),"")</f>
        <v/>
      </c>
      <c r="D53" s="4788"/>
      <c r="E53" s="2718" t="str">
        <f>IF($C53="","",VLOOKUP('Tablas Sheele'!$A1,'Tablas Sheele'!$B$110:$R197,8,FALSE))</f>
        <v/>
      </c>
      <c r="F53" s="2718" t="str">
        <f>IF($C53="","",VLOOKUP('Tablas Sheele'!$A1,'Tablas Sheele'!$B$110:$R197,9,FALSE))</f>
        <v/>
      </c>
      <c r="G53" s="2719" t="str">
        <f>IF($C53="","",VLOOKUP('Tablas Sheele'!$A1,'Tablas Sheele'!$B$110:$R197,10,FALSE))</f>
        <v/>
      </c>
      <c r="H53" s="4910" t="str">
        <f>IF($C53="","",VLOOKUP('Tablas Sheele'!$A1,'Tablas Sheele'!$B$110:$R197,11,FALSE))</f>
        <v/>
      </c>
      <c r="I53" s="4911"/>
      <c r="J53" s="4911"/>
      <c r="K53" s="4911"/>
      <c r="L53" s="4911"/>
      <c r="M53" s="4911"/>
      <c r="N53" s="4911"/>
      <c r="O53" s="4911"/>
      <c r="P53" s="4911"/>
      <c r="Q53" s="4911"/>
      <c r="R53" s="4911"/>
      <c r="S53" s="4912"/>
      <c r="U53" s="3286"/>
      <c r="V53" s="3272" t="s">
        <v>1476</v>
      </c>
      <c r="W53" s="3272"/>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31"/>
      <c r="AD53" s="2931">
        <v>1</v>
      </c>
      <c r="AE53" s="2931">
        <f t="shared" si="1"/>
        <v>-30</v>
      </c>
    </row>
    <row r="54" spans="1:31" ht="12" customHeight="1" x14ac:dyDescent="0.2">
      <c r="A54" s="340"/>
      <c r="B54" s="346"/>
      <c r="C54" s="4789" t="str">
        <f>IF(COUNTA($C$52:C53)&lt;='Tablas Sheele'!$H$198,VLOOKUP('Tablas Sheele'!A2,'Tablas Sheele'!$B$110:$R$197,3,FALSE),"")</f>
        <v/>
      </c>
      <c r="D54" s="4790"/>
      <c r="E54" s="2720" t="str">
        <f>IF($C54="","",VLOOKUP('Tablas Sheele'!$A2,'Tablas Sheele'!$B$110:$R198,8,FALSE))</f>
        <v/>
      </c>
      <c r="F54" s="2720" t="str">
        <f>IF($C54="","",VLOOKUP('Tablas Sheele'!$A2,'Tablas Sheele'!$B$110:$R198,9,FALSE))</f>
        <v/>
      </c>
      <c r="G54" s="370" t="str">
        <f>IF($C54="","",VLOOKUP('Tablas Sheele'!$A2,'Tablas Sheele'!$B$110:$R198,10,FALSE))</f>
        <v/>
      </c>
      <c r="H54" s="4802" t="str">
        <f>IF($C54="","",VLOOKUP('Tablas Sheele'!$A2,'Tablas Sheele'!$B$110:$R198,11,FALSE))</f>
        <v/>
      </c>
      <c r="I54" s="4803"/>
      <c r="J54" s="4803"/>
      <c r="K54" s="4803"/>
      <c r="L54" s="4803"/>
      <c r="M54" s="4803"/>
      <c r="N54" s="4803"/>
      <c r="O54" s="4803"/>
      <c r="P54" s="4803"/>
      <c r="Q54" s="4803"/>
      <c r="R54" s="4803"/>
      <c r="S54" s="4804"/>
      <c r="U54" s="3286"/>
      <c r="V54" s="3272" t="s">
        <v>816</v>
      </c>
      <c r="W54" s="3272"/>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31"/>
      <c r="AD54" s="2931"/>
      <c r="AE54" s="2931">
        <f t="shared" si="1"/>
        <v>-30</v>
      </c>
    </row>
    <row r="55" spans="1:31" ht="12" customHeight="1" x14ac:dyDescent="0.2">
      <c r="A55" s="340"/>
      <c r="B55" s="346"/>
      <c r="C55" s="4789" t="str">
        <f>IF(COUNTA($C$52:C54)&lt;='Tablas Sheele'!$H$198,VLOOKUP('Tablas Sheele'!A3,'Tablas Sheele'!$B$110:$R$197,3,FALSE),"")</f>
        <v/>
      </c>
      <c r="D55" s="4790"/>
      <c r="E55" s="2720" t="str">
        <f>IF($C55="","",VLOOKUP('Tablas Sheele'!$A3,'Tablas Sheele'!$B$110:$R199,8,FALSE))</f>
        <v/>
      </c>
      <c r="F55" s="2720" t="str">
        <f>IF($C55="","",VLOOKUP('Tablas Sheele'!$A3,'Tablas Sheele'!$B$110:$R199,9,FALSE))</f>
        <v/>
      </c>
      <c r="G55" s="370" t="str">
        <f>IF($C55="","",VLOOKUP('Tablas Sheele'!$A3,'Tablas Sheele'!$B$110:$R199,10,FALSE))</f>
        <v/>
      </c>
      <c r="H55" s="4802" t="str">
        <f>IF($C55="","",VLOOKUP('Tablas Sheele'!$A3,'Tablas Sheele'!$B$110:$R199,11,FALSE))</f>
        <v/>
      </c>
      <c r="I55" s="4803"/>
      <c r="J55" s="4803"/>
      <c r="K55" s="4803"/>
      <c r="L55" s="4803"/>
      <c r="M55" s="4803"/>
      <c r="N55" s="4803"/>
      <c r="O55" s="4803"/>
      <c r="P55" s="4803"/>
      <c r="Q55" s="4803"/>
      <c r="R55" s="4803"/>
      <c r="S55" s="4804"/>
      <c r="U55" s="3286"/>
      <c r="V55" s="3272" t="s">
        <v>817</v>
      </c>
      <c r="W55" s="3272"/>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31"/>
      <c r="AD55" s="2931"/>
      <c r="AE55" s="2931">
        <f t="shared" si="1"/>
        <v>-30</v>
      </c>
    </row>
    <row r="56" spans="1:31" ht="12" customHeight="1" x14ac:dyDescent="0.2">
      <c r="A56" s="340"/>
      <c r="B56" s="346"/>
      <c r="C56" s="4789" t="str">
        <f>IF(COUNTA($C$52:C55)&lt;='Tablas Sheele'!$H$198,VLOOKUP('Tablas Sheele'!A4,'Tablas Sheele'!$B$110:$R$197,3,FALSE),"")</f>
        <v/>
      </c>
      <c r="D56" s="4790"/>
      <c r="E56" s="2720" t="str">
        <f>IF($C56="","",VLOOKUP('Tablas Sheele'!$A4,'Tablas Sheele'!$B$110:$R200,8,FALSE))</f>
        <v/>
      </c>
      <c r="F56" s="2720" t="str">
        <f>IF($C56="","",VLOOKUP('Tablas Sheele'!$A4,'Tablas Sheele'!$B$110:$R200,9,FALSE))</f>
        <v/>
      </c>
      <c r="G56" s="370" t="str">
        <f>IF($C56="","",VLOOKUP('Tablas Sheele'!$A4,'Tablas Sheele'!$B$110:$R200,10,FALSE))</f>
        <v/>
      </c>
      <c r="H56" s="4802" t="str">
        <f>IF($C56="","",VLOOKUP('Tablas Sheele'!$A4,'Tablas Sheele'!$B$110:$R200,11,FALSE))</f>
        <v/>
      </c>
      <c r="I56" s="4803"/>
      <c r="J56" s="4803"/>
      <c r="K56" s="4803"/>
      <c r="L56" s="4803"/>
      <c r="M56" s="4803"/>
      <c r="N56" s="4803"/>
      <c r="O56" s="4803"/>
      <c r="P56" s="4803"/>
      <c r="Q56" s="4803"/>
      <c r="R56" s="4803"/>
      <c r="S56" s="4804"/>
      <c r="U56" s="3286"/>
      <c r="V56" s="3272" t="s">
        <v>818</v>
      </c>
      <c r="W56" s="3272"/>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31"/>
      <c r="AD56" s="2931"/>
      <c r="AE56" s="2931">
        <f t="shared" si="1"/>
        <v>-30</v>
      </c>
    </row>
    <row r="57" spans="1:31" ht="12" customHeight="1" x14ac:dyDescent="0.2">
      <c r="A57" s="340"/>
      <c r="B57" s="346"/>
      <c r="C57" s="4789" t="str">
        <f>IF(COUNTA($C$52:C56)&lt;='Tablas Sheele'!$H$198,VLOOKUP('Tablas Sheele'!A5,'Tablas Sheele'!$B$110:$R$197,3,FALSE),"")</f>
        <v/>
      </c>
      <c r="D57" s="4790"/>
      <c r="E57" s="2720" t="str">
        <f>IF($C57="","",VLOOKUP('Tablas Sheele'!$A5,'Tablas Sheele'!$B$110:$R201,8,FALSE))</f>
        <v/>
      </c>
      <c r="F57" s="2720" t="str">
        <f>IF($C57="","",VLOOKUP('Tablas Sheele'!$A5,'Tablas Sheele'!$B$110:$R201,9,FALSE))</f>
        <v/>
      </c>
      <c r="G57" s="370" t="str">
        <f>IF($C57="","",VLOOKUP('Tablas Sheele'!$A5,'Tablas Sheele'!$B$110:$R201,10,FALSE))</f>
        <v/>
      </c>
      <c r="H57" s="4802" t="str">
        <f>IF($C57="","",VLOOKUP('Tablas Sheele'!$A5,'Tablas Sheele'!$B$110:$R201,11,FALSE))</f>
        <v/>
      </c>
      <c r="I57" s="4803"/>
      <c r="J57" s="4803"/>
      <c r="K57" s="4803"/>
      <c r="L57" s="4803"/>
      <c r="M57" s="4803"/>
      <c r="N57" s="4803"/>
      <c r="O57" s="4803"/>
      <c r="P57" s="4803"/>
      <c r="Q57" s="4803"/>
      <c r="R57" s="4803"/>
      <c r="S57" s="4804"/>
      <c r="U57" s="3286"/>
      <c r="V57" s="3272" t="s">
        <v>1477</v>
      </c>
      <c r="W57" s="3272"/>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31"/>
      <c r="AD57" s="2931">
        <v>1</v>
      </c>
      <c r="AE57" s="2931">
        <f t="shared" si="1"/>
        <v>-30</v>
      </c>
    </row>
    <row r="58" spans="1:31" ht="12" customHeight="1" x14ac:dyDescent="0.2">
      <c r="A58" s="340"/>
      <c r="B58" s="346"/>
      <c r="C58" s="4789" t="str">
        <f>IF(COUNTA($C$52:C57)&lt;='Tablas Sheele'!$H$198,VLOOKUP('Tablas Sheele'!A6,'Tablas Sheele'!$B$110:$R$197,3,FALSE),"")</f>
        <v/>
      </c>
      <c r="D58" s="4790"/>
      <c r="E58" s="2720" t="str">
        <f>IF($C58="","",VLOOKUP('Tablas Sheele'!$A6,'Tablas Sheele'!$B$110:$R202,8,FALSE))</f>
        <v/>
      </c>
      <c r="F58" s="2720" t="str">
        <f>IF($C58="","",VLOOKUP('Tablas Sheele'!$A6,'Tablas Sheele'!$B$110:$R202,9,FALSE))</f>
        <v/>
      </c>
      <c r="G58" s="370" t="str">
        <f>IF($C58="","",VLOOKUP('Tablas Sheele'!$A6,'Tablas Sheele'!$B$110:$R202,10,FALSE))</f>
        <v/>
      </c>
      <c r="H58" s="4802" t="str">
        <f>IF($C58="","",VLOOKUP('Tablas Sheele'!$A6,'Tablas Sheele'!$B$110:$R202,11,FALSE))</f>
        <v/>
      </c>
      <c r="I58" s="4803"/>
      <c r="J58" s="4803"/>
      <c r="K58" s="4803"/>
      <c r="L58" s="4803"/>
      <c r="M58" s="4803"/>
      <c r="N58" s="4803"/>
      <c r="O58" s="4803"/>
      <c r="P58" s="4803"/>
      <c r="Q58" s="4803"/>
      <c r="R58" s="4803"/>
      <c r="S58" s="4804"/>
      <c r="U58" s="3286"/>
      <c r="V58" s="3272" t="s">
        <v>1479</v>
      </c>
      <c r="W58" s="3272"/>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31"/>
      <c r="AD58" s="2931"/>
      <c r="AE58" s="2931">
        <f t="shared" si="1"/>
        <v>20</v>
      </c>
    </row>
    <row r="59" spans="1:31" ht="12" customHeight="1" x14ac:dyDescent="0.2">
      <c r="A59" s="340"/>
      <c r="B59" s="346"/>
      <c r="C59" s="4789" t="str">
        <f>IF(COUNTA($C$52:C58)&lt;='Tablas Sheele'!$H$198,VLOOKUP('Tablas Sheele'!A7,'Tablas Sheele'!$B$110:$R$197,3,FALSE),"")</f>
        <v/>
      </c>
      <c r="D59" s="4790"/>
      <c r="E59" s="2720" t="str">
        <f>IF($C59="","",VLOOKUP('Tablas Sheele'!$A7,'Tablas Sheele'!$B$110:$R203,8,FALSE))</f>
        <v/>
      </c>
      <c r="F59" s="2720" t="str">
        <f>IF($C59="","",VLOOKUP('Tablas Sheele'!$A7,'Tablas Sheele'!$B$110:$R203,9,FALSE))</f>
        <v/>
      </c>
      <c r="G59" s="370" t="str">
        <f>IF($C59="","",VLOOKUP('Tablas Sheele'!$A7,'Tablas Sheele'!$B$110:$R203,10,FALSE))</f>
        <v/>
      </c>
      <c r="H59" s="4802" t="str">
        <f>IF($C59="","",VLOOKUP('Tablas Sheele'!$A7,'Tablas Sheele'!$B$110:$R203,11,FALSE))</f>
        <v/>
      </c>
      <c r="I59" s="4803"/>
      <c r="J59" s="4803"/>
      <c r="K59" s="4803"/>
      <c r="L59" s="4803"/>
      <c r="M59" s="4803"/>
      <c r="N59" s="4803"/>
      <c r="O59" s="4803"/>
      <c r="P59" s="4803"/>
      <c r="Q59" s="4803"/>
      <c r="R59" s="4803"/>
      <c r="S59" s="4804"/>
      <c r="U59" s="3286"/>
      <c r="V59" s="3272" t="s">
        <v>6373</v>
      </c>
      <c r="W59" s="3272"/>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31"/>
      <c r="AD59" s="2931"/>
      <c r="AE59" s="2931">
        <f t="shared" si="1"/>
        <v>-30</v>
      </c>
    </row>
    <row r="60" spans="1:31" ht="12" customHeight="1" x14ac:dyDescent="0.2">
      <c r="A60" s="340"/>
      <c r="B60" s="346"/>
      <c r="C60" s="4789" t="str">
        <f>IF(COUNTA($C$52:C59)&lt;='Tablas Sheele'!$H$198,VLOOKUP('Tablas Sheele'!A8,'Tablas Sheele'!$B$110:$R$197,3,FALSE),"")</f>
        <v/>
      </c>
      <c r="D60" s="4790"/>
      <c r="E60" s="2720" t="str">
        <f>IF($C60="","",VLOOKUP('Tablas Sheele'!$A8,'Tablas Sheele'!$B$110:$R204,8,FALSE))</f>
        <v/>
      </c>
      <c r="F60" s="2720" t="str">
        <f>IF($C60="","",VLOOKUP('Tablas Sheele'!$A8,'Tablas Sheele'!$B$110:$R204,9,FALSE))</f>
        <v/>
      </c>
      <c r="G60" s="370" t="str">
        <f>IF($C60="","",VLOOKUP('Tablas Sheele'!$A8,'Tablas Sheele'!$B$110:$R204,10,FALSE))</f>
        <v/>
      </c>
      <c r="H60" s="4802" t="str">
        <f>IF($C60="","",VLOOKUP('Tablas Sheele'!$A8,'Tablas Sheele'!$B$110:$R204,11,FALSE))</f>
        <v/>
      </c>
      <c r="I60" s="4803"/>
      <c r="J60" s="4803"/>
      <c r="K60" s="4803"/>
      <c r="L60" s="4803"/>
      <c r="M60" s="4803"/>
      <c r="N60" s="4803"/>
      <c r="O60" s="4803"/>
      <c r="P60" s="4803"/>
      <c r="Q60" s="4803"/>
      <c r="R60" s="4803"/>
      <c r="S60" s="4804"/>
      <c r="U60" s="3286"/>
      <c r="V60" s="3272" t="s">
        <v>6374</v>
      </c>
      <c r="W60" s="3272"/>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31"/>
      <c r="AD60" s="2931"/>
      <c r="AE60" s="2931">
        <f t="shared" si="1"/>
        <v>-30</v>
      </c>
    </row>
    <row r="61" spans="1:31" ht="12" customHeight="1" x14ac:dyDescent="0.2">
      <c r="A61" s="340"/>
      <c r="B61" s="346"/>
      <c r="C61" s="4789" t="str">
        <f>IF(COUNTA($C$52:C60)&lt;='Tablas Sheele'!$H$198,VLOOKUP('Tablas Sheele'!A9,'Tablas Sheele'!$B$110:$R$197,3,FALSE),"")</f>
        <v/>
      </c>
      <c r="D61" s="4790"/>
      <c r="E61" s="2720" t="str">
        <f>IF($C61="","",VLOOKUP('Tablas Sheele'!$A9,'Tablas Sheele'!$B$110:$R205,8,FALSE))</f>
        <v/>
      </c>
      <c r="F61" s="2720" t="str">
        <f>IF($C61="","",VLOOKUP('Tablas Sheele'!$A9,'Tablas Sheele'!$B$110:$R205,9,FALSE))</f>
        <v/>
      </c>
      <c r="G61" s="370" t="str">
        <f>IF($C61="","",VLOOKUP('Tablas Sheele'!$A9,'Tablas Sheele'!$B$110:$R205,10,FALSE))</f>
        <v/>
      </c>
      <c r="H61" s="4802" t="str">
        <f>IF($C61="","",VLOOKUP('Tablas Sheele'!$A9,'Tablas Sheele'!$B$110:$R205,11,FALSE))</f>
        <v/>
      </c>
      <c r="I61" s="4803"/>
      <c r="J61" s="4803"/>
      <c r="K61" s="4803"/>
      <c r="L61" s="4803"/>
      <c r="M61" s="4803"/>
      <c r="N61" s="4803"/>
      <c r="O61" s="4803"/>
      <c r="P61" s="4803"/>
      <c r="Q61" s="4803"/>
      <c r="R61" s="4803"/>
      <c r="S61" s="4804"/>
      <c r="U61" s="3286"/>
      <c r="V61" s="3272" t="s">
        <v>6375</v>
      </c>
      <c r="W61" s="3272"/>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31"/>
      <c r="AD61" s="2931"/>
      <c r="AE61" s="2931">
        <f t="shared" si="1"/>
        <v>-30</v>
      </c>
    </row>
    <row r="62" spans="1:31" ht="12" customHeight="1" x14ac:dyDescent="0.2">
      <c r="A62" s="340"/>
      <c r="B62" s="346"/>
      <c r="C62" s="4793" t="s">
        <v>2663</v>
      </c>
      <c r="D62" s="4794"/>
      <c r="E62" s="4928" t="s">
        <v>1553</v>
      </c>
      <c r="F62" s="4929"/>
      <c r="G62" s="4929"/>
      <c r="H62" s="4929"/>
      <c r="I62" s="4929"/>
      <c r="J62" s="4929"/>
      <c r="K62" s="4929"/>
      <c r="L62" s="4929"/>
      <c r="M62" s="4929"/>
      <c r="N62" s="4929"/>
      <c r="O62" s="4929"/>
      <c r="P62" s="4929"/>
      <c r="Q62" s="4929"/>
      <c r="R62" s="4929"/>
      <c r="S62" s="4930"/>
      <c r="U62" s="3287"/>
      <c r="V62" s="4926" t="s">
        <v>6376</v>
      </c>
      <c r="W62" s="4927"/>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31"/>
      <c r="AD62" s="2931"/>
      <c r="AE62" s="2931">
        <f t="shared" si="1"/>
        <v>-30</v>
      </c>
    </row>
    <row r="63" spans="1:31" ht="12" customHeight="1" x14ac:dyDescent="0.2">
      <c r="A63" s="340"/>
      <c r="B63" s="289"/>
      <c r="C63" s="4805" t="str">
        <f>IF(COUNTA($C$62:C62)&lt;='Tablas Sheele'!$H$109,VLOOKUP('Tablas Sheele'!A1,'Tablas Sheele'!$B$91:$D$108,3,FALSE),"")</f>
        <v/>
      </c>
      <c r="D63" s="4806"/>
      <c r="E63" s="4911" t="str">
        <f>IF($C63="","",VLOOKUP(C63,'Tablas Sheele'!D92:Q108,9,FALSE))</f>
        <v/>
      </c>
      <c r="F63" s="4911"/>
      <c r="G63" s="4911"/>
      <c r="H63" s="4911"/>
      <c r="I63" s="4911"/>
      <c r="J63" s="4911"/>
      <c r="K63" s="4911"/>
      <c r="L63" s="4911"/>
      <c r="M63" s="4911"/>
      <c r="N63" s="4911"/>
      <c r="O63" s="4911"/>
      <c r="P63" s="4911"/>
      <c r="Q63" s="4911"/>
      <c r="R63" s="4911"/>
      <c r="S63" s="4912"/>
      <c r="U63" s="3286" t="s">
        <v>1480</v>
      </c>
      <c r="V63" s="3272" t="str">
        <f>IF(PDs!P180="","-",PDs!P180)</f>
        <v>-</v>
      </c>
      <c r="W63" s="3272"/>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31"/>
      <c r="AD63" s="2931"/>
      <c r="AE63" s="2931">
        <f t="shared" si="1"/>
        <v>-30</v>
      </c>
    </row>
    <row r="64" spans="1:31" ht="12" customHeight="1" x14ac:dyDescent="0.2">
      <c r="A64" s="340"/>
      <c r="B64" s="289"/>
      <c r="C64" s="4807" t="str">
        <f>IF(COUNTA($C$62:C63)&lt;='Tablas Sheele'!$H$109,VLOOKUP('Tablas Sheele'!A2,'Tablas Sheele'!$B$91:$D$108,3,FALSE),"")</f>
        <v/>
      </c>
      <c r="D64" s="4808"/>
      <c r="E64" s="4802" t="str">
        <f>IF($C64="","",VLOOKUP(C64,'Tablas Sheele'!D93:Q109,9,FALSE))</f>
        <v/>
      </c>
      <c r="F64" s="4803"/>
      <c r="G64" s="4803"/>
      <c r="H64" s="4803"/>
      <c r="I64" s="4803"/>
      <c r="J64" s="4803"/>
      <c r="K64" s="4803"/>
      <c r="L64" s="4803"/>
      <c r="M64" s="4803"/>
      <c r="N64" s="4803"/>
      <c r="O64" s="4803"/>
      <c r="P64" s="4803"/>
      <c r="Q64" s="4803"/>
      <c r="R64" s="4803"/>
      <c r="S64" s="4804"/>
      <c r="U64" s="3286"/>
      <c r="V64" s="3272" t="str">
        <f>IF(PDs!P181="","-",PDs!P181)</f>
        <v>-</v>
      </c>
      <c r="W64" s="3272"/>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31"/>
      <c r="AD64" s="2931"/>
      <c r="AE64" s="2931">
        <f t="shared" si="1"/>
        <v>-30</v>
      </c>
    </row>
    <row r="65" spans="1:31" ht="12" customHeight="1" x14ac:dyDescent="0.2">
      <c r="A65" s="340"/>
      <c r="B65" s="289"/>
      <c r="C65" s="4807" t="str">
        <f>IF(COUNTA($C$62:C64)&lt;='Tablas Sheele'!$H$109,VLOOKUP('Tablas Sheele'!A3,'Tablas Sheele'!$B$91:$D$108,3,FALSE),"")</f>
        <v/>
      </c>
      <c r="D65" s="4808"/>
      <c r="E65" s="4802" t="str">
        <f>IF($C65="","",VLOOKUP(C65,'Tablas Sheele'!D94:Q110,9,FALSE))</f>
        <v/>
      </c>
      <c r="F65" s="4803"/>
      <c r="G65" s="4803"/>
      <c r="H65" s="4803"/>
      <c r="I65" s="4803"/>
      <c r="J65" s="4803"/>
      <c r="K65" s="4803"/>
      <c r="L65" s="4803"/>
      <c r="M65" s="4803"/>
      <c r="N65" s="4803"/>
      <c r="O65" s="4803"/>
      <c r="P65" s="4803"/>
      <c r="Q65" s="4803"/>
      <c r="R65" s="4803"/>
      <c r="S65" s="4804"/>
      <c r="U65" s="3286"/>
      <c r="V65" s="3272" t="str">
        <f>IF(PDs!P182="","-",PDs!P182)</f>
        <v>-</v>
      </c>
      <c r="W65" s="3272"/>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31"/>
      <c r="AD65" s="2931"/>
      <c r="AE65" s="2931">
        <f t="shared" si="1"/>
        <v>-30</v>
      </c>
    </row>
    <row r="66" spans="1:31" ht="12" customHeight="1" x14ac:dyDescent="0.2">
      <c r="A66" s="340"/>
      <c r="B66" s="289"/>
      <c r="C66" s="4807" t="str">
        <f>IF(COUNTA($C$62:C65)&lt;='Tablas Sheele'!$H$109,VLOOKUP('Tablas Sheele'!A4,'Tablas Sheele'!$B$91:$D$108,3,FALSE),"")</f>
        <v/>
      </c>
      <c r="D66" s="4808"/>
      <c r="E66" s="4802" t="str">
        <f>IF($C66="","",VLOOKUP(C66,'Tablas Sheele'!D95:Q111,9,FALSE))</f>
        <v/>
      </c>
      <c r="F66" s="4803"/>
      <c r="G66" s="4803"/>
      <c r="H66" s="4803"/>
      <c r="I66" s="4803"/>
      <c r="J66" s="4803"/>
      <c r="K66" s="4803"/>
      <c r="L66" s="4803"/>
      <c r="M66" s="4803"/>
      <c r="N66" s="4803"/>
      <c r="O66" s="4803"/>
      <c r="P66" s="4803"/>
      <c r="Q66" s="4803"/>
      <c r="R66" s="4803"/>
      <c r="S66" s="4804"/>
      <c r="U66" s="3286"/>
      <c r="V66" s="3272" t="str">
        <f>IF(PDs!P183="","-",PDs!P183)</f>
        <v>-</v>
      </c>
      <c r="W66" s="3272"/>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31"/>
      <c r="AD66" s="2931"/>
      <c r="AE66" s="2931">
        <f t="shared" si="1"/>
        <v>-30</v>
      </c>
    </row>
    <row r="67" spans="1:31" ht="12" customHeight="1" thickBot="1" x14ac:dyDescent="0.25">
      <c r="A67" s="340"/>
      <c r="B67" s="289"/>
      <c r="C67" s="4785" t="str">
        <f>IF(COUNTA($C$62:C66)&lt;='Tablas Sheele'!$H$109,VLOOKUP('Tablas Sheele'!A5,'Tablas Sheele'!$B$91:$D$108,3,FALSE),"")</f>
        <v/>
      </c>
      <c r="D67" s="4786"/>
      <c r="E67" s="4977" t="str">
        <f>IF($C67="","",VLOOKUP(C67,'Tablas Sheele'!D96:Q112,9,FALSE))</f>
        <v/>
      </c>
      <c r="F67" s="4978"/>
      <c r="G67" s="4978"/>
      <c r="H67" s="4978"/>
      <c r="I67" s="4978"/>
      <c r="J67" s="4978"/>
      <c r="K67" s="4978"/>
      <c r="L67" s="4978"/>
      <c r="M67" s="4978"/>
      <c r="N67" s="4978"/>
      <c r="O67" s="4978"/>
      <c r="P67" s="4978"/>
      <c r="Q67" s="4978"/>
      <c r="R67" s="4978"/>
      <c r="S67" s="4979"/>
      <c r="U67" s="3482"/>
      <c r="V67" s="3483" t="str">
        <f>IF(PDs!P184="","-",PDs!P184)</f>
        <v>-</v>
      </c>
      <c r="W67" s="3483"/>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31"/>
      <c r="AD67" s="2931"/>
      <c r="AE67" s="2931">
        <f t="shared" si="1"/>
        <v>-30</v>
      </c>
    </row>
    <row r="68" spans="1:31" ht="12" customHeight="1" thickBot="1" x14ac:dyDescent="0.25">
      <c r="A68" s="340"/>
      <c r="B68" s="289"/>
      <c r="S68" s="342"/>
      <c r="AA68" s="2183"/>
      <c r="AB68" s="2181"/>
      <c r="AC68" s="2919"/>
      <c r="AD68" s="2919"/>
      <c r="AE68" s="2919"/>
    </row>
    <row r="69" spans="1:31" ht="12" customHeight="1" thickBot="1" x14ac:dyDescent="0.25">
      <c r="A69" s="340"/>
      <c r="B69" s="289"/>
      <c r="C69" s="4268" t="s">
        <v>9817</v>
      </c>
      <c r="D69" s="4269"/>
      <c r="E69" s="4269"/>
      <c r="F69" s="4269"/>
      <c r="G69" s="4269"/>
      <c r="H69" s="4269"/>
      <c r="I69" s="4269"/>
      <c r="J69" s="4269"/>
      <c r="K69" s="4269"/>
      <c r="L69" s="4269"/>
      <c r="M69" s="4269"/>
      <c r="N69" s="4269"/>
      <c r="O69" s="4269"/>
      <c r="P69" s="4269"/>
      <c r="Q69" s="4269"/>
      <c r="R69" s="4269"/>
      <c r="S69" s="4269"/>
      <c r="T69" s="4269"/>
      <c r="U69" s="4269"/>
      <c r="V69" s="4269"/>
      <c r="W69" s="4269"/>
      <c r="X69" s="4269"/>
      <c r="Y69" s="4269"/>
      <c r="Z69" s="4270"/>
      <c r="AA69" s="2183"/>
      <c r="AB69" s="2181"/>
      <c r="AC69" s="2919"/>
      <c r="AD69" s="2919"/>
      <c r="AE69" s="2919"/>
    </row>
    <row r="70" spans="1:31" ht="12" customHeight="1" x14ac:dyDescent="0.2">
      <c r="A70" s="340"/>
      <c r="B70" s="289"/>
      <c r="C70" s="4945"/>
      <c r="D70" s="4946"/>
      <c r="E70" s="4946"/>
      <c r="F70" s="4946"/>
      <c r="G70" s="4946"/>
      <c r="H70" s="4946"/>
      <c r="I70" s="4946"/>
      <c r="J70" s="4946"/>
      <c r="K70" s="4946"/>
      <c r="L70" s="4946"/>
      <c r="M70" s="4946"/>
      <c r="N70" s="4946"/>
      <c r="O70" s="4946"/>
      <c r="P70" s="4946"/>
      <c r="Q70" s="4946"/>
      <c r="R70" s="4946"/>
      <c r="S70" s="4946"/>
      <c r="T70" s="4946"/>
      <c r="U70" s="4946"/>
      <c r="V70" s="4946"/>
      <c r="W70" s="4946"/>
      <c r="X70" s="4946"/>
      <c r="Y70" s="4946"/>
      <c r="Z70" s="4947"/>
      <c r="AA70" s="2184"/>
      <c r="AB70" s="2181"/>
      <c r="AC70" s="2919"/>
      <c r="AD70" s="2919"/>
      <c r="AE70" s="2919"/>
    </row>
    <row r="71" spans="1:31" ht="12" customHeight="1" x14ac:dyDescent="0.2">
      <c r="A71" s="340"/>
      <c r="B71" s="289"/>
      <c r="C71" s="4347"/>
      <c r="D71" s="4948"/>
      <c r="E71" s="4948"/>
      <c r="F71" s="4948"/>
      <c r="G71" s="4948"/>
      <c r="H71" s="4948"/>
      <c r="I71" s="4948"/>
      <c r="J71" s="4948"/>
      <c r="K71" s="4948"/>
      <c r="L71" s="4948"/>
      <c r="M71" s="4948"/>
      <c r="N71" s="4948"/>
      <c r="O71" s="4948"/>
      <c r="P71" s="4948"/>
      <c r="Q71" s="4948"/>
      <c r="R71" s="4948"/>
      <c r="S71" s="4948"/>
      <c r="T71" s="4948"/>
      <c r="U71" s="4948"/>
      <c r="V71" s="4948"/>
      <c r="W71" s="4948"/>
      <c r="X71" s="4948"/>
      <c r="Y71" s="4948"/>
      <c r="Z71" s="4349"/>
      <c r="AA71" s="2183"/>
      <c r="AB71" s="2181"/>
      <c r="AC71" s="2919"/>
      <c r="AD71" s="2919"/>
      <c r="AE71" s="2919"/>
    </row>
    <row r="72" spans="1:31" ht="12" customHeight="1" x14ac:dyDescent="0.2">
      <c r="A72" s="340"/>
      <c r="B72" s="289"/>
      <c r="C72" s="4347"/>
      <c r="D72" s="4948"/>
      <c r="E72" s="4948"/>
      <c r="F72" s="4948"/>
      <c r="G72" s="4948"/>
      <c r="H72" s="4948"/>
      <c r="I72" s="4948"/>
      <c r="J72" s="4948"/>
      <c r="K72" s="4948"/>
      <c r="L72" s="4948"/>
      <c r="M72" s="4948"/>
      <c r="N72" s="4948"/>
      <c r="O72" s="4948"/>
      <c r="P72" s="4948"/>
      <c r="Q72" s="4948"/>
      <c r="R72" s="4948"/>
      <c r="S72" s="4948"/>
      <c r="T72" s="4948"/>
      <c r="U72" s="4948"/>
      <c r="V72" s="4948"/>
      <c r="W72" s="4948"/>
      <c r="X72" s="4948"/>
      <c r="Y72" s="4948"/>
      <c r="Z72" s="4349"/>
      <c r="AA72" s="2183"/>
      <c r="AB72" s="2181"/>
      <c r="AC72" s="2919"/>
      <c r="AD72" s="2919"/>
      <c r="AE72" s="2919"/>
    </row>
    <row r="73" spans="1:31" ht="12" customHeight="1" x14ac:dyDescent="0.2">
      <c r="A73" s="340"/>
      <c r="B73" s="289"/>
      <c r="C73" s="4347"/>
      <c r="D73" s="4948"/>
      <c r="E73" s="4948"/>
      <c r="F73" s="4948"/>
      <c r="G73" s="4948"/>
      <c r="H73" s="4948"/>
      <c r="I73" s="4948"/>
      <c r="J73" s="4948"/>
      <c r="K73" s="4948"/>
      <c r="L73" s="4948"/>
      <c r="M73" s="4948"/>
      <c r="N73" s="4948"/>
      <c r="O73" s="4948"/>
      <c r="P73" s="4948"/>
      <c r="Q73" s="4948"/>
      <c r="R73" s="4948"/>
      <c r="S73" s="4948"/>
      <c r="T73" s="4948"/>
      <c r="U73" s="4948"/>
      <c r="V73" s="4948"/>
      <c r="W73" s="4948"/>
      <c r="X73" s="4948"/>
      <c r="Y73" s="4948"/>
      <c r="Z73" s="4349"/>
      <c r="AA73" s="2183"/>
      <c r="AB73" s="2181"/>
      <c r="AC73" s="2919"/>
      <c r="AD73" s="2919"/>
      <c r="AE73" s="2919"/>
    </row>
    <row r="74" spans="1:31" ht="12" customHeight="1" x14ac:dyDescent="0.2">
      <c r="A74" s="340"/>
      <c r="B74" s="289"/>
      <c r="C74" s="4347"/>
      <c r="D74" s="4948"/>
      <c r="E74" s="4948"/>
      <c r="F74" s="4948"/>
      <c r="G74" s="4948"/>
      <c r="H74" s="4948"/>
      <c r="I74" s="4948"/>
      <c r="J74" s="4948"/>
      <c r="K74" s="4948"/>
      <c r="L74" s="4948"/>
      <c r="M74" s="4948"/>
      <c r="N74" s="4948"/>
      <c r="O74" s="4948"/>
      <c r="P74" s="4948"/>
      <c r="Q74" s="4948"/>
      <c r="R74" s="4948"/>
      <c r="S74" s="4948"/>
      <c r="T74" s="4948"/>
      <c r="U74" s="4948"/>
      <c r="V74" s="4948"/>
      <c r="W74" s="4948"/>
      <c r="X74" s="4948"/>
      <c r="Y74" s="4948"/>
      <c r="Z74" s="4349"/>
      <c r="AA74" s="2183"/>
      <c r="AB74" s="2181"/>
      <c r="AC74" s="2919"/>
      <c r="AD74" s="2919"/>
      <c r="AE74" s="2919"/>
    </row>
    <row r="75" spans="1:31" ht="12" customHeight="1" x14ac:dyDescent="0.2">
      <c r="A75" s="340"/>
      <c r="B75" s="289"/>
      <c r="C75" s="4347"/>
      <c r="D75" s="4948"/>
      <c r="E75" s="4948"/>
      <c r="F75" s="4948"/>
      <c r="G75" s="4948"/>
      <c r="H75" s="4948"/>
      <c r="I75" s="4948"/>
      <c r="J75" s="4948"/>
      <c r="K75" s="4948"/>
      <c r="L75" s="4948"/>
      <c r="M75" s="4948"/>
      <c r="N75" s="4948"/>
      <c r="O75" s="4948"/>
      <c r="P75" s="4948"/>
      <c r="Q75" s="4948"/>
      <c r="R75" s="4948"/>
      <c r="S75" s="4948"/>
      <c r="T75" s="4948"/>
      <c r="U75" s="4948"/>
      <c r="V75" s="4948"/>
      <c r="W75" s="4948"/>
      <c r="X75" s="4948"/>
      <c r="Y75" s="4948"/>
      <c r="Z75" s="4349"/>
      <c r="AA75" s="2183"/>
      <c r="AB75" s="2181"/>
      <c r="AC75" s="2919"/>
      <c r="AD75" s="2919"/>
      <c r="AE75" s="2919"/>
    </row>
    <row r="76" spans="1:31" ht="12" customHeight="1" x14ac:dyDescent="0.2">
      <c r="A76" s="340"/>
      <c r="B76" s="289"/>
      <c r="C76" s="4347"/>
      <c r="D76" s="4948"/>
      <c r="E76" s="4948"/>
      <c r="F76" s="4948"/>
      <c r="G76" s="4948"/>
      <c r="H76" s="4948"/>
      <c r="I76" s="4948"/>
      <c r="J76" s="4948"/>
      <c r="K76" s="4948"/>
      <c r="L76" s="4948"/>
      <c r="M76" s="4948"/>
      <c r="N76" s="4948"/>
      <c r="O76" s="4948"/>
      <c r="P76" s="4948"/>
      <c r="Q76" s="4948"/>
      <c r="R76" s="4948"/>
      <c r="S76" s="4948"/>
      <c r="T76" s="4948"/>
      <c r="U76" s="4948"/>
      <c r="V76" s="4948"/>
      <c r="W76" s="4948"/>
      <c r="X76" s="4948"/>
      <c r="Y76" s="4948"/>
      <c r="Z76" s="4349"/>
      <c r="AA76" s="2183"/>
      <c r="AB76" s="2181"/>
      <c r="AC76" s="2919"/>
      <c r="AD76" s="2919"/>
      <c r="AE76" s="2919"/>
    </row>
    <row r="77" spans="1:31" ht="12" customHeight="1" x14ac:dyDescent="0.2">
      <c r="A77" s="340"/>
      <c r="B77" s="289"/>
      <c r="C77" s="4347"/>
      <c r="D77" s="4948"/>
      <c r="E77" s="4948"/>
      <c r="F77" s="4948"/>
      <c r="G77" s="4948"/>
      <c r="H77" s="4948"/>
      <c r="I77" s="4948"/>
      <c r="J77" s="4948"/>
      <c r="K77" s="4948"/>
      <c r="L77" s="4948"/>
      <c r="M77" s="4948"/>
      <c r="N77" s="4948"/>
      <c r="O77" s="4948"/>
      <c r="P77" s="4948"/>
      <c r="Q77" s="4948"/>
      <c r="R77" s="4948"/>
      <c r="S77" s="4948"/>
      <c r="T77" s="4948"/>
      <c r="U77" s="4948"/>
      <c r="V77" s="4948"/>
      <c r="W77" s="4948"/>
      <c r="X77" s="4948"/>
      <c r="Y77" s="4948"/>
      <c r="Z77" s="4349"/>
      <c r="AA77" s="2183"/>
      <c r="AB77" s="2181"/>
      <c r="AC77" s="2919"/>
      <c r="AD77" s="2919"/>
      <c r="AE77" s="2919"/>
    </row>
    <row r="78" spans="1:31" ht="12" customHeight="1" x14ac:dyDescent="0.2">
      <c r="A78" s="340"/>
      <c r="B78" s="289"/>
      <c r="C78" s="4347"/>
      <c r="D78" s="4948"/>
      <c r="E78" s="4948"/>
      <c r="F78" s="4948"/>
      <c r="G78" s="4948"/>
      <c r="H78" s="4948"/>
      <c r="I78" s="4948"/>
      <c r="J78" s="4948"/>
      <c r="K78" s="4948"/>
      <c r="L78" s="4948"/>
      <c r="M78" s="4948"/>
      <c r="N78" s="4948"/>
      <c r="O78" s="4948"/>
      <c r="P78" s="4948"/>
      <c r="Q78" s="4948"/>
      <c r="R78" s="4948"/>
      <c r="S78" s="4948"/>
      <c r="T78" s="4948"/>
      <c r="U78" s="4948"/>
      <c r="V78" s="4948"/>
      <c r="W78" s="4948"/>
      <c r="X78" s="4948"/>
      <c r="Y78" s="4948"/>
      <c r="Z78" s="4349"/>
      <c r="AA78" s="2183"/>
      <c r="AB78" s="2181"/>
      <c r="AC78" s="2919"/>
      <c r="AD78" s="2919"/>
      <c r="AE78" s="2919"/>
    </row>
    <row r="79" spans="1:31" ht="12" customHeight="1" thickBot="1" x14ac:dyDescent="0.25">
      <c r="A79" s="340"/>
      <c r="B79" s="289"/>
      <c r="C79" s="4350"/>
      <c r="D79" s="4351"/>
      <c r="E79" s="4351"/>
      <c r="F79" s="4351"/>
      <c r="G79" s="4351"/>
      <c r="H79" s="4351"/>
      <c r="I79" s="4351"/>
      <c r="J79" s="4351"/>
      <c r="K79" s="4351"/>
      <c r="L79" s="4351"/>
      <c r="M79" s="4351"/>
      <c r="N79" s="4351"/>
      <c r="O79" s="4351"/>
      <c r="P79" s="4351"/>
      <c r="Q79" s="4351"/>
      <c r="R79" s="4351"/>
      <c r="S79" s="4351"/>
      <c r="T79" s="4351"/>
      <c r="U79" s="4351"/>
      <c r="V79" s="4351"/>
      <c r="W79" s="4351"/>
      <c r="X79" s="4351"/>
      <c r="Y79" s="4351"/>
      <c r="Z79" s="4352"/>
      <c r="AA79" s="2183"/>
      <c r="AB79" s="2181"/>
      <c r="AC79" s="2919"/>
      <c r="AD79" s="2919"/>
      <c r="AE79" s="2919"/>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19"/>
      <c r="AD80" s="2919"/>
      <c r="AE80" s="2919"/>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891"/>
      <c r="AD81" s="2919"/>
      <c r="AE81" s="2919"/>
    </row>
  </sheetData>
  <sheetProtection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744" priority="56" stopIfTrue="1" operator="lessThan">
      <formula>0</formula>
    </cfRule>
  </conditionalFormatting>
  <conditionalFormatting sqref="Z10">
    <cfRule type="cellIs" dxfId="743" priority="6" stopIfTrue="1" operator="lessThan">
      <formula>0</formula>
    </cfRule>
  </conditionalFormatting>
  <conditionalFormatting sqref="Y12:Y67">
    <cfRule type="cellIs" dxfId="742" priority="2" operator="greaterThan">
      <formula>VALUE($U$4)-1</formula>
    </cfRule>
  </conditionalFormatting>
  <conditionalFormatting sqref="L37 N37">
    <cfRule type="expression" dxfId="741"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888" t="s">
        <v>8943</v>
      </c>
      <c r="AS1" s="1872"/>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1872"/>
      <c r="AS2" s="1872"/>
    </row>
    <row r="3" spans="1:45" ht="12" customHeight="1" thickBot="1" x14ac:dyDescent="0.25">
      <c r="A3" s="31"/>
      <c r="B3" s="513"/>
      <c r="C3" s="3187"/>
      <c r="D3" s="3187"/>
      <c r="E3" s="3187"/>
      <c r="F3" s="3187"/>
      <c r="G3" s="3187"/>
      <c r="H3" s="3187"/>
      <c r="I3" s="7"/>
      <c r="J3" s="7"/>
      <c r="K3" s="7"/>
      <c r="L3" s="7"/>
      <c r="M3" s="7"/>
      <c r="N3" s="7"/>
      <c r="O3" s="7"/>
      <c r="P3" s="7"/>
      <c r="Q3" s="8"/>
      <c r="R3" s="39"/>
      <c r="S3" s="31"/>
      <c r="T3" s="31"/>
      <c r="U3" s="513"/>
      <c r="V3" s="5002"/>
      <c r="W3" s="5003"/>
      <c r="X3" s="5003"/>
      <c r="Y3" s="5003"/>
      <c r="Z3" s="5003"/>
      <c r="AA3" s="5003"/>
      <c r="AB3" s="554"/>
      <c r="AC3" s="554"/>
      <c r="AD3" s="554"/>
      <c r="AE3" s="554"/>
      <c r="AF3" s="554"/>
      <c r="AG3" s="554"/>
      <c r="AH3" s="554"/>
      <c r="AI3" s="554"/>
      <c r="AJ3" s="554"/>
      <c r="AK3" s="556"/>
      <c r="AL3" s="790"/>
      <c r="AM3" s="31"/>
      <c r="AR3" s="1872"/>
      <c r="AS3" s="1872"/>
    </row>
    <row r="4" spans="1:45" ht="12" customHeight="1" thickBot="1" x14ac:dyDescent="0.25">
      <c r="A4" s="31"/>
      <c r="B4" s="513"/>
      <c r="C4" s="3187"/>
      <c r="D4" s="3187"/>
      <c r="E4" s="3187"/>
      <c r="F4" s="3187"/>
      <c r="G4" s="3187"/>
      <c r="H4" s="3187"/>
      <c r="I4" s="10"/>
      <c r="J4" s="3188" t="s">
        <v>1326</v>
      </c>
      <c r="K4" s="3188"/>
      <c r="L4" s="3189" t="str">
        <f>IF(OR(General!$F$22="",General!$F$22=0),"",General!$F$22)</f>
        <v/>
      </c>
      <c r="M4" s="3189"/>
      <c r="N4" s="3189"/>
      <c r="O4" s="3189"/>
      <c r="P4" s="3189"/>
      <c r="Q4" s="2466"/>
      <c r="R4" s="39"/>
      <c r="S4" s="31"/>
      <c r="T4" s="31"/>
      <c r="U4" s="513"/>
      <c r="V4" s="5004"/>
      <c r="W4" s="3187"/>
      <c r="X4" s="3187"/>
      <c r="Y4" s="3187"/>
      <c r="Z4" s="3187"/>
      <c r="AA4" s="3187"/>
      <c r="AB4" s="10"/>
      <c r="AC4" s="3188" t="s">
        <v>1326</v>
      </c>
      <c r="AD4" s="3188"/>
      <c r="AE4" s="3189" t="str">
        <f>IF(OR(General!$F$22="",General!$F$22=0),"",General!$F$22)</f>
        <v/>
      </c>
      <c r="AF4" s="3189"/>
      <c r="AG4" s="3189"/>
      <c r="AH4" s="3189"/>
      <c r="AI4" s="3189"/>
      <c r="AJ4" s="840"/>
      <c r="AK4" s="753"/>
      <c r="AL4" s="790"/>
      <c r="AM4" s="31"/>
      <c r="AP4" s="44"/>
      <c r="AQ4" s="44"/>
      <c r="AR4" s="1872"/>
      <c r="AS4" s="1872"/>
    </row>
    <row r="5" spans="1:45" ht="12" customHeight="1" thickBot="1" x14ac:dyDescent="0.25">
      <c r="A5" s="31"/>
      <c r="B5" s="513"/>
      <c r="C5" s="3187"/>
      <c r="D5" s="3187"/>
      <c r="E5" s="3187"/>
      <c r="F5" s="3187"/>
      <c r="G5" s="3187"/>
      <c r="H5" s="3187"/>
      <c r="I5" s="10"/>
      <c r="J5" s="3181" t="s">
        <v>1327</v>
      </c>
      <c r="K5" s="3181"/>
      <c r="L5" s="3002" t="str">
        <f>PDs!$J$8</f>
        <v/>
      </c>
      <c r="M5" s="3002"/>
      <c r="N5" s="3002"/>
      <c r="O5" s="2467" t="s">
        <v>1328</v>
      </c>
      <c r="P5" s="2455" t="str">
        <f>Principal!$O$6</f>
        <v>0</v>
      </c>
      <c r="Q5" s="2477"/>
      <c r="R5" s="39"/>
      <c r="S5" s="31"/>
      <c r="T5" s="31"/>
      <c r="U5" s="513"/>
      <c r="V5" s="5004"/>
      <c r="W5" s="3187"/>
      <c r="X5" s="3187"/>
      <c r="Y5" s="3187"/>
      <c r="Z5" s="3187"/>
      <c r="AA5" s="3187"/>
      <c r="AB5" s="10"/>
      <c r="AC5" s="3181" t="s">
        <v>1327</v>
      </c>
      <c r="AD5" s="3181"/>
      <c r="AE5" s="3002" t="str">
        <f>PDs!$J$8</f>
        <v/>
      </c>
      <c r="AF5" s="3002"/>
      <c r="AG5" s="3002"/>
      <c r="AH5" s="2467" t="s">
        <v>1328</v>
      </c>
      <c r="AI5" s="2455" t="str">
        <f>Principal!$O$6</f>
        <v>0</v>
      </c>
      <c r="AJ5" s="10"/>
      <c r="AK5" s="754"/>
      <c r="AL5" s="790"/>
      <c r="AM5" s="31"/>
      <c r="AN5" s="175"/>
      <c r="AO5" s="175"/>
      <c r="AP5" s="1557"/>
      <c r="AQ5" s="1557"/>
      <c r="AR5" s="1872"/>
      <c r="AS5" s="1872"/>
    </row>
    <row r="6" spans="1:45" ht="12" customHeight="1" thickBot="1" x14ac:dyDescent="0.25">
      <c r="A6" s="31"/>
      <c r="B6" s="513"/>
      <c r="C6" s="3187"/>
      <c r="D6" s="3187"/>
      <c r="E6" s="3187"/>
      <c r="F6" s="3187"/>
      <c r="G6" s="3187"/>
      <c r="H6" s="3187"/>
      <c r="I6" s="10"/>
      <c r="J6" s="3182" t="s">
        <v>1789</v>
      </c>
      <c r="K6" s="3182"/>
      <c r="L6" s="3182"/>
      <c r="M6" s="3182"/>
      <c r="N6" s="3182"/>
      <c r="O6" s="3182"/>
      <c r="P6" s="3182"/>
      <c r="Q6" s="12"/>
      <c r="R6" s="39"/>
      <c r="S6" s="31"/>
      <c r="T6" s="31"/>
      <c r="U6" s="513"/>
      <c r="V6" s="5004"/>
      <c r="W6" s="3187"/>
      <c r="X6" s="3187"/>
      <c r="Y6" s="3187"/>
      <c r="Z6" s="3187"/>
      <c r="AA6" s="3187"/>
      <c r="AB6" s="10"/>
      <c r="AC6" s="3182" t="s">
        <v>1790</v>
      </c>
      <c r="AD6" s="3182"/>
      <c r="AE6" s="3182"/>
      <c r="AF6" s="3182"/>
      <c r="AG6" s="3182"/>
      <c r="AH6" s="3182"/>
      <c r="AI6" s="3182"/>
      <c r="AJ6" s="10"/>
      <c r="AK6" s="754"/>
      <c r="AL6" s="790"/>
      <c r="AM6" s="31"/>
      <c r="AN6" s="66"/>
      <c r="AO6" s="66"/>
      <c r="AP6" s="1558"/>
      <c r="AQ6" s="1558"/>
      <c r="AR6" s="1872"/>
      <c r="AS6" s="1872"/>
    </row>
    <row r="7" spans="1:45" ht="12" customHeight="1" thickBot="1" x14ac:dyDescent="0.25">
      <c r="A7" s="31"/>
      <c r="B7" s="513"/>
      <c r="C7" s="3187"/>
      <c r="D7" s="3187"/>
      <c r="E7" s="3187"/>
      <c r="F7" s="3187"/>
      <c r="G7" s="3187"/>
      <c r="H7" s="3187"/>
      <c r="I7" s="10"/>
      <c r="J7" s="3182"/>
      <c r="K7" s="3182"/>
      <c r="L7" s="3182"/>
      <c r="M7" s="3182"/>
      <c r="N7" s="3182"/>
      <c r="O7" s="3182"/>
      <c r="P7" s="3182"/>
      <c r="Q7" s="12"/>
      <c r="R7" s="39"/>
      <c r="S7" s="31"/>
      <c r="T7" s="31"/>
      <c r="U7" s="513"/>
      <c r="V7" s="5004"/>
      <c r="W7" s="3187"/>
      <c r="X7" s="3187"/>
      <c r="Y7" s="3187"/>
      <c r="Z7" s="3187"/>
      <c r="AA7" s="3187"/>
      <c r="AB7" s="10"/>
      <c r="AC7" s="3182"/>
      <c r="AD7" s="3182"/>
      <c r="AE7" s="3182"/>
      <c r="AF7" s="3182"/>
      <c r="AG7" s="3182"/>
      <c r="AH7" s="3182"/>
      <c r="AI7" s="3182"/>
      <c r="AJ7" s="10"/>
      <c r="AK7" s="754"/>
      <c r="AL7" s="790"/>
      <c r="AM7" s="31"/>
      <c r="AN7" s="175"/>
      <c r="AO7" s="175"/>
      <c r="AP7" s="1557"/>
      <c r="AQ7" s="1557"/>
      <c r="AR7" s="2934" t="s">
        <v>9830</v>
      </c>
      <c r="AS7" s="2934" t="b">
        <f>COUNTIF($AD$17:$AH$62,"Incrementar Habilidad")=0</f>
        <v>1</v>
      </c>
    </row>
    <row r="8" spans="1:45" ht="12" customHeight="1" thickBot="1" x14ac:dyDescent="0.25">
      <c r="A8" s="31"/>
      <c r="B8" s="513"/>
      <c r="C8" s="3187"/>
      <c r="D8" s="3187"/>
      <c r="E8" s="3187"/>
      <c r="F8" s="3187"/>
      <c r="G8" s="3187"/>
      <c r="H8" s="3187"/>
      <c r="I8" s="13"/>
      <c r="J8" s="13"/>
      <c r="K8" s="13"/>
      <c r="L8" s="13"/>
      <c r="M8" s="13"/>
      <c r="N8" s="13"/>
      <c r="O8" s="13"/>
      <c r="P8" s="13"/>
      <c r="Q8" s="14"/>
      <c r="R8" s="39"/>
      <c r="S8" s="31"/>
      <c r="T8" s="31"/>
      <c r="U8" s="513"/>
      <c r="V8" s="5005"/>
      <c r="W8" s="5006"/>
      <c r="X8" s="5006"/>
      <c r="Y8" s="5006"/>
      <c r="Z8" s="5006"/>
      <c r="AA8" s="5006"/>
      <c r="AB8" s="757"/>
      <c r="AC8" s="757"/>
      <c r="AD8" s="757"/>
      <c r="AE8" s="757"/>
      <c r="AF8" s="757"/>
      <c r="AG8" s="757"/>
      <c r="AH8" s="757"/>
      <c r="AI8" s="757"/>
      <c r="AJ8" s="757"/>
      <c r="AK8" s="758"/>
      <c r="AL8" s="790"/>
      <c r="AM8" s="31"/>
      <c r="AN8" s="66"/>
      <c r="AO8" s="66"/>
      <c r="AP8" s="1558"/>
      <c r="AQ8" s="1558"/>
      <c r="AR8" s="1872"/>
      <c r="AS8" s="1872"/>
    </row>
    <row r="9" spans="1:45" ht="12" customHeight="1" thickBot="1" x14ac:dyDescent="0.25">
      <c r="A9" s="31"/>
      <c r="B9" s="513"/>
      <c r="R9" s="39"/>
      <c r="S9" s="31"/>
      <c r="T9" s="31"/>
      <c r="U9" s="513"/>
      <c r="AL9" s="790"/>
      <c r="AM9" s="31"/>
      <c r="AN9" s="1559"/>
      <c r="AO9" s="1559"/>
      <c r="AP9" s="1560"/>
      <c r="AQ9" s="1560"/>
      <c r="AR9" s="1893" t="str">
        <f>IF(COUNTIF(AD17:AH62,"Incrementar Habilidad")&gt;0,"AGI_DES_AMBOS","AGI_DES")</f>
        <v>AGI_DES</v>
      </c>
      <c r="AS9" s="1872"/>
    </row>
    <row r="10" spans="1:45" ht="12" customHeight="1" thickBot="1" x14ac:dyDescent="0.25">
      <c r="A10" s="31"/>
      <c r="B10" s="513"/>
      <c r="C10" s="5007" t="s">
        <v>1791</v>
      </c>
      <c r="D10" s="5007"/>
      <c r="E10" s="5007"/>
      <c r="F10" s="5007"/>
      <c r="G10" s="18"/>
      <c r="H10" s="3228" t="s">
        <v>1792</v>
      </c>
      <c r="I10" s="3229"/>
      <c r="J10" s="3157"/>
      <c r="K10" s="3464"/>
      <c r="L10" s="1738" t="s">
        <v>1793</v>
      </c>
      <c r="M10" s="1739"/>
      <c r="O10" s="3324" t="s">
        <v>1794</v>
      </c>
      <c r="P10" s="3324"/>
      <c r="Q10" s="3324"/>
      <c r="R10" s="39"/>
      <c r="S10" s="31"/>
      <c r="T10" s="31"/>
      <c r="U10" s="513"/>
      <c r="V10" s="3228" t="s">
        <v>1795</v>
      </c>
      <c r="W10" s="3229"/>
      <c r="X10" s="3229"/>
      <c r="Y10" s="3229"/>
      <c r="Z10" s="3229"/>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08" t="s">
        <v>8489</v>
      </c>
      <c r="AE10" s="5009"/>
      <c r="AF10" s="5009"/>
      <c r="AG10" s="5009"/>
      <c r="AH10" s="5010"/>
      <c r="AI10" s="4980" t="s">
        <v>1241</v>
      </c>
      <c r="AJ10" s="4981"/>
      <c r="AK10" s="4982"/>
      <c r="AL10" s="790"/>
      <c r="AM10" s="31"/>
      <c r="AN10" s="1012"/>
      <c r="AO10" s="4989" t="s">
        <v>8917</v>
      </c>
      <c r="AP10" s="4990"/>
      <c r="AQ10" s="1561"/>
      <c r="AR10" s="2935" t="s">
        <v>1381</v>
      </c>
      <c r="AS10" s="1872"/>
    </row>
    <row r="11" spans="1:45" ht="12" customHeight="1" x14ac:dyDescent="0.2">
      <c r="A11" s="31"/>
      <c r="B11" s="513"/>
      <c r="C11" s="5045" t="s">
        <v>1797</v>
      </c>
      <c r="D11" s="5045"/>
      <c r="E11" s="5046" t="s">
        <v>1798</v>
      </c>
      <c r="F11" s="5046"/>
      <c r="H11" s="5027">
        <f>IF(VOL=0,0,VLOOKUP(VOL,Tabla_PotPsi,2))+IF(M10=0,0,VLOOKUP(M10,Tabla_PotPsitporCV,2))+J13+Mod_ATA</f>
        <v>0</v>
      </c>
      <c r="I11" s="5028"/>
      <c r="J11" s="1736" t="str">
        <f>IF(J13=0,"","Sumar")</f>
        <v/>
      </c>
      <c r="K11" s="1737" t="str">
        <f>IF(J13=0,"",TRUNC(J13/5,0))</f>
        <v/>
      </c>
      <c r="L11" s="5017" t="str">
        <f>IF(J13=0,"","a la Fatiga")</f>
        <v/>
      </c>
      <c r="M11" s="5018"/>
      <c r="O11" s="162" t="s">
        <v>1396</v>
      </c>
      <c r="P11" s="1166" t="s">
        <v>1568</v>
      </c>
      <c r="Q11" s="16" t="s">
        <v>1697</v>
      </c>
      <c r="R11" s="39"/>
      <c r="S11" s="31"/>
      <c r="T11" s="31"/>
      <c r="U11" s="714">
        <f>IF(V11=0,0,1)</f>
        <v>0</v>
      </c>
      <c r="V11" s="5011"/>
      <c r="W11" s="5012"/>
      <c r="X11" s="5012"/>
      <c r="Y11" s="5012"/>
      <c r="Z11" s="5012"/>
      <c r="AA11" s="5048"/>
      <c r="AB11" s="5019" t="str">
        <f>IF(AA11=0,"",IF(AA11*10&lt;100,AA11*10,100))</f>
        <v/>
      </c>
      <c r="AD11" s="5011"/>
      <c r="AE11" s="5012"/>
      <c r="AF11" s="5012"/>
      <c r="AG11" s="5012"/>
      <c r="AH11" s="5012"/>
      <c r="AI11" s="4983" t="str">
        <f>IF(AD11="","-",IF(AL11="-","Ventaja no escogida",IF(INDEX(Tabla_Dificultades,MATCH(AL11,INDEX(Tabla_Dificultades,,2),0),1)&lt;INDEX(Tabla_Dificultades,MATCH(AL12,INDEX(Tabla_Dificultades,,2),0),1),"Poder no válido",AL11)))</f>
        <v>-</v>
      </c>
      <c r="AJ11" s="4984"/>
      <c r="AK11" s="4985"/>
      <c r="AL11" s="1135" t="str">
        <f>IF(Tablas!$G$332&gt;0,"DIF",IF(Tablas!$G$333&gt;0,"MDF",IF(Tablas!$G$334&gt;0,"ABS","-")))</f>
        <v>-</v>
      </c>
      <c r="AM11" s="31"/>
      <c r="AN11" s="1012"/>
      <c r="AO11" s="4991"/>
      <c r="AP11" s="4992"/>
      <c r="AQ11" s="1560"/>
      <c r="AR11" s="2936" t="s">
        <v>1376</v>
      </c>
      <c r="AS11" s="1872"/>
    </row>
    <row r="12" spans="1:45" ht="12" customHeight="1" thickBot="1" x14ac:dyDescent="0.25">
      <c r="A12" s="31"/>
      <c r="B12" s="513"/>
      <c r="C12" s="5024">
        <f>CV_final</f>
        <v>0</v>
      </c>
      <c r="D12" s="5024"/>
      <c r="E12" s="5025">
        <f>F18+F15+F16+F17+F19</f>
        <v>0</v>
      </c>
      <c r="F12" s="5025"/>
      <c r="H12" s="5027"/>
      <c r="I12" s="5028"/>
      <c r="J12" s="5039" t="str">
        <f>IF(SUM(Tablas!$G$459:$G$471)+SUM(Tablas!$H$1365:$H$1377),"+1 grado: Des. Psíquico.","")</f>
        <v/>
      </c>
      <c r="K12" s="5040"/>
      <c r="L12" s="5040"/>
      <c r="M12" s="5041"/>
      <c r="O12" s="5042">
        <f>Turno_Nat_final</f>
        <v>40</v>
      </c>
      <c r="P12" s="5026">
        <f>IF(PDs!E110="Tabla de Proyección Psíquica",Proyecciónpsíquica_final-PDs!V109+PDs!V22,Proyecciónpsíquica_final)</f>
        <v>0</v>
      </c>
      <c r="Q12" s="5047">
        <f>IF(PDs!E110="Tabla de Proyección Psíquica",Proyecciónpsíquica_final-PDs!V109+MAX(PDs!V23,PDs!V24),Proyecciónpsíquica_final)</f>
        <v>0</v>
      </c>
      <c r="R12" s="39"/>
      <c r="S12" s="31"/>
      <c r="T12" s="31"/>
      <c r="U12" s="714"/>
      <c r="V12" s="5043" t="str">
        <f>IF(V11=0,"",VLOOKUP(V11,Tabla_PoderesPsi,2,FALSE))</f>
        <v/>
      </c>
      <c r="W12" s="5044"/>
      <c r="X12" s="5044"/>
      <c r="Y12" s="1797" t="s">
        <v>1328</v>
      </c>
      <c r="Z12" s="1798" t="str">
        <f>IF(V11=0,"",VLOOKUP(V11,Tabla_PoderesPsi,3,FALSE))</f>
        <v/>
      </c>
      <c r="AA12" s="5048"/>
      <c r="AB12" s="5020"/>
      <c r="AD12" s="5013" t="str">
        <f>IF(AD11=0,"",VLOOKUP(AD11,Tabla_PoderesPsi,2,FALSE))</f>
        <v/>
      </c>
      <c r="AE12" s="3444"/>
      <c r="AF12" s="3444"/>
      <c r="AG12" s="1165" t="s">
        <v>1328</v>
      </c>
      <c r="AH12" s="481" t="str">
        <f>IF(AD11=0,"",VLOOKUP(AD11,Tabla_PoderesPsi,3,FALSE))</f>
        <v/>
      </c>
      <c r="AI12" s="4986"/>
      <c r="AJ12" s="4987"/>
      <c r="AK12" s="4988"/>
      <c r="AL12" s="1135" t="e">
        <f>INDEX(Lista_Dificultades,1+COUNTIF(INDEX('Tablas psiquica'!$I$7:$R$145,MATCH(AD11,Poderes_psi,0),),"*Fatiga*"))</f>
        <v>#N/A</v>
      </c>
      <c r="AM12" s="31"/>
      <c r="AN12" s="1562"/>
      <c r="AO12" s="4994" t="s">
        <v>1381</v>
      </c>
      <c r="AP12" s="4995"/>
      <c r="AQ12" s="1561"/>
      <c r="AR12" s="2936" t="s">
        <v>7381</v>
      </c>
      <c r="AS12" s="1872"/>
    </row>
    <row r="13" spans="1:45" ht="12" customHeight="1" thickBot="1" x14ac:dyDescent="0.25">
      <c r="A13" s="31"/>
      <c r="B13" s="513"/>
      <c r="C13" s="5024"/>
      <c r="D13" s="5024"/>
      <c r="E13" s="5025"/>
      <c r="F13" s="5025"/>
      <c r="H13" s="3545" t="s">
        <v>1799</v>
      </c>
      <c r="I13" s="3336"/>
      <c r="J13" s="2448"/>
      <c r="K13" s="5049" t="s">
        <v>1800</v>
      </c>
      <c r="L13" s="5050"/>
      <c r="M13" s="1740"/>
      <c r="O13" s="5042"/>
      <c r="P13" s="5026"/>
      <c r="Q13" s="5047"/>
      <c r="R13" s="39"/>
      <c r="S13" s="31"/>
      <c r="T13" s="31"/>
      <c r="U13" s="714">
        <f>IF(V13=0,0,1)</f>
        <v>0</v>
      </c>
      <c r="V13" s="5031"/>
      <c r="W13" s="5032"/>
      <c r="X13" s="5032"/>
      <c r="Y13" s="5032"/>
      <c r="Z13" s="5032"/>
      <c r="AA13" s="5033"/>
      <c r="AB13" s="5035" t="str">
        <f>IF(AA13=0,"",IF(AA13*10&lt;100,AA13*10,100))</f>
        <v/>
      </c>
      <c r="AL13" s="790"/>
      <c r="AM13" s="31"/>
      <c r="AN13" s="1559"/>
      <c r="AO13" s="1559"/>
      <c r="AP13" s="1560"/>
      <c r="AQ13" s="1560"/>
      <c r="AR13" s="1872"/>
      <c r="AS13" s="1872"/>
    </row>
    <row r="14" spans="1:45" ht="12" customHeight="1" thickBot="1" x14ac:dyDescent="0.25">
      <c r="A14" s="31"/>
      <c r="B14" s="513"/>
      <c r="C14" s="5014" t="s">
        <v>1801</v>
      </c>
      <c r="D14" s="5014"/>
      <c r="E14" s="5014"/>
      <c r="F14" s="163" t="s">
        <v>1796</v>
      </c>
      <c r="R14" s="39"/>
      <c r="S14" s="31"/>
      <c r="T14" s="31"/>
      <c r="U14" s="714"/>
      <c r="V14" s="5015" t="str">
        <f>IF(V13=0,"",VLOOKUP(V13,Tabla_PoderesPsi,2,FALSE))</f>
        <v/>
      </c>
      <c r="W14" s="5016"/>
      <c r="X14" s="5016"/>
      <c r="Y14" s="1906" t="s">
        <v>1328</v>
      </c>
      <c r="Z14" s="1907" t="str">
        <f>IF(V13=0,"",VLOOKUP(V13,Tabla_PoderesPsi,3,FALSE))</f>
        <v/>
      </c>
      <c r="AA14" s="5034"/>
      <c r="AB14" s="5036"/>
      <c r="AL14" s="790"/>
      <c r="AM14" s="31"/>
      <c r="AN14" s="66"/>
      <c r="AO14" s="1867"/>
      <c r="AP14" s="1868"/>
      <c r="AQ14" s="1868"/>
      <c r="AR14" s="1872" t="s">
        <v>9835</v>
      </c>
      <c r="AS14" s="1872"/>
    </row>
    <row r="15" spans="1:45" ht="12" customHeight="1" thickBot="1" x14ac:dyDescent="0.25">
      <c r="A15" s="31"/>
      <c r="B15" s="513"/>
      <c r="C15" s="3356" t="s">
        <v>1789</v>
      </c>
      <c r="D15" s="3356"/>
      <c r="E15" s="3356"/>
      <c r="F15" s="89">
        <f>IF(C25=0,0,1)+IF(C27=0,0,1)+IF(C29=0,0,1)+IF(C31=0,0,1)+IF(C33=0,0,1)+IF(C35=0,0,1)</f>
        <v>0</v>
      </c>
      <c r="H15" s="3324" t="s">
        <v>1802</v>
      </c>
      <c r="I15" s="3324"/>
      <c r="J15" s="3324"/>
      <c r="K15" s="3324"/>
      <c r="L15" s="3324"/>
      <c r="M15" s="3324"/>
      <c r="O15" s="3324" t="s">
        <v>1803</v>
      </c>
      <c r="P15" s="3324"/>
      <c r="Q15" s="3324"/>
      <c r="R15" s="39"/>
      <c r="S15" s="31"/>
      <c r="T15" s="31"/>
      <c r="U15" s="714">
        <f>IF(V15=0,0,1)</f>
        <v>0</v>
      </c>
      <c r="V15" s="5066"/>
      <c r="W15" s="5067"/>
      <c r="X15" s="5067"/>
      <c r="Y15" s="5067"/>
      <c r="Z15" s="5067"/>
      <c r="AA15" s="5048"/>
      <c r="AB15" s="5020" t="str">
        <f>IF(AA15=0,"",IF(AA15*10&lt;100,AA15*10,100))</f>
        <v/>
      </c>
      <c r="AL15" s="1917" t="s">
        <v>7366</v>
      </c>
      <c r="AM15" s="31"/>
      <c r="AN15" s="66"/>
      <c r="AO15" s="1869"/>
      <c r="AP15" s="1870"/>
      <c r="AQ15" s="1870"/>
      <c r="AR15" s="1872"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872"/>
    </row>
    <row r="16" spans="1:45" ht="12" customHeight="1" thickBot="1" x14ac:dyDescent="0.25">
      <c r="A16" s="31"/>
      <c r="B16" s="513"/>
      <c r="C16" s="5068" t="s">
        <v>1790</v>
      </c>
      <c r="D16" s="5068"/>
      <c r="E16" s="5068"/>
      <c r="F16" s="164">
        <f>SUM(U11:U63)</f>
        <v>0</v>
      </c>
      <c r="G16" s="165"/>
      <c r="H16" s="5051" t="s">
        <v>7367</v>
      </c>
      <c r="I16" s="5052">
        <f>F20-SUM(AI11:AI64)</f>
        <v>0</v>
      </c>
      <c r="J16" s="5054"/>
      <c r="K16" s="5054"/>
      <c r="L16" s="5054"/>
      <c r="M16" s="5054"/>
      <c r="O16" s="3389" t="s">
        <v>1726</v>
      </c>
      <c r="P16" s="3389"/>
      <c r="Q16" s="161" t="s">
        <v>1370</v>
      </c>
      <c r="R16" s="39"/>
      <c r="S16" s="31"/>
      <c r="T16" s="31"/>
      <c r="U16" s="714"/>
      <c r="V16" s="5043" t="str">
        <f>IF(V15=0,"",VLOOKUP(V15,Tabla_PoderesPsi,2,FALSE))</f>
        <v/>
      </c>
      <c r="W16" s="5044"/>
      <c r="X16" s="5044"/>
      <c r="Y16" s="1797" t="s">
        <v>1328</v>
      </c>
      <c r="Z16" s="1798" t="str">
        <f>IF(V15=0,"",VLOOKUP(V15,Tabla_PoderesPsi,3,FALSE))</f>
        <v/>
      </c>
      <c r="AA16" s="5048"/>
      <c r="AB16" s="5020"/>
      <c r="AC16" s="945"/>
      <c r="AD16" s="2998" t="s">
        <v>7365</v>
      </c>
      <c r="AE16" s="2999"/>
      <c r="AF16" s="2999"/>
      <c r="AG16" s="2999"/>
      <c r="AH16" s="5001"/>
      <c r="AI16" s="2178" t="s">
        <v>1796</v>
      </c>
      <c r="AJ16" s="2178" t="s">
        <v>6497</v>
      </c>
      <c r="AK16" s="2179" t="s">
        <v>1241</v>
      </c>
      <c r="AL16" s="1918">
        <f>COUNTA(AD17,AD19,AD21,AD23,AD25,AD27,AD29,AD31,AD33,AD35,AD37,AD39,AD41,AD43,AD45,AD47,AD49,AD51,AD53,AD55,AD57,AD59,AD61)</f>
        <v>0</v>
      </c>
      <c r="AM16" s="31"/>
      <c r="AN16" s="66"/>
      <c r="AO16" s="1867"/>
      <c r="AP16" s="1868"/>
      <c r="AQ16" s="1868"/>
      <c r="AR16" s="1872"/>
      <c r="AS16" s="1872"/>
    </row>
    <row r="17" spans="1:45" ht="12" customHeight="1" x14ac:dyDescent="0.2">
      <c r="A17" s="31"/>
      <c r="B17" s="513"/>
      <c r="C17" s="5069" t="s">
        <v>1804</v>
      </c>
      <c r="D17" s="5069"/>
      <c r="E17" s="5069"/>
      <c r="F17" s="89">
        <f>SUM(AA11:AA64)</f>
        <v>0</v>
      </c>
      <c r="H17" s="5051"/>
      <c r="I17" s="5053"/>
      <c r="J17" s="5054"/>
      <c r="K17" s="5054"/>
      <c r="L17" s="5054"/>
      <c r="M17" s="5054"/>
      <c r="O17" s="5065" t="s">
        <v>1731</v>
      </c>
      <c r="P17" s="5065"/>
      <c r="Q17" s="166" t="str">
        <f>IF(OR(Tablas!G554&gt;0,Tablas!H1399&gt;0),"+0",IF(AND(Tablas!G452=0,Tablas!H1363=0),"+10","+20"))</f>
        <v>+10</v>
      </c>
      <c r="R17" s="39"/>
      <c r="S17" s="31"/>
      <c r="T17" s="31"/>
      <c r="U17" s="714">
        <f>IF(V17=0,0,1)</f>
        <v>0</v>
      </c>
      <c r="V17" s="5031"/>
      <c r="W17" s="5032"/>
      <c r="X17" s="5032"/>
      <c r="Y17" s="5032"/>
      <c r="Z17" s="5032"/>
      <c r="AA17" s="5033"/>
      <c r="AB17" s="5035" t="str">
        <f>IF(AA17=0,"",IF(AA17*10&lt;100,AA17*10,100))</f>
        <v/>
      </c>
      <c r="AD17" s="5021"/>
      <c r="AE17" s="5022"/>
      <c r="AF17" s="5022"/>
      <c r="AG17" s="5022"/>
      <c r="AH17" s="5023"/>
      <c r="AI17" s="5029"/>
      <c r="AJ17" s="4996"/>
      <c r="AK17" s="4999" t="str">
        <f>IF(AD17&lt;&gt;"",INDEX(Tablas!$U$26:$U$38,MAX(MATCH(VLOOKUP(Psíquicos!$AD17,'Tablas psiquica'!$U$7:$AH$110,2,FALSE),Tablas!$U$26:$U$38,0),MAX(SUMPRODUCT(--(Tablas!$T$26:$T$38&lt;=(AL17-20*AI17)))+IF(Tablas!$G$454&gt;0,1,0)+IF(COUNTIF($C$39:$E$50,"Introversión")&gt;0,1,0),SUMPRODUCT(--(Tablas!$T$26:$T$38&lt;=(AL17)))))),"")</f>
        <v/>
      </c>
      <c r="AL17" s="4993">
        <f>$H$11+IF(ISNA(VLOOKUP(AD17,$V$11:$AB$64,7,FALSE)),0,IF(VLOOKUP(AD17,$V$11:$AB$64,7,FALSE)="",0,VLOOKUP(AD17,$V$11:$AB$64,7,FALSE)))+AI17*20+AJ17</f>
        <v>0</v>
      </c>
      <c r="AM17" s="31"/>
      <c r="AN17" s="66"/>
      <c r="AO17" s="1869"/>
      <c r="AP17" s="1870"/>
      <c r="AR17" s="2937">
        <v>1</v>
      </c>
      <c r="AS17" s="1872" t="str">
        <f>IF(INDEX($V$11:$Z$64,AR17,1)=0,"",INDEX($V$11:$Z$64,AR17,1))</f>
        <v/>
      </c>
    </row>
    <row r="18" spans="1:45" ht="12" customHeight="1" x14ac:dyDescent="0.2">
      <c r="A18" s="31"/>
      <c r="B18" s="513"/>
      <c r="C18" s="5060" t="s">
        <v>1805</v>
      </c>
      <c r="D18" s="5060"/>
      <c r="E18" s="5060"/>
      <c r="F18" s="164">
        <f>M10</f>
        <v>0</v>
      </c>
      <c r="H18" s="167" t="s">
        <v>1806</v>
      </c>
      <c r="I18" s="1169"/>
      <c r="J18" s="31"/>
      <c r="K18" s="168" t="str">
        <f>IF(AND(Tablas!G453=0,Tablas!H1364=0),"+10 / CV","+20 / CV")</f>
        <v>+10 / CV</v>
      </c>
      <c r="L18" s="5061" t="str">
        <f>IF(AND(Tablas!G453=0,Tablas!H1396=0),"(Max +50)","(Max +100)")</f>
        <v>(Max +50)</v>
      </c>
      <c r="M18" s="5061"/>
      <c r="O18" s="5062" t="s">
        <v>1734</v>
      </c>
      <c r="P18" s="5062"/>
      <c r="Q18" s="166" t="str">
        <f>IF(OR(Tablas!G554&gt;0,Tablas!H1399&gt;0),"+0",IF(AND(Tablas!G452=0,Tablas!H1363=0),"+20","+40"))</f>
        <v>+20</v>
      </c>
      <c r="R18" s="39"/>
      <c r="S18" s="31"/>
      <c r="T18" s="31"/>
      <c r="U18" s="714"/>
      <c r="V18" s="5063" t="str">
        <f>IF(V17=0,"",VLOOKUP(V17,Tabla_PoderesPsi,2,FALSE))</f>
        <v/>
      </c>
      <c r="W18" s="5064"/>
      <c r="X18" s="5064"/>
      <c r="Y18" s="1906" t="s">
        <v>1328</v>
      </c>
      <c r="Z18" s="1907" t="str">
        <f>IF(V17=0,"",VLOOKUP(V17,Tabla_PoderesPsi,3,FALSE))</f>
        <v/>
      </c>
      <c r="AA18" s="5034"/>
      <c r="AB18" s="5036"/>
      <c r="AD18" s="5037" t="str">
        <f>IF(AD17=0,"",VLOOKUP(AD17,Tabla_PoderesPsi,2,FALSE))</f>
        <v/>
      </c>
      <c r="AE18" s="5038"/>
      <c r="AF18" s="5038"/>
      <c r="AG18" s="2176" t="s">
        <v>1328</v>
      </c>
      <c r="AH18" s="2177" t="str">
        <f>IF(AD17=0,"",VLOOKUP(AD17,Tabla_PoderesPsi,3,FALSE))</f>
        <v/>
      </c>
      <c r="AI18" s="5030"/>
      <c r="AJ18" s="4997"/>
      <c r="AK18" s="5000"/>
      <c r="AL18" s="4993"/>
      <c r="AM18" s="31"/>
      <c r="AN18" s="66"/>
      <c r="AO18" s="1867"/>
      <c r="AP18" s="1868"/>
      <c r="AR18" s="2937">
        <v>3</v>
      </c>
      <c r="AS18" s="1872" t="str">
        <f t="shared" ref="AS18:AS42" si="0">IF(INDEX($V$11:$Z$64,AR18,1)=0,"",INDEX($V$11:$Z$64,AR18,1))</f>
        <v/>
      </c>
    </row>
    <row r="19" spans="1:45" ht="12" customHeight="1" x14ac:dyDescent="0.2">
      <c r="A19" s="31"/>
      <c r="B19" s="513"/>
      <c r="C19" s="5073" t="s">
        <v>1807</v>
      </c>
      <c r="D19" s="5073"/>
      <c r="E19" s="5073"/>
      <c r="F19" s="1107">
        <f>2*M13</f>
        <v>0</v>
      </c>
      <c r="H19" s="169" t="s">
        <v>1808</v>
      </c>
      <c r="I19" s="170"/>
      <c r="K19" s="171" t="s">
        <v>1809</v>
      </c>
      <c r="L19" s="5072" t="s">
        <v>1810</v>
      </c>
      <c r="M19" s="5072"/>
      <c r="O19" s="5062" t="s">
        <v>1736</v>
      </c>
      <c r="P19" s="5062"/>
      <c r="Q19" s="166" t="str">
        <f>IF(OR(Tablas!G554&gt;0,Tablas!H1399&gt;0),"+0",IF(AND(Tablas!G452=0,Tablas!H1363=0),"+30","+60"))</f>
        <v>+30</v>
      </c>
      <c r="R19" s="39"/>
      <c r="S19" s="31"/>
      <c r="T19" s="31"/>
      <c r="U19" s="714">
        <f>IF(V19=0,0,1)</f>
        <v>0</v>
      </c>
      <c r="V19" s="5055"/>
      <c r="W19" s="5056"/>
      <c r="X19" s="5056"/>
      <c r="Y19" s="5056"/>
      <c r="Z19" s="5057"/>
      <c r="AA19" s="5048"/>
      <c r="AB19" s="5020" t="str">
        <f>IF(AA19=0,"",IF(AA19*10&lt;100,AA19*10,100))</f>
        <v/>
      </c>
      <c r="AD19" s="5021"/>
      <c r="AE19" s="5022"/>
      <c r="AF19" s="5022"/>
      <c r="AG19" s="5022"/>
      <c r="AH19" s="5023"/>
      <c r="AI19" s="5029"/>
      <c r="AJ19" s="4996"/>
      <c r="AK19" s="4999" t="str">
        <f>IF(AD19&lt;&gt;"",INDEX(Tablas!$U$26:$U$38,MAX(MATCH(VLOOKUP(Psíquicos!$AD19,'Tablas psiquica'!$U$7:$AH$110,2,FALSE),Tablas!$U$26:$U$38,0),MAX(SUMPRODUCT(--(Tablas!$T$26:$T$38&lt;=(AL19-20*AI19)))+IF(Tablas!$G$454&gt;0,1,0)+IF(COUNTIF($C$39:$E$50,"Introversión")&gt;0,1,0),SUMPRODUCT(--(Tablas!$T$26:$T$38&lt;=(AL19)))))),"")</f>
        <v/>
      </c>
      <c r="AL19" s="4993">
        <f t="shared" ref="AL19" si="1">$H$11+IF(ISNA(VLOOKUP(AD19,$V$11:$AB$64,7,FALSE)),0,IF(VLOOKUP(AD19,$V$11:$AB$64,7,FALSE)="",0,VLOOKUP(AD19,$V$11:$AB$64,7,FALSE)))+AI19*20+AJ19</f>
        <v>0</v>
      </c>
      <c r="AM19" s="31"/>
      <c r="AN19" s="66"/>
      <c r="AO19" s="1869"/>
      <c r="AP19" s="1870"/>
      <c r="AR19" s="2937">
        <v>5</v>
      </c>
      <c r="AS19" s="1872" t="str">
        <f t="shared" si="0"/>
        <v/>
      </c>
    </row>
    <row r="20" spans="1:45" ht="12" customHeight="1" x14ac:dyDescent="0.2">
      <c r="A20" s="31"/>
      <c r="B20" s="513"/>
      <c r="C20" s="5070" t="s">
        <v>1802</v>
      </c>
      <c r="D20" s="5070"/>
      <c r="E20" s="5070"/>
      <c r="F20" s="5071">
        <f>C12-E12</f>
        <v>0</v>
      </c>
      <c r="H20" s="167" t="s">
        <v>1811</v>
      </c>
      <c r="I20" s="31"/>
      <c r="J20" s="31"/>
      <c r="K20" s="168" t="s">
        <v>1809</v>
      </c>
      <c r="L20" s="5061" t="s">
        <v>1810</v>
      </c>
      <c r="M20" s="5061"/>
      <c r="O20" s="5062" t="s">
        <v>1738</v>
      </c>
      <c r="P20" s="5062"/>
      <c r="Q20" s="166" t="str">
        <f>IF(OR(Tablas!G554&gt;0,Tablas!H1399&gt;0),"+0",IF(AND(Tablas!G452=0,Tablas!H1363=0),"+40","+80"))</f>
        <v>+40</v>
      </c>
      <c r="R20" s="39"/>
      <c r="S20" s="31"/>
      <c r="T20" s="31"/>
      <c r="U20" s="714"/>
      <c r="V20" s="5058" t="str">
        <f>IF(V19=0,"",VLOOKUP(V19,Tabla_PoderesPsi,2,FALSE))</f>
        <v/>
      </c>
      <c r="W20" s="5059"/>
      <c r="X20" s="5059"/>
      <c r="Y20" s="1797" t="s">
        <v>1328</v>
      </c>
      <c r="Z20" s="1798" t="str">
        <f>IF(V19=0,"",VLOOKUP(V19,Tabla_PoderesPsi,3,FALSE))</f>
        <v/>
      </c>
      <c r="AA20" s="5048"/>
      <c r="AB20" s="5020"/>
      <c r="AD20" s="5037" t="str">
        <f>IF(AD19=0,"",VLOOKUP(AD19,Tabla_PoderesPsi,2,FALSE))</f>
        <v/>
      </c>
      <c r="AE20" s="5038"/>
      <c r="AF20" s="5038"/>
      <c r="AG20" s="2176" t="s">
        <v>1328</v>
      </c>
      <c r="AH20" s="2177" t="str">
        <f>IF(AD19=0,"",VLOOKUP(AD19,Tabla_PoderesPsi,3,FALSE))</f>
        <v/>
      </c>
      <c r="AI20" s="5030"/>
      <c r="AJ20" s="4997"/>
      <c r="AK20" s="5000"/>
      <c r="AL20" s="4993"/>
      <c r="AM20" s="31"/>
      <c r="AN20" s="66"/>
      <c r="AO20" s="1867"/>
      <c r="AP20" s="1868"/>
      <c r="AR20" s="2937">
        <v>7</v>
      </c>
      <c r="AS20" s="1872" t="str">
        <f t="shared" si="0"/>
        <v/>
      </c>
    </row>
    <row r="21" spans="1:45" ht="12" customHeight="1" x14ac:dyDescent="0.2">
      <c r="A21" s="31"/>
      <c r="B21" s="513"/>
      <c r="C21" s="5070"/>
      <c r="D21" s="5070"/>
      <c r="E21" s="5070"/>
      <c r="F21" s="5071"/>
      <c r="H21" s="169" t="s">
        <v>1812</v>
      </c>
      <c r="I21" s="170"/>
      <c r="K21" s="171" t="s">
        <v>1813</v>
      </c>
      <c r="L21" s="5072" t="s">
        <v>1814</v>
      </c>
      <c r="M21" s="5072"/>
      <c r="O21" s="5074" t="s">
        <v>1740</v>
      </c>
      <c r="P21" s="5074"/>
      <c r="Q21" s="1108" t="str">
        <f>IF(OR(Tablas!G554&gt;0,Tablas!H1399&gt;0),"+0",IF(AND(Tablas!G452=0,Tablas!H1363=0),"+50","+100"))</f>
        <v>+50</v>
      </c>
      <c r="R21" s="39"/>
      <c r="S21" s="31"/>
      <c r="T21" s="31"/>
      <c r="U21" s="714">
        <f>IF(V21=0,0,1)</f>
        <v>0</v>
      </c>
      <c r="V21" s="5075"/>
      <c r="W21" s="5076"/>
      <c r="X21" s="5076"/>
      <c r="Y21" s="5076"/>
      <c r="Z21" s="5077"/>
      <c r="AA21" s="5078"/>
      <c r="AB21" s="5080" t="str">
        <f>IF(AA21=0,"",IF(AA21*10&lt;100,AA21*10,100))</f>
        <v/>
      </c>
      <c r="AD21" s="5021"/>
      <c r="AE21" s="5022"/>
      <c r="AF21" s="5022"/>
      <c r="AG21" s="5022"/>
      <c r="AH21" s="5023"/>
      <c r="AI21" s="5029"/>
      <c r="AJ21" s="4996"/>
      <c r="AK21" s="4999" t="str">
        <f>IF(AD21&lt;&gt;"",INDEX(Tablas!$U$26:$U$38,MAX(MATCH(VLOOKUP(Psíquicos!$AD21,'Tablas psiquica'!$U$7:$AH$110,2,FALSE),Tablas!$U$26:$U$38,0),MAX(SUMPRODUCT(--(Tablas!$T$26:$T$38&lt;=(AL21-20*AI21)))+IF(Tablas!$G$454&gt;0,1,0)+IF(COUNTIF($C$39:$E$50,"Introversión")&gt;0,1,0),SUMPRODUCT(--(Tablas!$T$26:$T$38&lt;=(AL21)))))),"")</f>
        <v/>
      </c>
      <c r="AL21" s="4993">
        <f t="shared" ref="AL21" si="2">$H$11+IF(ISNA(VLOOKUP(AD21,$V$11:$AB$64,7,FALSE)),0,IF(VLOOKUP(AD21,$V$11:$AB$64,7,FALSE)="",0,VLOOKUP(AD21,$V$11:$AB$64,7,FALSE)))+AI21*20+AJ21</f>
        <v>0</v>
      </c>
      <c r="AM21" s="31"/>
      <c r="AN21" s="66"/>
      <c r="AO21" s="1869"/>
      <c r="AP21" s="1870"/>
      <c r="AR21" s="2937">
        <v>9</v>
      </c>
      <c r="AS21" s="1872" t="str">
        <f t="shared" si="0"/>
        <v/>
      </c>
    </row>
    <row r="22" spans="1:45" ht="12" customHeight="1" thickBot="1" x14ac:dyDescent="0.25">
      <c r="A22" s="31"/>
      <c r="B22" s="513"/>
      <c r="C22" s="5086" t="str">
        <f>IF(F20&lt;0,"Exceso de CVs",IF(AL16&gt;M13,"Exceso de innatos activos",""))</f>
        <v/>
      </c>
      <c r="D22" s="5086"/>
      <c r="E22" s="5086"/>
      <c r="F22" s="5086"/>
      <c r="G22" s="172"/>
      <c r="H22" s="173" t="s">
        <v>1815</v>
      </c>
      <c r="I22" s="52"/>
      <c r="J22" s="52"/>
      <c r="K22" s="174" t="s">
        <v>1813</v>
      </c>
      <c r="L22" s="4184" t="s">
        <v>1816</v>
      </c>
      <c r="M22" s="4184"/>
      <c r="O22" s="5087" t="str">
        <f>IF(OR(Tablas!G554&gt;0,Tablas!H1399&gt;0),"Sin concentración",IF(AND(Tablas!G452=0,Tablas!H1363=0),"","Concentración extrema"))</f>
        <v/>
      </c>
      <c r="P22" s="5087"/>
      <c r="Q22" s="5087"/>
      <c r="R22" s="39"/>
      <c r="S22" s="31"/>
      <c r="T22" s="31"/>
      <c r="U22" s="714"/>
      <c r="V22" s="5082" t="str">
        <f>IF(V21=0,"",VLOOKUP(V21,Tabla_PoderesPsi,2,FALSE))</f>
        <v/>
      </c>
      <c r="W22" s="5083"/>
      <c r="X22" s="5083"/>
      <c r="Y22" s="1908" t="s">
        <v>1328</v>
      </c>
      <c r="Z22" s="1909" t="str">
        <f>IF(V21=0,"",VLOOKUP(V21,Tabla_PoderesPsi,3,FALSE))</f>
        <v/>
      </c>
      <c r="AA22" s="5079"/>
      <c r="AB22" s="5081"/>
      <c r="AD22" s="5037" t="str">
        <f>IF(AD21=0,"",VLOOKUP(AD21,Tabla_PoderesPsi,2,FALSE))</f>
        <v/>
      </c>
      <c r="AE22" s="5038"/>
      <c r="AF22" s="5038"/>
      <c r="AG22" s="2176" t="s">
        <v>1328</v>
      </c>
      <c r="AH22" s="2177" t="str">
        <f>IF(AD21=0,"",VLOOKUP(AD21,Tabla_PoderesPsi,3,FALSE))</f>
        <v/>
      </c>
      <c r="AI22" s="5030"/>
      <c r="AJ22" s="4997"/>
      <c r="AK22" s="5000"/>
      <c r="AL22" s="4993"/>
      <c r="AM22" s="31"/>
      <c r="AN22" s="66"/>
      <c r="AO22" s="1867"/>
      <c r="AP22" s="1868"/>
      <c r="AR22" s="2937">
        <v>11</v>
      </c>
      <c r="AS22" s="1872" t="str">
        <f t="shared" si="0"/>
        <v/>
      </c>
    </row>
    <row r="23" spans="1:45" ht="12" customHeight="1" thickBot="1" x14ac:dyDescent="0.25">
      <c r="A23" s="31"/>
      <c r="B23" s="513"/>
      <c r="M23" s="56"/>
      <c r="R23" s="39"/>
      <c r="S23" s="31"/>
      <c r="T23" s="31"/>
      <c r="U23" s="714">
        <f>IF(V23=0,0,1)</f>
        <v>0</v>
      </c>
      <c r="V23" s="5055"/>
      <c r="W23" s="5056"/>
      <c r="X23" s="5056"/>
      <c r="Y23" s="5056"/>
      <c r="Z23" s="5057"/>
      <c r="AA23" s="5048"/>
      <c r="AB23" s="5020" t="str">
        <f>IF(AA23=0,"",IF(AA23*10&lt;100,AA23*10,100))</f>
        <v/>
      </c>
      <c r="AD23" s="5021"/>
      <c r="AE23" s="5022"/>
      <c r="AF23" s="5022"/>
      <c r="AG23" s="5022"/>
      <c r="AH23" s="5023"/>
      <c r="AI23" s="5029"/>
      <c r="AJ23" s="4996"/>
      <c r="AK23" s="4999" t="str">
        <f>IF(AD23&lt;&gt;"",INDEX(Tablas!$U$26:$U$38,MAX(MATCH(VLOOKUP(Psíquicos!$AD23,'Tablas psiquica'!$U$7:$AH$110,2,FALSE),Tablas!$U$26:$U$38,0),MAX(SUMPRODUCT(--(Tablas!$T$26:$T$38&lt;=(AL23-20*AI23)))+IF(Tablas!$G$454&gt;0,1,0)+IF(COUNTIF($C$39:$E$50,"Introversión")&gt;0,1,0),SUMPRODUCT(--(Tablas!$T$26:$T$38&lt;=(AL23)))))),"")</f>
        <v/>
      </c>
      <c r="AL23" s="4993">
        <f t="shared" ref="AL23" si="3">$H$11+IF(ISNA(VLOOKUP(AD23,$V$11:$AB$64,7,FALSE)),0,IF(VLOOKUP(AD23,$V$11:$AB$64,7,FALSE)="",0,VLOOKUP(AD23,$V$11:$AB$64,7,FALSE)))+AI23*20+AJ23</f>
        <v>0</v>
      </c>
      <c r="AM23" s="31"/>
      <c r="AN23" s="175"/>
      <c r="AO23" s="1869"/>
      <c r="AP23" s="1870"/>
      <c r="AR23" s="2937">
        <v>13</v>
      </c>
      <c r="AS23" s="1872" t="str">
        <f t="shared" si="0"/>
        <v/>
      </c>
    </row>
    <row r="24" spans="1:45" ht="12" customHeight="1" x14ac:dyDescent="0.2">
      <c r="A24" s="31"/>
      <c r="B24" s="513"/>
      <c r="C24" s="3156" t="s">
        <v>1817</v>
      </c>
      <c r="D24" s="3157"/>
      <c r="E24" s="3157"/>
      <c r="F24" s="5084" t="s">
        <v>1818</v>
      </c>
      <c r="G24" s="5084"/>
      <c r="H24" s="5084"/>
      <c r="I24" s="5084"/>
      <c r="J24" s="5084"/>
      <c r="K24" s="5084"/>
      <c r="L24" s="5084"/>
      <c r="M24" s="5084"/>
      <c r="N24" s="5084"/>
      <c r="O24" s="5084"/>
      <c r="P24" s="5084"/>
      <c r="Q24" s="5085"/>
      <c r="R24" s="39"/>
      <c r="S24" s="31"/>
      <c r="T24" s="31"/>
      <c r="U24" s="714"/>
      <c r="V24" s="5058" t="str">
        <f>IF(V23=0,"",VLOOKUP(V23,Tabla_PoderesPsi,2,FALSE))</f>
        <v/>
      </c>
      <c r="W24" s="5059"/>
      <c r="X24" s="5059"/>
      <c r="Y24" s="1797" t="s">
        <v>1328</v>
      </c>
      <c r="Z24" s="1798" t="str">
        <f>IF(V23=0,"",VLOOKUP(V23,Tabla_PoderesPsi,3,FALSE))</f>
        <v/>
      </c>
      <c r="AA24" s="5048"/>
      <c r="AB24" s="5020"/>
      <c r="AD24" s="5037" t="str">
        <f>IF(AD23=0,"",VLOOKUP(AD23,Tabla_PoderesPsi,2,FALSE))</f>
        <v/>
      </c>
      <c r="AE24" s="5038"/>
      <c r="AF24" s="5038"/>
      <c r="AG24" s="2176" t="s">
        <v>1328</v>
      </c>
      <c r="AH24" s="2177" t="str">
        <f>IF(AD23=0,"",VLOOKUP(AD23,Tabla_PoderesPsi,3,FALSE))</f>
        <v/>
      </c>
      <c r="AI24" s="5030"/>
      <c r="AJ24" s="4997"/>
      <c r="AK24" s="5000"/>
      <c r="AL24" s="4993"/>
      <c r="AM24" s="31"/>
      <c r="AN24" s="66"/>
      <c r="AO24" s="1867"/>
      <c r="AP24" s="1868"/>
      <c r="AR24" s="2937">
        <v>15</v>
      </c>
      <c r="AS24" s="1872" t="str">
        <f t="shared" si="0"/>
        <v/>
      </c>
    </row>
    <row r="25" spans="1:45" ht="12" customHeight="1" x14ac:dyDescent="0.2">
      <c r="A25" s="31"/>
      <c r="B25" s="513"/>
      <c r="C25" s="5088"/>
      <c r="D25" s="5089"/>
      <c r="E25" s="5090"/>
      <c r="F25" s="3731" t="str">
        <f>IF(C25=0,"",VLOOKUP(C25,Tabla_DisciplinasPsi,2,FALSE))</f>
        <v/>
      </c>
      <c r="G25" s="5094"/>
      <c r="H25" s="5094"/>
      <c r="I25" s="5094"/>
      <c r="J25" s="5094"/>
      <c r="K25" s="5094"/>
      <c r="L25" s="5094"/>
      <c r="M25" s="5094"/>
      <c r="N25" s="5094"/>
      <c r="O25" s="5094"/>
      <c r="P25" s="5094"/>
      <c r="Q25" s="5095"/>
      <c r="R25" s="39"/>
      <c r="S25" s="31"/>
      <c r="T25" s="31"/>
      <c r="U25" s="714">
        <f>IF(V25=0,0,1)</f>
        <v>0</v>
      </c>
      <c r="V25" s="5075"/>
      <c r="W25" s="5076"/>
      <c r="X25" s="5076"/>
      <c r="Y25" s="5076"/>
      <c r="Z25" s="5077"/>
      <c r="AA25" s="5078"/>
      <c r="AB25" s="5080" t="str">
        <f>IF(AA25=0,"",IF(AA25*10&lt;100,AA25*10,100))</f>
        <v/>
      </c>
      <c r="AD25" s="5021"/>
      <c r="AE25" s="5022"/>
      <c r="AF25" s="5022"/>
      <c r="AG25" s="5022"/>
      <c r="AH25" s="5023"/>
      <c r="AI25" s="5029"/>
      <c r="AJ25" s="4996"/>
      <c r="AK25" s="4999" t="str">
        <f>IF(AD25&lt;&gt;"",INDEX(Tablas!$U$26:$U$38,MAX(MATCH(VLOOKUP(Psíquicos!$AD25,'Tablas psiquica'!$U$7:$AH$110,2,FALSE),Tablas!$U$26:$U$38,0),MAX(SUMPRODUCT(--(Tablas!$T$26:$T$38&lt;=(AL25-20*AI25)))+IF(Tablas!$G$454&gt;0,1,0)+IF(COUNTIF($C$39:$E$50,"Introversión")&gt;0,1,0),SUMPRODUCT(--(Tablas!$T$26:$T$38&lt;=(AL25)))))),"")</f>
        <v/>
      </c>
      <c r="AL25" s="4993">
        <f t="shared" ref="AL25" si="4">$H$11+IF(ISNA(VLOOKUP(AD25,$V$11:$AB$64,7,FALSE)),0,IF(VLOOKUP(AD25,$V$11:$AB$64,7,FALSE)="",0,VLOOKUP(AD25,$V$11:$AB$64,7,FALSE)))+AI25*20+AJ25</f>
        <v>0</v>
      </c>
      <c r="AM25" s="31"/>
      <c r="AN25" s="1563"/>
      <c r="AO25" s="612"/>
      <c r="AP25" s="612"/>
      <c r="AR25" s="2937">
        <v>17</v>
      </c>
      <c r="AS25" s="1872" t="str">
        <f t="shared" si="0"/>
        <v/>
      </c>
    </row>
    <row r="26" spans="1:45" ht="12" customHeight="1" x14ac:dyDescent="0.2">
      <c r="A26" s="31"/>
      <c r="B26" s="513"/>
      <c r="C26" s="5091"/>
      <c r="D26" s="5092"/>
      <c r="E26" s="5093"/>
      <c r="F26" s="3731"/>
      <c r="G26" s="5094"/>
      <c r="H26" s="5094"/>
      <c r="I26" s="5094"/>
      <c r="J26" s="5094"/>
      <c r="K26" s="5094"/>
      <c r="L26" s="5094"/>
      <c r="M26" s="5094"/>
      <c r="N26" s="5094"/>
      <c r="O26" s="5094"/>
      <c r="P26" s="5094"/>
      <c r="Q26" s="5095"/>
      <c r="R26" s="39"/>
      <c r="S26" s="31"/>
      <c r="T26" s="31"/>
      <c r="U26" s="714"/>
      <c r="V26" s="5082" t="str">
        <f>IF(V25=0,"",VLOOKUP(V25,Tabla_PoderesPsi,2,FALSE))</f>
        <v/>
      </c>
      <c r="W26" s="5083"/>
      <c r="X26" s="5083"/>
      <c r="Y26" s="1908" t="s">
        <v>1328</v>
      </c>
      <c r="Z26" s="1909" t="str">
        <f>IF(V25=0,"",VLOOKUP(V25,Tabla_PoderesPsi,3,FALSE))</f>
        <v/>
      </c>
      <c r="AA26" s="5079"/>
      <c r="AB26" s="5081"/>
      <c r="AC26" s="85"/>
      <c r="AD26" s="5037" t="str">
        <f>IF(AD25=0,"",VLOOKUP(AD25,Tabla_PoderesPsi,2,FALSE))</f>
        <v/>
      </c>
      <c r="AE26" s="5038"/>
      <c r="AF26" s="5038"/>
      <c r="AG26" s="2176" t="s">
        <v>1328</v>
      </c>
      <c r="AH26" s="2177" t="str">
        <f>IF(AD25=0,"",VLOOKUP(AD25,Tabla_PoderesPsi,3,FALSE))</f>
        <v/>
      </c>
      <c r="AI26" s="5030"/>
      <c r="AJ26" s="4997"/>
      <c r="AK26" s="5000"/>
      <c r="AL26" s="4993"/>
      <c r="AM26" s="31"/>
      <c r="AO26" s="724"/>
      <c r="AP26" s="724"/>
      <c r="AR26" s="2937">
        <v>19</v>
      </c>
      <c r="AS26" s="1872" t="str">
        <f t="shared" si="0"/>
        <v/>
      </c>
    </row>
    <row r="27" spans="1:45" ht="12" customHeight="1" x14ac:dyDescent="0.2">
      <c r="A27" s="31"/>
      <c r="B27" s="513"/>
      <c r="C27" s="5096"/>
      <c r="D27" s="5097"/>
      <c r="E27" s="5098"/>
      <c r="F27" s="5099" t="str">
        <f>IF(C27=0,"",VLOOKUP(C27,Tabla_DisciplinasPsi,2,FALSE))</f>
        <v/>
      </c>
      <c r="G27" s="5100"/>
      <c r="H27" s="5100"/>
      <c r="I27" s="5100"/>
      <c r="J27" s="5100"/>
      <c r="K27" s="5100"/>
      <c r="L27" s="5100"/>
      <c r="M27" s="5100"/>
      <c r="N27" s="5100"/>
      <c r="O27" s="5100"/>
      <c r="P27" s="5100"/>
      <c r="Q27" s="5101"/>
      <c r="R27" s="39"/>
      <c r="S27" s="31"/>
      <c r="T27" s="31"/>
      <c r="U27" s="714">
        <f>IF(V27=0,0,1)</f>
        <v>0</v>
      </c>
      <c r="V27" s="5055"/>
      <c r="W27" s="5056"/>
      <c r="X27" s="5056"/>
      <c r="Y27" s="5056"/>
      <c r="Z27" s="5057"/>
      <c r="AA27" s="5048"/>
      <c r="AB27" s="5020" t="str">
        <f>IF(AA27=0,"",IF(AA27*10&lt;100,AA27*10,100))</f>
        <v/>
      </c>
      <c r="AC27" s="85"/>
      <c r="AD27" s="5021"/>
      <c r="AE27" s="5022"/>
      <c r="AF27" s="5022"/>
      <c r="AG27" s="5022"/>
      <c r="AH27" s="5023"/>
      <c r="AI27" s="5029"/>
      <c r="AJ27" s="4996"/>
      <c r="AK27" s="4999" t="str">
        <f>IF(AD27&lt;&gt;"",INDEX(Tablas!$U$26:$U$38,MAX(MATCH(VLOOKUP(Psíquicos!$AD27,'Tablas psiquica'!$U$7:$AH$110,2,FALSE),Tablas!$U$26:$U$38,0),MAX(SUMPRODUCT(--(Tablas!$T$26:$T$38&lt;=(AL27-20*AI27)))+IF(Tablas!$G$454&gt;0,1,0)+IF(COUNTIF($C$39:$E$50,"Introversión")&gt;0,1,0),SUMPRODUCT(--(Tablas!$T$26:$T$38&lt;=(AL27)))))),"")</f>
        <v/>
      </c>
      <c r="AL27" s="4993">
        <f t="shared" ref="AL27" si="5">$H$11+IF(ISNA(VLOOKUP(AD27,$V$11:$AB$64,7,FALSE)),0,IF(VLOOKUP(AD27,$V$11:$AB$64,7,FALSE)="",0,VLOOKUP(AD27,$V$11:$AB$64,7,FALSE)))+AI27*20+AJ27</f>
        <v>0</v>
      </c>
      <c r="AM27" s="31"/>
      <c r="AO27" s="612"/>
      <c r="AP27" s="612"/>
      <c r="AR27" s="2937">
        <v>21</v>
      </c>
      <c r="AS27" s="1872" t="str">
        <f t="shared" si="0"/>
        <v/>
      </c>
    </row>
    <row r="28" spans="1:45" ht="12" customHeight="1" x14ac:dyDescent="0.2">
      <c r="A28" s="31"/>
      <c r="B28" s="513"/>
      <c r="C28" s="5096"/>
      <c r="D28" s="5097"/>
      <c r="E28" s="5098"/>
      <c r="F28" s="5099"/>
      <c r="G28" s="5100"/>
      <c r="H28" s="5100"/>
      <c r="I28" s="5100"/>
      <c r="J28" s="5100"/>
      <c r="K28" s="5100"/>
      <c r="L28" s="5100"/>
      <c r="M28" s="5100"/>
      <c r="N28" s="5100"/>
      <c r="O28" s="5100"/>
      <c r="P28" s="5100"/>
      <c r="Q28" s="5101"/>
      <c r="R28" s="39"/>
      <c r="S28" s="31"/>
      <c r="T28" s="31"/>
      <c r="U28" s="714"/>
      <c r="V28" s="5058" t="str">
        <f>IF(V27=0,"",VLOOKUP(V27,Tabla_PoderesPsi,2,FALSE))</f>
        <v/>
      </c>
      <c r="W28" s="5059"/>
      <c r="X28" s="5059"/>
      <c r="Y28" s="1797" t="s">
        <v>1328</v>
      </c>
      <c r="Z28" s="1798" t="str">
        <f>IF(V27=0,"",VLOOKUP(V27,Tabla_PoderesPsi,3,FALSE))</f>
        <v/>
      </c>
      <c r="AA28" s="5048"/>
      <c r="AB28" s="5020"/>
      <c r="AC28" s="80"/>
      <c r="AD28" s="5037" t="str">
        <f>IF(AD27=0,"",VLOOKUP(AD27,Tabla_PoderesPsi,2,FALSE))</f>
        <v/>
      </c>
      <c r="AE28" s="5038"/>
      <c r="AF28" s="5038"/>
      <c r="AG28" s="2176" t="s">
        <v>1328</v>
      </c>
      <c r="AH28" s="2177" t="str">
        <f>IF(AD27=0,"",VLOOKUP(AD27,Tabla_PoderesPsi,3,FALSE))</f>
        <v/>
      </c>
      <c r="AI28" s="5030"/>
      <c r="AJ28" s="4997"/>
      <c r="AK28" s="5000"/>
      <c r="AL28" s="4993"/>
      <c r="AM28" s="31"/>
      <c r="AO28" s="612"/>
      <c r="AP28" s="612"/>
      <c r="AR28" s="2937">
        <v>23</v>
      </c>
      <c r="AS28" s="1872" t="str">
        <f t="shared" si="0"/>
        <v/>
      </c>
    </row>
    <row r="29" spans="1:45" ht="12" customHeight="1" x14ac:dyDescent="0.2">
      <c r="A29" s="31"/>
      <c r="B29" s="513"/>
      <c r="C29" s="5102"/>
      <c r="D29" s="5103"/>
      <c r="E29" s="5104"/>
      <c r="F29" s="3731" t="str">
        <f>IF(C29=0,"",VLOOKUP(C29,Tabla_DisciplinasPsi,2,FALSE))</f>
        <v/>
      </c>
      <c r="G29" s="5094"/>
      <c r="H29" s="5094"/>
      <c r="I29" s="5094"/>
      <c r="J29" s="5094"/>
      <c r="K29" s="5094"/>
      <c r="L29" s="5094"/>
      <c r="M29" s="5094"/>
      <c r="N29" s="5094"/>
      <c r="O29" s="5094"/>
      <c r="P29" s="5094"/>
      <c r="Q29" s="5095"/>
      <c r="R29" s="39"/>
      <c r="S29" s="31"/>
      <c r="T29" s="31"/>
      <c r="U29" s="714">
        <f>IF(V29=0,0,1)</f>
        <v>0</v>
      </c>
      <c r="V29" s="5075"/>
      <c r="W29" s="5076"/>
      <c r="X29" s="5076"/>
      <c r="Y29" s="5076"/>
      <c r="Z29" s="5077"/>
      <c r="AA29" s="5078"/>
      <c r="AB29" s="5080" t="str">
        <f>IF(AA29=0,"",IF(AA29*10&lt;100,AA29*10,100))</f>
        <v/>
      </c>
      <c r="AC29" s="94"/>
      <c r="AD29" s="5021"/>
      <c r="AE29" s="5022"/>
      <c r="AF29" s="5022"/>
      <c r="AG29" s="5022"/>
      <c r="AH29" s="5023"/>
      <c r="AI29" s="5029"/>
      <c r="AJ29" s="4996"/>
      <c r="AK29" s="4999" t="str">
        <f>IF(AD29&lt;&gt;"",INDEX(Tablas!$U$26:$U$38,MAX(MATCH(VLOOKUP(Psíquicos!$AD29,'Tablas psiquica'!$U$7:$AH$110,2,FALSE),Tablas!$U$26:$U$38,0),MAX(SUMPRODUCT(--(Tablas!$T$26:$T$38&lt;=(AL29-20*AI29)))+IF(Tablas!$G$454&gt;0,1,0)+IF(COUNTIF($C$39:$E$50,"Introversión")&gt;0,1,0),SUMPRODUCT(--(Tablas!$T$26:$T$38&lt;=(AL29)))))),"")</f>
        <v/>
      </c>
      <c r="AL29" s="4993">
        <f t="shared" ref="AL29" si="6">$H$11+IF(ISNA(VLOOKUP(AD29,$V$11:$AB$64,7,FALSE)),0,IF(VLOOKUP(AD29,$V$11:$AB$64,7,FALSE)="",0,VLOOKUP(AD29,$V$11:$AB$64,7,FALSE)))+AI29*20+AJ29</f>
        <v>0</v>
      </c>
      <c r="AM29" s="31"/>
      <c r="AO29" s="612"/>
      <c r="AP29" s="612"/>
      <c r="AR29" s="2937">
        <v>25</v>
      </c>
      <c r="AS29" s="1872" t="str">
        <f t="shared" si="0"/>
        <v/>
      </c>
    </row>
    <row r="30" spans="1:45" ht="12" customHeight="1" x14ac:dyDescent="0.2">
      <c r="A30" s="31"/>
      <c r="B30" s="513"/>
      <c r="C30" s="5102"/>
      <c r="D30" s="5103"/>
      <c r="E30" s="5104"/>
      <c r="F30" s="3731"/>
      <c r="G30" s="5094"/>
      <c r="H30" s="5094"/>
      <c r="I30" s="5094"/>
      <c r="J30" s="5094"/>
      <c r="K30" s="5094"/>
      <c r="L30" s="5094"/>
      <c r="M30" s="5094"/>
      <c r="N30" s="5094"/>
      <c r="O30" s="5094"/>
      <c r="P30" s="5094"/>
      <c r="Q30" s="5095"/>
      <c r="R30" s="39"/>
      <c r="S30" s="31"/>
      <c r="T30" s="31"/>
      <c r="U30" s="714"/>
      <c r="V30" s="5082" t="str">
        <f>IF(V29=0,"",VLOOKUP(V29,Tabla_PoderesPsi,2,FALSE))</f>
        <v/>
      </c>
      <c r="W30" s="5083"/>
      <c r="X30" s="5083"/>
      <c r="Y30" s="1908" t="s">
        <v>1328</v>
      </c>
      <c r="Z30" s="1909" t="str">
        <f>IF(V29=0,"",VLOOKUP(V29,Tabla_PoderesPsi,3,FALSE))</f>
        <v/>
      </c>
      <c r="AA30" s="5079"/>
      <c r="AB30" s="5081"/>
      <c r="AC30" s="85"/>
      <c r="AD30" s="5037" t="str">
        <f>IF(AD29=0,"",VLOOKUP(AD29,Tabla_PoderesPsi,2,FALSE))</f>
        <v/>
      </c>
      <c r="AE30" s="5038"/>
      <c r="AF30" s="5038"/>
      <c r="AG30" s="2176" t="s">
        <v>1328</v>
      </c>
      <c r="AH30" s="2177" t="str">
        <f>IF(AD29=0,"",VLOOKUP(AD29,Tabla_PoderesPsi,3,FALSE))</f>
        <v/>
      </c>
      <c r="AI30" s="5030"/>
      <c r="AJ30" s="4997"/>
      <c r="AK30" s="5000"/>
      <c r="AL30" s="4993"/>
      <c r="AM30" s="31"/>
      <c r="AO30" s="612"/>
      <c r="AP30" s="612"/>
      <c r="AR30" s="2937">
        <v>27</v>
      </c>
      <c r="AS30" s="1872" t="str">
        <f t="shared" si="0"/>
        <v/>
      </c>
    </row>
    <row r="31" spans="1:45" ht="12" customHeight="1" x14ac:dyDescent="0.2">
      <c r="A31" s="31"/>
      <c r="B31" s="513"/>
      <c r="C31" s="5096"/>
      <c r="D31" s="5097"/>
      <c r="E31" s="5098"/>
      <c r="F31" s="5099" t="str">
        <f>IF(C31=0,"",VLOOKUP(C31,Tabla_DisciplinasPsi,2,FALSE))</f>
        <v/>
      </c>
      <c r="G31" s="5100"/>
      <c r="H31" s="5100"/>
      <c r="I31" s="5100"/>
      <c r="J31" s="5100"/>
      <c r="K31" s="5100"/>
      <c r="L31" s="5100"/>
      <c r="M31" s="5100"/>
      <c r="N31" s="5100"/>
      <c r="O31" s="5100"/>
      <c r="P31" s="5100"/>
      <c r="Q31" s="5101"/>
      <c r="R31" s="39"/>
      <c r="S31" s="31"/>
      <c r="T31" s="31"/>
      <c r="U31" s="714">
        <f>IF(V31=0,0,1)</f>
        <v>0</v>
      </c>
      <c r="V31" s="5055"/>
      <c r="W31" s="5056"/>
      <c r="X31" s="5056"/>
      <c r="Y31" s="5056"/>
      <c r="Z31" s="5057"/>
      <c r="AA31" s="5048"/>
      <c r="AB31" s="5020" t="str">
        <f>IF(AA31=0,"",IF(AA31*10&lt;100,AA31*10,100))</f>
        <v/>
      </c>
      <c r="AC31" s="85"/>
      <c r="AD31" s="5021"/>
      <c r="AE31" s="5022"/>
      <c r="AF31" s="5022"/>
      <c r="AG31" s="5022"/>
      <c r="AH31" s="5023"/>
      <c r="AI31" s="5029"/>
      <c r="AJ31" s="4996"/>
      <c r="AK31" s="4999" t="str">
        <f>IF(AD31&lt;&gt;"",INDEX(Tablas!$U$26:$U$38,MAX(MATCH(VLOOKUP(Psíquicos!$AD31,'Tablas psiquica'!$U$7:$AH$110,2,FALSE),Tablas!$U$26:$U$38,0),MAX(SUMPRODUCT(--(Tablas!$T$26:$T$38&lt;=(AL31-20*AI31)))+IF(Tablas!$G$454&gt;0,1,0)+IF(COUNTIF($C$39:$E$50,"Introversión")&gt;0,1,0),SUMPRODUCT(--(Tablas!$T$26:$T$38&lt;=(AL31)))))),"")</f>
        <v/>
      </c>
      <c r="AL31" s="4993">
        <f t="shared" ref="AL31" si="7">$H$11+IF(ISNA(VLOOKUP(AD31,$V$11:$AB$64,7,FALSE)),0,IF(VLOOKUP(AD31,$V$11:$AB$64,7,FALSE)="",0,VLOOKUP(AD31,$V$11:$AB$64,7,FALSE)))+AI31*20+AJ31</f>
        <v>0</v>
      </c>
      <c r="AM31" s="31"/>
      <c r="AO31" s="612"/>
      <c r="AP31" s="612"/>
      <c r="AR31" s="2937">
        <v>29</v>
      </c>
      <c r="AS31" s="1872" t="str">
        <f t="shared" si="0"/>
        <v/>
      </c>
    </row>
    <row r="32" spans="1:45" ht="12" customHeight="1" x14ac:dyDescent="0.2">
      <c r="A32" s="31"/>
      <c r="B32" s="513"/>
      <c r="C32" s="5096"/>
      <c r="D32" s="5097"/>
      <c r="E32" s="5098"/>
      <c r="F32" s="5099"/>
      <c r="G32" s="5100"/>
      <c r="H32" s="5100"/>
      <c r="I32" s="5100"/>
      <c r="J32" s="5100"/>
      <c r="K32" s="5100"/>
      <c r="L32" s="5100"/>
      <c r="M32" s="5100"/>
      <c r="N32" s="5100"/>
      <c r="O32" s="5100"/>
      <c r="P32" s="5100"/>
      <c r="Q32" s="5101"/>
      <c r="R32" s="39"/>
      <c r="S32" s="31"/>
      <c r="T32" s="31"/>
      <c r="U32" s="714"/>
      <c r="V32" s="5058" t="str">
        <f>IF(V31=0,"",VLOOKUP(V31,Tabla_PoderesPsi,2,FALSE))</f>
        <v/>
      </c>
      <c r="W32" s="5059"/>
      <c r="X32" s="5059"/>
      <c r="Y32" s="1797" t="s">
        <v>1328</v>
      </c>
      <c r="Z32" s="1798" t="str">
        <f>IF(V31=0,"",VLOOKUP(V31,Tabla_PoderesPsi,3,FALSE))</f>
        <v/>
      </c>
      <c r="AA32" s="5048"/>
      <c r="AB32" s="5020"/>
      <c r="AC32" s="95"/>
      <c r="AD32" s="5037" t="str">
        <f>IF(AD31=0,"",VLOOKUP(AD31,Tabla_PoderesPsi,2,FALSE))</f>
        <v/>
      </c>
      <c r="AE32" s="5038"/>
      <c r="AF32" s="5038"/>
      <c r="AG32" s="2176" t="s">
        <v>1328</v>
      </c>
      <c r="AH32" s="2177" t="str">
        <f>IF(AD31=0,"",VLOOKUP(AD31,Tabla_PoderesPsi,3,FALSE))</f>
        <v/>
      </c>
      <c r="AI32" s="5030"/>
      <c r="AJ32" s="4997"/>
      <c r="AK32" s="5000"/>
      <c r="AL32" s="4993"/>
      <c r="AM32" s="31"/>
      <c r="AO32" s="612"/>
      <c r="AP32" s="612"/>
      <c r="AR32" s="2937">
        <v>31</v>
      </c>
      <c r="AS32" s="1872" t="str">
        <f t="shared" si="0"/>
        <v/>
      </c>
    </row>
    <row r="33" spans="1:45" ht="12" customHeight="1" x14ac:dyDescent="0.2">
      <c r="A33" s="31"/>
      <c r="B33" s="513"/>
      <c r="C33" s="5102"/>
      <c r="D33" s="5103"/>
      <c r="E33" s="5104"/>
      <c r="F33" s="3731" t="str">
        <f>IF(C33=0,"",VLOOKUP(C33,Tabla_DisciplinasPsi,2,FALSE))</f>
        <v/>
      </c>
      <c r="G33" s="5094"/>
      <c r="H33" s="5094"/>
      <c r="I33" s="5094"/>
      <c r="J33" s="5094"/>
      <c r="K33" s="5094"/>
      <c r="L33" s="5094"/>
      <c r="M33" s="5094"/>
      <c r="N33" s="5094"/>
      <c r="O33" s="5094"/>
      <c r="P33" s="5094"/>
      <c r="Q33" s="5095"/>
      <c r="R33" s="39"/>
      <c r="S33" s="31"/>
      <c r="T33" s="31"/>
      <c r="U33" s="714">
        <f>IF(V33=0,0,1)</f>
        <v>0</v>
      </c>
      <c r="V33" s="5075"/>
      <c r="W33" s="5076"/>
      <c r="X33" s="5076"/>
      <c r="Y33" s="5076"/>
      <c r="Z33" s="5077"/>
      <c r="AA33" s="5078"/>
      <c r="AB33" s="5080" t="str">
        <f>IF(AA33=0,"",IF(AA33*10&lt;100,AA33*10,100))</f>
        <v/>
      </c>
      <c r="AC33" s="95"/>
      <c r="AD33" s="5021"/>
      <c r="AE33" s="5022"/>
      <c r="AF33" s="5022"/>
      <c r="AG33" s="5022"/>
      <c r="AH33" s="5023"/>
      <c r="AI33" s="5029"/>
      <c r="AJ33" s="4996"/>
      <c r="AK33" s="4999" t="str">
        <f>IF(AD33&lt;&gt;"",INDEX(Tablas!$U$26:$U$38,MAX(MATCH(VLOOKUP(Psíquicos!$AD33,'Tablas psiquica'!$U$7:$AH$110,2,FALSE),Tablas!$U$26:$U$38,0),MAX(SUMPRODUCT(--(Tablas!$T$26:$T$38&lt;=(AL33-20*AI33)))+IF(Tablas!$G$454&gt;0,1,0)+IF(COUNTIF($C$39:$E$50,"Introversión")&gt;0,1,0),SUMPRODUCT(--(Tablas!$T$26:$T$38&lt;=(AL33)))))),"")</f>
        <v/>
      </c>
      <c r="AL33" s="4993">
        <f t="shared" ref="AL33" si="8">$H$11+IF(ISNA(VLOOKUP(AD33,$V$11:$AB$64,7,FALSE)),0,IF(VLOOKUP(AD33,$V$11:$AB$64,7,FALSE)="",0,VLOOKUP(AD33,$V$11:$AB$64,7,FALSE)))+AI33*20+AJ33</f>
        <v>0</v>
      </c>
      <c r="AM33" s="31"/>
      <c r="AO33" s="612"/>
      <c r="AP33" s="612"/>
      <c r="AR33" s="2937">
        <v>33</v>
      </c>
      <c r="AS33" s="1872" t="str">
        <f t="shared" si="0"/>
        <v/>
      </c>
    </row>
    <row r="34" spans="1:45" ht="12" customHeight="1" x14ac:dyDescent="0.2">
      <c r="A34" s="31"/>
      <c r="B34" s="513"/>
      <c r="C34" s="5102"/>
      <c r="D34" s="5103"/>
      <c r="E34" s="5104"/>
      <c r="F34" s="3731"/>
      <c r="G34" s="5094"/>
      <c r="H34" s="5094"/>
      <c r="I34" s="5094"/>
      <c r="J34" s="5094"/>
      <c r="K34" s="5094"/>
      <c r="L34" s="5094"/>
      <c r="M34" s="5094"/>
      <c r="N34" s="5094"/>
      <c r="O34" s="5094"/>
      <c r="P34" s="5094"/>
      <c r="Q34" s="5095"/>
      <c r="R34" s="39"/>
      <c r="S34" s="31"/>
      <c r="T34" s="31"/>
      <c r="U34" s="714"/>
      <c r="V34" s="5082" t="str">
        <f>IF(V33=0,"",VLOOKUP(V33,Tabla_PoderesPsi,2,FALSE))</f>
        <v/>
      </c>
      <c r="W34" s="5083"/>
      <c r="X34" s="5083"/>
      <c r="Y34" s="1908" t="s">
        <v>1328</v>
      </c>
      <c r="Z34" s="1909" t="str">
        <f>IF(V33=0,"",VLOOKUP(V33,Tabla_PoderesPsi,3,FALSE))</f>
        <v/>
      </c>
      <c r="AA34" s="5079"/>
      <c r="AB34" s="5081"/>
      <c r="AD34" s="5037" t="str">
        <f>IF(AD33=0,"",VLOOKUP(AD33,Tabla_PoderesPsi,2,FALSE))</f>
        <v/>
      </c>
      <c r="AE34" s="5038"/>
      <c r="AF34" s="5038"/>
      <c r="AG34" s="2176" t="s">
        <v>1328</v>
      </c>
      <c r="AH34" s="2177" t="str">
        <f>IF(AD33=0,"",VLOOKUP(AD33,Tabla_PoderesPsi,3,FALSE))</f>
        <v/>
      </c>
      <c r="AI34" s="5030"/>
      <c r="AJ34" s="4997"/>
      <c r="AK34" s="5000"/>
      <c r="AL34" s="4993"/>
      <c r="AM34" s="31"/>
      <c r="AO34" s="612"/>
      <c r="AP34" s="612"/>
      <c r="AR34" s="2937">
        <v>35</v>
      </c>
      <c r="AS34" s="1872" t="str">
        <f t="shared" si="0"/>
        <v/>
      </c>
    </row>
    <row r="35" spans="1:45" ht="12" customHeight="1" thickBot="1" x14ac:dyDescent="0.25">
      <c r="A35" s="31"/>
      <c r="B35" s="513"/>
      <c r="C35" s="5096"/>
      <c r="D35" s="5097"/>
      <c r="E35" s="5098"/>
      <c r="F35" s="5108" t="str">
        <f>IF(C35=0,"",VLOOKUP(C35,Tabla_DisciplinasPsi,2,FALSE))</f>
        <v/>
      </c>
      <c r="G35" s="5109"/>
      <c r="H35" s="5109"/>
      <c r="I35" s="5109"/>
      <c r="J35" s="5109"/>
      <c r="K35" s="5109"/>
      <c r="L35" s="5109"/>
      <c r="M35" s="5109"/>
      <c r="N35" s="5109"/>
      <c r="O35" s="5109"/>
      <c r="P35" s="5109"/>
      <c r="Q35" s="5110"/>
      <c r="R35" s="39"/>
      <c r="S35" s="31"/>
      <c r="T35" s="31"/>
      <c r="U35" s="714">
        <f>IF(V35=0,0,1)</f>
        <v>0</v>
      </c>
      <c r="V35" s="5055"/>
      <c r="W35" s="5056"/>
      <c r="X35" s="5056"/>
      <c r="Y35" s="5056"/>
      <c r="Z35" s="5057"/>
      <c r="AA35" s="5048"/>
      <c r="AB35" s="5020" t="str">
        <f>IF(AA35=0,"",IF(AA35*10&lt;100,AA35*10,100))</f>
        <v/>
      </c>
      <c r="AC35" s="85"/>
      <c r="AD35" s="5021"/>
      <c r="AE35" s="5022"/>
      <c r="AF35" s="5022"/>
      <c r="AG35" s="5022"/>
      <c r="AH35" s="5023"/>
      <c r="AI35" s="5029"/>
      <c r="AJ35" s="4996"/>
      <c r="AK35" s="4999" t="str">
        <f>IF(AD35&lt;&gt;"",INDEX(Tablas!$U$26:$U$38,MAX(MATCH(VLOOKUP(Psíquicos!$AD35,'Tablas psiquica'!$U$7:$AH$110,2,FALSE),Tablas!$U$26:$U$38,0),MAX(SUMPRODUCT(--(Tablas!$T$26:$T$38&lt;=(AL35-20*AI35)))+IF(Tablas!$G$454&gt;0,1,0)+IF(COUNTIF($C$39:$E$50,"Introversión")&gt;0,1,0),SUMPRODUCT(--(Tablas!$T$26:$T$38&lt;=(AL35)))))),"")</f>
        <v/>
      </c>
      <c r="AL35" s="4993">
        <f t="shared" ref="AL35" si="9">$H$11+IF(ISNA(VLOOKUP(AD35,$V$11:$AB$64,7,FALSE)),0,IF(VLOOKUP(AD35,$V$11:$AB$64,7,FALSE)="",0,VLOOKUP(AD35,$V$11:$AB$64,7,FALSE)))+AI35*20+AJ35</f>
        <v>0</v>
      </c>
      <c r="AM35" s="31"/>
      <c r="AO35" s="612"/>
      <c r="AP35" s="612"/>
      <c r="AR35" s="2937">
        <v>37</v>
      </c>
      <c r="AS35" s="1872" t="str">
        <f t="shared" si="0"/>
        <v/>
      </c>
    </row>
    <row r="36" spans="1:45" ht="12" customHeight="1" thickBot="1" x14ac:dyDescent="0.25">
      <c r="A36" s="31"/>
      <c r="B36" s="513"/>
      <c r="C36" s="5105"/>
      <c r="D36" s="5106"/>
      <c r="E36" s="5107"/>
      <c r="F36" s="5111"/>
      <c r="G36" s="5112"/>
      <c r="H36" s="5112"/>
      <c r="I36" s="5112"/>
      <c r="J36" s="5112"/>
      <c r="K36" s="5112"/>
      <c r="L36" s="5112"/>
      <c r="M36" s="5112"/>
      <c r="N36" s="5112"/>
      <c r="O36" s="5112"/>
      <c r="P36" s="5112"/>
      <c r="Q36" s="5113"/>
      <c r="R36" s="39"/>
      <c r="S36" s="31"/>
      <c r="T36" s="31"/>
      <c r="U36" s="714"/>
      <c r="V36" s="5058" t="str">
        <f>IF(V35=0,"",VLOOKUP(V35,Tabla_PoderesPsi,2,FALSE))</f>
        <v/>
      </c>
      <c r="W36" s="5059"/>
      <c r="X36" s="5059"/>
      <c r="Y36" s="1797" t="s">
        <v>1328</v>
      </c>
      <c r="Z36" s="1798" t="str">
        <f>IF(V35=0,"",VLOOKUP(V35,Tabla_PoderesPsi,3,FALSE))</f>
        <v/>
      </c>
      <c r="AA36" s="5048"/>
      <c r="AB36" s="5020"/>
      <c r="AC36" s="85"/>
      <c r="AD36" s="5037" t="str">
        <f>IF(AD35=0,"",VLOOKUP(AD35,Tabla_PoderesPsi,2,FALSE))</f>
        <v/>
      </c>
      <c r="AE36" s="5038"/>
      <c r="AF36" s="5038"/>
      <c r="AG36" s="2176" t="s">
        <v>1328</v>
      </c>
      <c r="AH36" s="2177" t="str">
        <f>IF(AD35=0,"",VLOOKUP(AD35,Tabla_PoderesPsi,3,FALSE))</f>
        <v/>
      </c>
      <c r="AI36" s="5030"/>
      <c r="AJ36" s="4997"/>
      <c r="AK36" s="5000"/>
      <c r="AL36" s="4993"/>
      <c r="AM36" s="31"/>
      <c r="AO36" s="612"/>
      <c r="AP36" s="612"/>
      <c r="AR36" s="2937">
        <v>39</v>
      </c>
      <c r="AS36" s="1872" t="str">
        <f t="shared" si="0"/>
        <v/>
      </c>
    </row>
    <row r="37" spans="1:45" ht="12" customHeight="1" thickBot="1" x14ac:dyDescent="0.25">
      <c r="A37" s="31"/>
      <c r="B37" s="513"/>
      <c r="R37" s="39"/>
      <c r="S37" s="31"/>
      <c r="T37" s="31"/>
      <c r="U37" s="714">
        <f>IF(V37=0,0,1)</f>
        <v>0</v>
      </c>
      <c r="V37" s="5075"/>
      <c r="W37" s="5076"/>
      <c r="X37" s="5076"/>
      <c r="Y37" s="5076"/>
      <c r="Z37" s="5077"/>
      <c r="AA37" s="5078"/>
      <c r="AB37" s="5080" t="str">
        <f>IF(AA37=0,"",IF(AA37*10&lt;100,AA37*10,100))</f>
        <v/>
      </c>
      <c r="AC37" s="80"/>
      <c r="AD37" s="5021"/>
      <c r="AE37" s="5022"/>
      <c r="AF37" s="5022"/>
      <c r="AG37" s="5022"/>
      <c r="AH37" s="5023"/>
      <c r="AI37" s="5029"/>
      <c r="AJ37" s="4996"/>
      <c r="AK37" s="4999" t="str">
        <f>IF(AD37&lt;&gt;"",INDEX(Tablas!$U$26:$U$38,MAX(MATCH(VLOOKUP(Psíquicos!$AD37,'Tablas psiquica'!$U$7:$AH$110,2,FALSE),Tablas!$U$26:$U$38,0),MAX(SUMPRODUCT(--(Tablas!$T$26:$T$38&lt;=(AL37-20*AI37)))+IF(Tablas!$G$454&gt;0,1,0)+IF(COUNTIF($C$39:$E$50,"Introversión")&gt;0,1,0),SUMPRODUCT(--(Tablas!$T$26:$T$38&lt;=(AL37)))))),"")</f>
        <v/>
      </c>
      <c r="AL37" s="4993">
        <f t="shared" ref="AL37" si="10">$H$11+IF(ISNA(VLOOKUP(AD37,$V$11:$AB$64,7,FALSE)),0,IF(VLOOKUP(AD37,$V$11:$AB$64,7,FALSE)="",0,VLOOKUP(AD37,$V$11:$AB$64,7,FALSE)))+AI37*20+AJ37</f>
        <v>0</v>
      </c>
      <c r="AM37" s="31"/>
      <c r="AO37" s="612"/>
      <c r="AP37" s="612"/>
      <c r="AR37" s="2937">
        <v>41</v>
      </c>
      <c r="AS37" s="1872" t="str">
        <f t="shared" si="0"/>
        <v/>
      </c>
    </row>
    <row r="38" spans="1:45" ht="12" customHeight="1" x14ac:dyDescent="0.2">
      <c r="A38" s="31"/>
      <c r="B38" s="513"/>
      <c r="C38" s="3156" t="s">
        <v>1527</v>
      </c>
      <c r="D38" s="3157"/>
      <c r="E38" s="3157"/>
      <c r="F38" s="5084" t="s">
        <v>1818</v>
      </c>
      <c r="G38" s="5084"/>
      <c r="H38" s="5084"/>
      <c r="I38" s="5084"/>
      <c r="J38" s="5084"/>
      <c r="K38" s="5084"/>
      <c r="L38" s="5084"/>
      <c r="M38" s="5084"/>
      <c r="N38" s="5084"/>
      <c r="O38" s="5084"/>
      <c r="P38" s="5084"/>
      <c r="Q38" s="5085"/>
      <c r="R38" s="39"/>
      <c r="S38" s="31"/>
      <c r="T38" s="31"/>
      <c r="U38" s="714"/>
      <c r="V38" s="5082" t="str">
        <f>IF(V37=0,"",VLOOKUP(V37,Tabla_PoderesPsi,2,FALSE))</f>
        <v/>
      </c>
      <c r="W38" s="5083"/>
      <c r="X38" s="5083"/>
      <c r="Y38" s="1908" t="s">
        <v>1328</v>
      </c>
      <c r="Z38" s="1909" t="str">
        <f>IF(V37=0,"",VLOOKUP(V37,Tabla_PoderesPsi,3,FALSE))</f>
        <v/>
      </c>
      <c r="AA38" s="5079"/>
      <c r="AB38" s="5081"/>
      <c r="AC38" s="94"/>
      <c r="AD38" s="5037" t="str">
        <f>IF(AD37=0,"",VLOOKUP(AD37,Tabla_PoderesPsi,2,FALSE))</f>
        <v/>
      </c>
      <c r="AE38" s="5038"/>
      <c r="AF38" s="5038"/>
      <c r="AG38" s="2176" t="s">
        <v>1328</v>
      </c>
      <c r="AH38" s="2177" t="str">
        <f>IF(AD37=0,"",VLOOKUP(AD37,Tabla_PoderesPsi,3,FALSE))</f>
        <v/>
      </c>
      <c r="AI38" s="5030"/>
      <c r="AJ38" s="4997"/>
      <c r="AK38" s="5000"/>
      <c r="AL38" s="4993"/>
      <c r="AM38" s="31"/>
      <c r="AO38" s="612"/>
      <c r="AP38" s="612"/>
      <c r="AR38" s="2937">
        <v>43</v>
      </c>
      <c r="AS38" s="1872" t="str">
        <f t="shared" si="0"/>
        <v/>
      </c>
    </row>
    <row r="39" spans="1:45" ht="12" customHeight="1" x14ac:dyDescent="0.2">
      <c r="A39" s="31"/>
      <c r="B39" s="513"/>
      <c r="C39" s="5114" t="str">
        <f>IF(PDs!E111=0,"",PDs!E111)</f>
        <v/>
      </c>
      <c r="D39" s="5115"/>
      <c r="E39" s="5116"/>
      <c r="F39" s="5120" t="str">
        <f>IF(C39="","",VLOOKUP(C39,Tablas!$D$1120:$R$1135,15,FALSE))</f>
        <v/>
      </c>
      <c r="G39" s="5120"/>
      <c r="H39" s="5120"/>
      <c r="I39" s="5120"/>
      <c r="J39" s="5120"/>
      <c r="K39" s="5120"/>
      <c r="L39" s="5120"/>
      <c r="M39" s="5120"/>
      <c r="N39" s="5120"/>
      <c r="O39" s="5120"/>
      <c r="P39" s="5120"/>
      <c r="Q39" s="5121"/>
      <c r="R39" s="39"/>
      <c r="S39" s="31"/>
      <c r="T39" s="31"/>
      <c r="U39" s="714">
        <f>IF(V39=0,0,1)</f>
        <v>0</v>
      </c>
      <c r="V39" s="5055"/>
      <c r="W39" s="5056"/>
      <c r="X39" s="5056"/>
      <c r="Y39" s="5056"/>
      <c r="Z39" s="5057"/>
      <c r="AA39" s="5048"/>
      <c r="AB39" s="5020" t="str">
        <f>IF(AA39=0,"",IF(AA39*10&lt;100,AA39*10,100))</f>
        <v/>
      </c>
      <c r="AC39" s="85"/>
      <c r="AD39" s="5021"/>
      <c r="AE39" s="5022"/>
      <c r="AF39" s="5022"/>
      <c r="AG39" s="5022"/>
      <c r="AH39" s="5023"/>
      <c r="AI39" s="5029"/>
      <c r="AJ39" s="4996"/>
      <c r="AK39" s="4999" t="str">
        <f>IF(AD39&lt;&gt;"",INDEX(Tablas!$U$26:$U$38,MAX(MATCH(VLOOKUP(Psíquicos!$AD39,'Tablas psiquica'!$U$7:$AH$110,2,FALSE),Tablas!$U$26:$U$38,0),MAX(SUMPRODUCT(--(Tablas!$T$26:$T$38&lt;=(AL39-20*AI39)))+IF(Tablas!$G$454&gt;0,1,0)+IF(COUNTIF($C$39:$E$50,"Introversión")&gt;0,1,0),SUMPRODUCT(--(Tablas!$T$26:$T$38&lt;=(AL39)))))),"")</f>
        <v/>
      </c>
      <c r="AL39" s="4993">
        <f t="shared" ref="AL39" si="11">$H$11+IF(ISNA(VLOOKUP(AD39,$V$11:$AB$64,7,FALSE)),0,IF(VLOOKUP(AD39,$V$11:$AB$64,7,FALSE)="",0,VLOOKUP(AD39,$V$11:$AB$64,7,FALSE)))+AI39*20+AJ39</f>
        <v>0</v>
      </c>
      <c r="AM39" s="31"/>
      <c r="AO39" s="612"/>
      <c r="AP39" s="612"/>
      <c r="AR39" s="2937">
        <v>45</v>
      </c>
      <c r="AS39" s="1872" t="str">
        <f t="shared" si="0"/>
        <v/>
      </c>
    </row>
    <row r="40" spans="1:45" ht="12" customHeight="1" x14ac:dyDescent="0.2">
      <c r="A40" s="31"/>
      <c r="B40" s="513"/>
      <c r="C40" s="5117"/>
      <c r="D40" s="5118"/>
      <c r="E40" s="5119"/>
      <c r="F40" s="3731" t="str">
        <f>IF(C39="","",VLOOKUP(C39,Tablas!$D$1120:$R$1135,7,FALSE))</f>
        <v/>
      </c>
      <c r="G40" s="3731"/>
      <c r="H40" s="3731"/>
      <c r="I40" s="3731"/>
      <c r="J40" s="3731"/>
      <c r="K40" s="3731"/>
      <c r="L40" s="3731"/>
      <c r="M40" s="3731"/>
      <c r="N40" s="3731"/>
      <c r="O40" s="3731"/>
      <c r="P40" s="3731"/>
      <c r="Q40" s="5122"/>
      <c r="R40" s="39"/>
      <c r="S40" s="31"/>
      <c r="T40" s="31"/>
      <c r="U40" s="714"/>
      <c r="V40" s="5058" t="str">
        <f>IF(V39=0,"",VLOOKUP(V39,Tabla_PoderesPsi,2,FALSE))</f>
        <v/>
      </c>
      <c r="W40" s="5059"/>
      <c r="X40" s="5059"/>
      <c r="Y40" s="1797" t="s">
        <v>1328</v>
      </c>
      <c r="Z40" s="1798" t="str">
        <f>IF(V39=0,"",VLOOKUP(V39,Tabla_PoderesPsi,3,FALSE))</f>
        <v/>
      </c>
      <c r="AA40" s="5048"/>
      <c r="AB40" s="5020"/>
      <c r="AC40" s="85"/>
      <c r="AD40" s="5037" t="str">
        <f>IF(AD39=0,"",VLOOKUP(AD39,Tabla_PoderesPsi,2,FALSE))</f>
        <v/>
      </c>
      <c r="AE40" s="5038"/>
      <c r="AF40" s="5038"/>
      <c r="AG40" s="2176" t="s">
        <v>1328</v>
      </c>
      <c r="AH40" s="2177" t="str">
        <f>IF(AD39=0,"",VLOOKUP(AD39,Tabla_PoderesPsi,3,FALSE))</f>
        <v/>
      </c>
      <c r="AI40" s="5030"/>
      <c r="AJ40" s="4997"/>
      <c r="AK40" s="5000"/>
      <c r="AL40" s="4993"/>
      <c r="AM40" s="31"/>
      <c r="AO40" s="612"/>
      <c r="AP40" s="612"/>
      <c r="AR40" s="2937">
        <v>47</v>
      </c>
      <c r="AS40" s="1872" t="str">
        <f t="shared" si="0"/>
        <v/>
      </c>
    </row>
    <row r="41" spans="1:45" ht="12" customHeight="1" x14ac:dyDescent="0.2">
      <c r="A41" s="31"/>
      <c r="B41" s="513"/>
      <c r="C41" s="5123" t="str">
        <f>IF(PDs!E112=0,"",PDs!E112)</f>
        <v/>
      </c>
      <c r="D41" s="5124"/>
      <c r="E41" s="5125"/>
      <c r="F41" s="5099" t="str">
        <f>IF(C41="","",VLOOKUP(C41,Tablas!$D$1120:$R$1135,15,FALSE))</f>
        <v/>
      </c>
      <c r="G41" s="5099"/>
      <c r="H41" s="5099"/>
      <c r="I41" s="5099"/>
      <c r="J41" s="5099"/>
      <c r="K41" s="5099"/>
      <c r="L41" s="5099"/>
      <c r="M41" s="5099"/>
      <c r="N41" s="5099"/>
      <c r="O41" s="5099"/>
      <c r="P41" s="5099"/>
      <c r="Q41" s="5129"/>
      <c r="R41" s="39"/>
      <c r="S41" s="31"/>
      <c r="T41" s="31"/>
      <c r="U41" s="714">
        <f>IF(V41=0,0,1)</f>
        <v>0</v>
      </c>
      <c r="V41" s="5130"/>
      <c r="W41" s="5131"/>
      <c r="X41" s="5131"/>
      <c r="Y41" s="5131"/>
      <c r="Z41" s="5132"/>
      <c r="AA41" s="5078"/>
      <c r="AB41" s="5080" t="str">
        <f>IF(AA41=0,"",IF(AA41*10&lt;100,AA41*10,100))</f>
        <v/>
      </c>
      <c r="AC41" s="95"/>
      <c r="AD41" s="5021"/>
      <c r="AE41" s="5022"/>
      <c r="AF41" s="5022"/>
      <c r="AG41" s="5022"/>
      <c r="AH41" s="5023"/>
      <c r="AI41" s="5029"/>
      <c r="AJ41" s="4996"/>
      <c r="AK41" s="4999" t="str">
        <f>IF(AD41&lt;&gt;"",INDEX(Tablas!$U$26:$U$38,MAX(MATCH(VLOOKUP(Psíquicos!$AD41,'Tablas psiquica'!$U$7:$AH$110,2,FALSE),Tablas!$U$26:$U$38,0),MAX(SUMPRODUCT(--(Tablas!$T$26:$T$38&lt;=(AL41-20*AI41)))+IF(Tablas!$G$454&gt;0,1,0)+IF(COUNTIF($C$39:$E$50,"Introversión")&gt;0,1,0),SUMPRODUCT(--(Tablas!$T$26:$T$38&lt;=(AL41)))))),"")</f>
        <v/>
      </c>
      <c r="AL41" s="4993">
        <f t="shared" ref="AL41" si="12">$H$11+IF(ISNA(VLOOKUP(AD41,$V$11:$AB$64,7,FALSE)),0,IF(VLOOKUP(AD41,$V$11:$AB$64,7,FALSE)="",0,VLOOKUP(AD41,$V$11:$AB$64,7,FALSE)))+AI41*20+AJ41</f>
        <v>0</v>
      </c>
      <c r="AM41" s="31"/>
      <c r="AO41" s="612"/>
      <c r="AP41" s="612"/>
      <c r="AR41" s="2937">
        <v>49</v>
      </c>
      <c r="AS41" s="1872" t="str">
        <f t="shared" si="0"/>
        <v/>
      </c>
    </row>
    <row r="42" spans="1:45" ht="12" customHeight="1" x14ac:dyDescent="0.2">
      <c r="A42" s="31"/>
      <c r="B42" s="513"/>
      <c r="C42" s="5126"/>
      <c r="D42" s="5127"/>
      <c r="E42" s="5128"/>
      <c r="F42" s="5099" t="str">
        <f>IF(C41="","",VLOOKUP(C41,Tablas!$D$1120:$R$1135,7,FALSE))</f>
        <v/>
      </c>
      <c r="G42" s="5099"/>
      <c r="H42" s="5099"/>
      <c r="I42" s="5099"/>
      <c r="J42" s="5099"/>
      <c r="K42" s="5099"/>
      <c r="L42" s="5099"/>
      <c r="M42" s="5099"/>
      <c r="N42" s="5099"/>
      <c r="O42" s="5099"/>
      <c r="P42" s="5099"/>
      <c r="Q42" s="5129"/>
      <c r="R42" s="39"/>
      <c r="S42" s="31"/>
      <c r="T42" s="31"/>
      <c r="U42" s="714"/>
      <c r="V42" s="5133" t="str">
        <f>IF(V41=0,"",VLOOKUP(V41,Tabla_PoderesPsi,2,FALSE))</f>
        <v/>
      </c>
      <c r="W42" s="5134"/>
      <c r="X42" s="5134"/>
      <c r="Y42" s="1908" t="s">
        <v>1328</v>
      </c>
      <c r="Z42" s="1909" t="str">
        <f>IF(V41=0,"",VLOOKUP(V41,Tabla_PoderesPsi,3,FALSE))</f>
        <v/>
      </c>
      <c r="AA42" s="5079"/>
      <c r="AB42" s="5081"/>
      <c r="AC42" s="95"/>
      <c r="AD42" s="5037" t="str">
        <f>IF(AD41=0,"",VLOOKUP(AD41,Tabla_PoderesPsi,2,FALSE))</f>
        <v/>
      </c>
      <c r="AE42" s="5038"/>
      <c r="AF42" s="5038"/>
      <c r="AG42" s="2176" t="s">
        <v>1328</v>
      </c>
      <c r="AH42" s="2177" t="str">
        <f>IF(AD41=0,"",VLOOKUP(AD41,Tabla_PoderesPsi,3,FALSE))</f>
        <v/>
      </c>
      <c r="AI42" s="5030"/>
      <c r="AJ42" s="4997"/>
      <c r="AK42" s="5000"/>
      <c r="AL42" s="4993"/>
      <c r="AM42" s="31"/>
      <c r="AO42" s="612"/>
      <c r="AP42" s="612"/>
      <c r="AR42" s="2937">
        <v>51</v>
      </c>
      <c r="AS42" s="1872" t="str">
        <f t="shared" si="0"/>
        <v/>
      </c>
    </row>
    <row r="43" spans="1:45" ht="12" customHeight="1" x14ac:dyDescent="0.2">
      <c r="A43" s="31"/>
      <c r="B43" s="513"/>
      <c r="C43" s="5137" t="str">
        <f>IF(PDs!E113=0,"",PDs!E113)</f>
        <v/>
      </c>
      <c r="D43" s="5138"/>
      <c r="E43" s="5139"/>
      <c r="F43" s="3731" t="str">
        <f>IF(C43="","",VLOOKUP(C43,Tablas!$D$1120:$R$1135,15,FALSE))</f>
        <v/>
      </c>
      <c r="G43" s="3731"/>
      <c r="H43" s="3731"/>
      <c r="I43" s="3731"/>
      <c r="J43" s="3731"/>
      <c r="K43" s="3731"/>
      <c r="L43" s="3731"/>
      <c r="M43" s="3731"/>
      <c r="N43" s="3731"/>
      <c r="O43" s="3731"/>
      <c r="P43" s="3731"/>
      <c r="Q43" s="5122"/>
      <c r="R43" s="39"/>
      <c r="S43" s="31"/>
      <c r="T43" s="31"/>
      <c r="U43" s="714">
        <f>IF(V43=0,0,1)</f>
        <v>0</v>
      </c>
      <c r="V43" s="5055"/>
      <c r="W43" s="5056"/>
      <c r="X43" s="5056"/>
      <c r="Y43" s="5056"/>
      <c r="Z43" s="5057"/>
      <c r="AA43" s="5048"/>
      <c r="AB43" s="5020" t="str">
        <f>IF(AA43=0,"",IF(AA43*10&lt;100,AA43*10,100))</f>
        <v/>
      </c>
      <c r="AD43" s="5021"/>
      <c r="AE43" s="5022"/>
      <c r="AF43" s="5022"/>
      <c r="AG43" s="5022"/>
      <c r="AH43" s="5023"/>
      <c r="AI43" s="5029"/>
      <c r="AJ43" s="4996"/>
      <c r="AK43" s="4999" t="str">
        <f>IF(AD43&lt;&gt;"",INDEX(Tablas!$U$26:$U$38,MAX(MATCH(VLOOKUP(Psíquicos!$AD43,'Tablas psiquica'!$U$7:$AH$110,2,FALSE),Tablas!$U$26:$U$38,0),MAX(SUMPRODUCT(--(Tablas!$T$26:$T$38&lt;=(AL43-20*AI43)))+IF(Tablas!$G$454&gt;0,1,0)+IF(COUNTIF($C$39:$E$50,"Introversión")&gt;0,1,0),SUMPRODUCT(--(Tablas!$T$26:$T$38&lt;=(AL43)))))),"")</f>
        <v/>
      </c>
      <c r="AL43" s="4993">
        <f t="shared" ref="AL43" si="13">$H$11+IF(ISNA(VLOOKUP(AD43,$V$11:$AB$64,7,FALSE)),0,IF(VLOOKUP(AD43,$V$11:$AB$64,7,FALSE)="",0,VLOOKUP(AD43,$V$11:$AB$64,7,FALSE)))+AI43*20+AJ43</f>
        <v>0</v>
      </c>
      <c r="AM43" s="31"/>
      <c r="AO43" s="612"/>
      <c r="AP43" s="612"/>
      <c r="AR43" s="2937">
        <v>53</v>
      </c>
      <c r="AS43" s="1872" t="str">
        <f>IF(INDEX($V$11:$Z$64,AR43,1)=0,"",INDEX($V$11:$Z$64,AR43,1))</f>
        <v/>
      </c>
    </row>
    <row r="44" spans="1:45" ht="12" customHeight="1" x14ac:dyDescent="0.2">
      <c r="A44" s="31"/>
      <c r="B44" s="513"/>
      <c r="C44" s="5117"/>
      <c r="D44" s="5118"/>
      <c r="E44" s="5119"/>
      <c r="F44" s="3731" t="str">
        <f>IF(C43="","",VLOOKUP(C43,Tablas!$D$1120:$R$1135,7,FALSE))</f>
        <v/>
      </c>
      <c r="G44" s="3731"/>
      <c r="H44" s="3731"/>
      <c r="I44" s="3731"/>
      <c r="J44" s="3731"/>
      <c r="K44" s="3731"/>
      <c r="L44" s="3731"/>
      <c r="M44" s="3731"/>
      <c r="N44" s="3731"/>
      <c r="O44" s="3731"/>
      <c r="P44" s="3731"/>
      <c r="Q44" s="5122"/>
      <c r="R44" s="39"/>
      <c r="S44" s="31"/>
      <c r="T44" s="31"/>
      <c r="U44" s="714"/>
      <c r="V44" s="5058" t="str">
        <f>IF(V43=0,"",VLOOKUP(V43,Tabla_PoderesPsi,2,FALSE))</f>
        <v/>
      </c>
      <c r="W44" s="5059"/>
      <c r="X44" s="5059"/>
      <c r="Y44" s="1797" t="s">
        <v>1328</v>
      </c>
      <c r="Z44" s="1798" t="str">
        <f>IF(V43=0,"",VLOOKUP(V43,Tabla_PoderesPsi,3,FALSE))</f>
        <v/>
      </c>
      <c r="AA44" s="5048"/>
      <c r="AB44" s="5020"/>
      <c r="AD44" s="5037" t="str">
        <f>IF(AD43=0,"",VLOOKUP(AD43,Tabla_PoderesPsi,2,FALSE))</f>
        <v/>
      </c>
      <c r="AE44" s="5038"/>
      <c r="AF44" s="5038"/>
      <c r="AG44" s="2176" t="s">
        <v>1328</v>
      </c>
      <c r="AH44" s="2177" t="str">
        <f>IF(AD43=0,"",VLOOKUP(AD43,Tabla_PoderesPsi,3,FALSE))</f>
        <v/>
      </c>
      <c r="AI44" s="5030"/>
      <c r="AJ44" s="4997"/>
      <c r="AK44" s="5000"/>
      <c r="AL44" s="4993"/>
      <c r="AM44" s="31"/>
      <c r="AO44" s="612"/>
      <c r="AP44" s="612"/>
      <c r="AR44" s="1872"/>
      <c r="AS44" s="1872"/>
    </row>
    <row r="45" spans="1:45" ht="12" customHeight="1" x14ac:dyDescent="0.2">
      <c r="A45" s="31"/>
      <c r="B45" s="513"/>
      <c r="C45" s="5123" t="str">
        <f>IF(PDs!E114=0,"",PDs!E114)</f>
        <v/>
      </c>
      <c r="D45" s="5124"/>
      <c r="E45" s="5125"/>
      <c r="F45" s="5099" t="str">
        <f>IF(C45="","",VLOOKUP(C45,Tablas!$D$1120:$R$1135,15,FALSE))</f>
        <v/>
      </c>
      <c r="G45" s="5099"/>
      <c r="H45" s="5099"/>
      <c r="I45" s="5099"/>
      <c r="J45" s="5099"/>
      <c r="K45" s="5099"/>
      <c r="L45" s="5099"/>
      <c r="M45" s="5099"/>
      <c r="N45" s="5099"/>
      <c r="O45" s="5099"/>
      <c r="P45" s="5099"/>
      <c r="Q45" s="5129"/>
      <c r="R45" s="39"/>
      <c r="S45" s="31"/>
      <c r="T45" s="31"/>
      <c r="U45" s="714">
        <f>IF(V45=0,0,1)</f>
        <v>0</v>
      </c>
      <c r="V45" s="5075"/>
      <c r="W45" s="5076"/>
      <c r="X45" s="5076"/>
      <c r="Y45" s="5076"/>
      <c r="Z45" s="5077"/>
      <c r="AA45" s="5078"/>
      <c r="AB45" s="5080" t="str">
        <f>IF(AA45=0,"",IF(AA45*10&lt;100,AA45*10,100))</f>
        <v/>
      </c>
      <c r="AD45" s="5021"/>
      <c r="AE45" s="5022"/>
      <c r="AF45" s="5022"/>
      <c r="AG45" s="5022"/>
      <c r="AH45" s="5023"/>
      <c r="AI45" s="5029"/>
      <c r="AJ45" s="4996"/>
      <c r="AK45" s="4999" t="str">
        <f>IF(AD45&lt;&gt;"",INDEX(Tablas!$U$26:$U$38,MAX(MATCH(VLOOKUP(Psíquicos!$AD45,'Tablas psiquica'!$U$7:$AH$110,2,FALSE),Tablas!$U$26:$U$38,0),MAX(SUMPRODUCT(--(Tablas!$T$26:$T$38&lt;=(AL45-20*AI45)))+IF(Tablas!$G$454&gt;0,1,0)+IF(COUNTIF($C$39:$E$50,"Introversión")&gt;0,1,0),SUMPRODUCT(--(Tablas!$T$26:$T$38&lt;=(AL45)))))),"")</f>
        <v/>
      </c>
      <c r="AL45" s="4993">
        <f t="shared" ref="AL45" si="14">$H$11+IF(ISNA(VLOOKUP(AD45,$V$11:$AB$64,7,FALSE)),0,IF(VLOOKUP(AD45,$V$11:$AB$64,7,FALSE)="",0,VLOOKUP(AD45,$V$11:$AB$64,7,FALSE)))+AI45*20+AJ45</f>
        <v>0</v>
      </c>
      <c r="AM45" s="31"/>
      <c r="AO45" s="612"/>
      <c r="AP45" s="612"/>
      <c r="AR45" s="1872"/>
      <c r="AS45" s="1872"/>
    </row>
    <row r="46" spans="1:45" ht="12" customHeight="1" x14ac:dyDescent="0.2">
      <c r="A46" s="31"/>
      <c r="B46" s="513"/>
      <c r="C46" s="5126"/>
      <c r="D46" s="5127"/>
      <c r="E46" s="5128"/>
      <c r="F46" s="5099" t="str">
        <f>IF(C45="","",VLOOKUP(C45,Tablas!$D$1120:$R$1135,7,FALSE))</f>
        <v/>
      </c>
      <c r="G46" s="5099"/>
      <c r="H46" s="5099"/>
      <c r="I46" s="5099"/>
      <c r="J46" s="5099"/>
      <c r="K46" s="5099"/>
      <c r="L46" s="5099"/>
      <c r="M46" s="5099"/>
      <c r="N46" s="5099"/>
      <c r="O46" s="5099"/>
      <c r="P46" s="5099"/>
      <c r="Q46" s="5129"/>
      <c r="R46" s="39"/>
      <c r="S46" s="31"/>
      <c r="T46" s="31"/>
      <c r="U46" s="714"/>
      <c r="V46" s="5082" t="str">
        <f>IF(V45=0,"",VLOOKUP(V45,Tabla_PoderesPsi,2,FALSE))</f>
        <v/>
      </c>
      <c r="W46" s="5083"/>
      <c r="X46" s="5083"/>
      <c r="Y46" s="1908" t="s">
        <v>1328</v>
      </c>
      <c r="Z46" s="1909" t="str">
        <f>IF(V45=0,"",VLOOKUP(V45,Tabla_PoderesPsi,3,FALSE))</f>
        <v/>
      </c>
      <c r="AA46" s="5079"/>
      <c r="AB46" s="5081"/>
      <c r="AD46" s="5037" t="str">
        <f>IF(AD45=0,"",VLOOKUP(AD45,Tabla_PoderesPsi,2,FALSE))</f>
        <v/>
      </c>
      <c r="AE46" s="5038"/>
      <c r="AF46" s="5038"/>
      <c r="AG46" s="2176" t="s">
        <v>1328</v>
      </c>
      <c r="AH46" s="2177" t="str">
        <f>IF(AD45=0,"",VLOOKUP(AD45,Tabla_PoderesPsi,3,FALSE))</f>
        <v/>
      </c>
      <c r="AI46" s="5030"/>
      <c r="AJ46" s="4997"/>
      <c r="AK46" s="5000"/>
      <c r="AL46" s="4993"/>
      <c r="AM46" s="31"/>
      <c r="AO46" s="612"/>
      <c r="AP46" s="612"/>
      <c r="AR46" s="1872"/>
      <c r="AS46" s="1872"/>
    </row>
    <row r="47" spans="1:45" ht="12" customHeight="1" x14ac:dyDescent="0.2">
      <c r="A47" s="31"/>
      <c r="B47" s="513"/>
      <c r="C47" s="5137" t="str">
        <f>IF(PDs!E115=0,"",PDs!E115)</f>
        <v/>
      </c>
      <c r="D47" s="5138"/>
      <c r="E47" s="5139"/>
      <c r="F47" s="3731" t="str">
        <f>IF(C47="","",VLOOKUP(C47,Tablas!$D$1120:$R$1135,15,FALSE))</f>
        <v/>
      </c>
      <c r="G47" s="3731"/>
      <c r="H47" s="3731"/>
      <c r="I47" s="3731"/>
      <c r="J47" s="3731"/>
      <c r="K47" s="3731"/>
      <c r="L47" s="3731"/>
      <c r="M47" s="3731"/>
      <c r="N47" s="3731"/>
      <c r="O47" s="3731"/>
      <c r="P47" s="3731"/>
      <c r="Q47" s="5122"/>
      <c r="R47" s="39"/>
      <c r="S47" s="31"/>
      <c r="T47" s="31"/>
      <c r="U47" s="714">
        <f>IF(V47=0,0,1)</f>
        <v>0</v>
      </c>
      <c r="V47" s="5055"/>
      <c r="W47" s="5056"/>
      <c r="X47" s="5056"/>
      <c r="Y47" s="5056"/>
      <c r="Z47" s="5057"/>
      <c r="AA47" s="5048"/>
      <c r="AB47" s="5020" t="str">
        <f>IF(AA47=0,"",IF(AA47*10&lt;100,AA47*10,100))</f>
        <v/>
      </c>
      <c r="AD47" s="5021"/>
      <c r="AE47" s="5022"/>
      <c r="AF47" s="5022"/>
      <c r="AG47" s="5022"/>
      <c r="AH47" s="5023"/>
      <c r="AI47" s="5029"/>
      <c r="AJ47" s="4996"/>
      <c r="AK47" s="4999" t="str">
        <f>IF(AD47&lt;&gt;"",INDEX(Tablas!$U$26:$U$38,MAX(MATCH(VLOOKUP(Psíquicos!$AD47,'Tablas psiquica'!$U$7:$AH$110,2,FALSE),Tablas!$U$26:$U$38,0),MAX(SUMPRODUCT(--(Tablas!$T$26:$T$38&lt;=(AL47-20*AI47)))+IF(Tablas!$G$454&gt;0,1,0)+IF(COUNTIF($C$39:$E$50,"Introversión")&gt;0,1,0),SUMPRODUCT(--(Tablas!$T$26:$T$38&lt;=(AL47)))))),"")</f>
        <v/>
      </c>
      <c r="AL47" s="4993">
        <f t="shared" ref="AL47" si="15">$H$11+IF(ISNA(VLOOKUP(AD47,$V$11:$AB$64,7,FALSE)),0,IF(VLOOKUP(AD47,$V$11:$AB$64,7,FALSE)="",0,VLOOKUP(AD47,$V$11:$AB$64,7,FALSE)))+AI47*20+AJ47</f>
        <v>0</v>
      </c>
      <c r="AM47" s="31"/>
      <c r="AO47" s="612"/>
      <c r="AP47" s="612"/>
      <c r="AR47" s="1872"/>
      <c r="AS47" s="1872"/>
    </row>
    <row r="48" spans="1:45" ht="12" customHeight="1" x14ac:dyDescent="0.2">
      <c r="A48" s="31"/>
      <c r="B48" s="513"/>
      <c r="C48" s="5117"/>
      <c r="D48" s="5118"/>
      <c r="E48" s="5119"/>
      <c r="F48" s="3731" t="str">
        <f>IF(C47="","",VLOOKUP(C47,Tablas!$D$1120:$R$1135,7,FALSE))</f>
        <v/>
      </c>
      <c r="G48" s="3731"/>
      <c r="H48" s="3731"/>
      <c r="I48" s="3731"/>
      <c r="J48" s="3731"/>
      <c r="K48" s="3731"/>
      <c r="L48" s="3731"/>
      <c r="M48" s="3731"/>
      <c r="N48" s="3731"/>
      <c r="O48" s="3731"/>
      <c r="P48" s="3731"/>
      <c r="Q48" s="5122"/>
      <c r="R48" s="39"/>
      <c r="S48" s="31"/>
      <c r="T48" s="31"/>
      <c r="U48" s="714"/>
      <c r="V48" s="5058" t="str">
        <f>IF(V47=0,"",VLOOKUP(V47,Tabla_PoderesPsi,2,FALSE))</f>
        <v/>
      </c>
      <c r="W48" s="5059"/>
      <c r="X48" s="5059"/>
      <c r="Y48" s="1797" t="s">
        <v>1328</v>
      </c>
      <c r="Z48" s="1798" t="str">
        <f>IF(V47=0,"",VLOOKUP(V47,Tabla_PoderesPsi,3,FALSE))</f>
        <v/>
      </c>
      <c r="AA48" s="5048"/>
      <c r="AB48" s="5020"/>
      <c r="AD48" s="5037" t="str">
        <f>IF(AD47=0,"",VLOOKUP(AD47,Tabla_PoderesPsi,2,FALSE))</f>
        <v/>
      </c>
      <c r="AE48" s="5038"/>
      <c r="AF48" s="5038"/>
      <c r="AG48" s="2176" t="s">
        <v>1328</v>
      </c>
      <c r="AH48" s="2177" t="str">
        <f>IF(AD47=0,"",VLOOKUP(AD47,Tabla_PoderesPsi,3,FALSE))</f>
        <v/>
      </c>
      <c r="AI48" s="5030"/>
      <c r="AJ48" s="4997"/>
      <c r="AK48" s="5000"/>
      <c r="AL48" s="4993"/>
      <c r="AM48" s="31"/>
      <c r="AO48" s="612"/>
      <c r="AP48" s="612"/>
      <c r="AR48" s="1872"/>
      <c r="AS48" s="1872"/>
    </row>
    <row r="49" spans="1:45" ht="12" customHeight="1" x14ac:dyDescent="0.2">
      <c r="A49" s="31"/>
      <c r="B49" s="513"/>
      <c r="C49" s="5123" t="str">
        <f>IF(PDs!E116=0,"",PDs!E116)</f>
        <v/>
      </c>
      <c r="D49" s="5124"/>
      <c r="E49" s="5125"/>
      <c r="F49" s="5099" t="str">
        <f>IF(C49="","",VLOOKUP(C49,Tablas!$D$1120:$R$1135,15,FALSE))</f>
        <v/>
      </c>
      <c r="G49" s="5099"/>
      <c r="H49" s="5099"/>
      <c r="I49" s="5099"/>
      <c r="J49" s="5099"/>
      <c r="K49" s="5099"/>
      <c r="L49" s="5099"/>
      <c r="M49" s="5099"/>
      <c r="N49" s="5099"/>
      <c r="O49" s="5099"/>
      <c r="P49" s="5099"/>
      <c r="Q49" s="5129"/>
      <c r="R49" s="39"/>
      <c r="S49" s="31"/>
      <c r="T49" s="31"/>
      <c r="U49" s="714">
        <f>IF(V49=0,0,1)</f>
        <v>0</v>
      </c>
      <c r="V49" s="5075"/>
      <c r="W49" s="5076"/>
      <c r="X49" s="5076"/>
      <c r="Y49" s="5076"/>
      <c r="Z49" s="5077"/>
      <c r="AA49" s="5078"/>
      <c r="AB49" s="5080" t="str">
        <f>IF(AA49=0,"",IF(AA49*10&lt;100,AA49*10,100))</f>
        <v/>
      </c>
      <c r="AD49" s="5021"/>
      <c r="AE49" s="5022"/>
      <c r="AF49" s="5022"/>
      <c r="AG49" s="5022"/>
      <c r="AH49" s="5023"/>
      <c r="AI49" s="5029"/>
      <c r="AJ49" s="4996"/>
      <c r="AK49" s="4999" t="str">
        <f>IF(AD49&lt;&gt;"",INDEX(Tablas!$U$26:$U$38,MAX(MATCH(VLOOKUP(Psíquicos!$AD49,'Tablas psiquica'!$U$7:$AH$110,2,FALSE),Tablas!$U$26:$U$38,0),MAX(SUMPRODUCT(--(Tablas!$T$26:$T$38&lt;=(AL49-20*AI49)))+IF(Tablas!$G$454&gt;0,1,0)+IF(COUNTIF($C$39:$E$50,"Introversión")&gt;0,1,0),SUMPRODUCT(--(Tablas!$T$26:$T$38&lt;=(AL49)))))),"")</f>
        <v/>
      </c>
      <c r="AL49" s="4993">
        <f t="shared" ref="AL49" si="16">$H$11+IF(ISNA(VLOOKUP(AD49,$V$11:$AB$64,7,FALSE)),0,IF(VLOOKUP(AD49,$V$11:$AB$64,7,FALSE)="",0,VLOOKUP(AD49,$V$11:$AB$64,7,FALSE)))+AI49*20+AJ49</f>
        <v>0</v>
      </c>
      <c r="AM49" s="31"/>
      <c r="AO49" s="612"/>
      <c r="AP49" s="612"/>
      <c r="AR49" s="1872"/>
      <c r="AS49" s="1872"/>
    </row>
    <row r="50" spans="1:45" ht="12" customHeight="1" thickBot="1" x14ac:dyDescent="0.25">
      <c r="A50" s="31"/>
      <c r="B50" s="513"/>
      <c r="C50" s="5142"/>
      <c r="D50" s="5143"/>
      <c r="E50" s="5144"/>
      <c r="F50" s="5111" t="str">
        <f>IF(C49="","",VLOOKUP(C49,Tablas!$D$1120:$R$1135,7,FALSE))</f>
        <v/>
      </c>
      <c r="G50" s="5111"/>
      <c r="H50" s="5111"/>
      <c r="I50" s="5111"/>
      <c r="J50" s="5111"/>
      <c r="K50" s="5111"/>
      <c r="L50" s="5111"/>
      <c r="M50" s="5111"/>
      <c r="N50" s="5111"/>
      <c r="O50" s="5111"/>
      <c r="P50" s="5111"/>
      <c r="Q50" s="5145"/>
      <c r="R50" s="39"/>
      <c r="S50" s="31"/>
      <c r="T50" s="31"/>
      <c r="U50" s="714"/>
      <c r="V50" s="5082" t="str">
        <f>IF(V49=0,"",VLOOKUP(V49,Tabla_PoderesPsi,2,FALSE))</f>
        <v/>
      </c>
      <c r="W50" s="5083"/>
      <c r="X50" s="5083"/>
      <c r="Y50" s="1908" t="s">
        <v>1328</v>
      </c>
      <c r="Z50" s="1909" t="str">
        <f>IF(V49=0,"",VLOOKUP(V49,Tabla_PoderesPsi,3,FALSE))</f>
        <v/>
      </c>
      <c r="AA50" s="5079"/>
      <c r="AB50" s="5081"/>
      <c r="AD50" s="5037" t="str">
        <f>IF(AD49=0,"",VLOOKUP(AD49,Tabla_PoderesPsi,2,FALSE))</f>
        <v/>
      </c>
      <c r="AE50" s="5038"/>
      <c r="AF50" s="5038"/>
      <c r="AG50" s="2176" t="s">
        <v>1328</v>
      </c>
      <c r="AH50" s="2177" t="str">
        <f>IF(AD49=0,"",VLOOKUP(AD49,Tabla_PoderesPsi,3,FALSE))</f>
        <v/>
      </c>
      <c r="AI50" s="5030"/>
      <c r="AJ50" s="4997"/>
      <c r="AK50" s="5000"/>
      <c r="AL50" s="4993"/>
      <c r="AM50" s="31"/>
      <c r="AO50" s="612"/>
      <c r="AP50" s="612"/>
      <c r="AR50" s="1872"/>
      <c r="AS50" s="1872"/>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55"/>
      <c r="W51" s="5056"/>
      <c r="X51" s="5056"/>
      <c r="Y51" s="5056"/>
      <c r="Z51" s="5057"/>
      <c r="AA51" s="5048"/>
      <c r="AB51" s="5020" t="str">
        <f>IF(AA51=0,"",IF(AA51*10&lt;100,AA51*10,100))</f>
        <v/>
      </c>
      <c r="AD51" s="5021"/>
      <c r="AE51" s="5022"/>
      <c r="AF51" s="5022"/>
      <c r="AG51" s="5022"/>
      <c r="AH51" s="5023"/>
      <c r="AI51" s="5029"/>
      <c r="AJ51" s="4996"/>
      <c r="AK51" s="4999" t="str">
        <f>IF(AD51&lt;&gt;"",INDEX(Tablas!$U$26:$U$38,MAX(MATCH(VLOOKUP(Psíquicos!$AD51,'Tablas psiquica'!$U$7:$AH$110,2,FALSE),Tablas!$U$26:$U$38,0),MAX(SUMPRODUCT(--(Tablas!$T$26:$T$38&lt;=(AL51-20*AI51)))+IF(Tablas!$G$454&gt;0,1,0)+IF(COUNTIF($C$39:$E$50,"Introversión")&gt;0,1,0),SUMPRODUCT(--(Tablas!$T$26:$T$38&lt;=(AL51)))))),"")</f>
        <v/>
      </c>
      <c r="AL51" s="4993">
        <f t="shared" ref="AL51" si="17">$H$11+IF(ISNA(VLOOKUP(AD51,$V$11:$AB$64,7,FALSE)),0,IF(VLOOKUP(AD51,$V$11:$AB$64,7,FALSE)="",0,VLOOKUP(AD51,$V$11:$AB$64,7,FALSE)))+AI51*20+AJ51</f>
        <v>0</v>
      </c>
      <c r="AM51" s="31"/>
      <c r="AO51" s="612"/>
      <c r="AP51" s="612"/>
      <c r="AR51" s="1872"/>
      <c r="AS51" s="1872"/>
    </row>
    <row r="52" spans="1:45" ht="12" customHeight="1" thickBot="1" x14ac:dyDescent="0.25">
      <c r="A52" s="31"/>
      <c r="B52" s="714"/>
      <c r="C52" s="3324" t="s">
        <v>9818</v>
      </c>
      <c r="D52" s="3324"/>
      <c r="E52" s="3324"/>
      <c r="F52" s="3324"/>
      <c r="G52" s="3324"/>
      <c r="H52" s="3324"/>
      <c r="J52" s="5140" t="s">
        <v>1724</v>
      </c>
      <c r="K52" s="5140"/>
      <c r="L52" s="5140"/>
      <c r="M52" s="5141" t="s">
        <v>1794</v>
      </c>
      <c r="N52" s="5141"/>
      <c r="O52" s="5141"/>
      <c r="P52" s="5141"/>
      <c r="Q52" s="5141"/>
      <c r="R52" s="42"/>
      <c r="S52" s="177"/>
      <c r="T52" s="177"/>
      <c r="U52" s="714"/>
      <c r="V52" s="5058" t="str">
        <f>IF(V51=0,"",VLOOKUP(V51,Tabla_PoderesPsi,2,FALSE))</f>
        <v/>
      </c>
      <c r="W52" s="5059"/>
      <c r="X52" s="5059"/>
      <c r="Y52" s="1797" t="s">
        <v>1328</v>
      </c>
      <c r="Z52" s="1798" t="str">
        <f>IF(V51=0,"",VLOOKUP(V51,Tabla_PoderesPsi,3,FALSE))</f>
        <v/>
      </c>
      <c r="AA52" s="5048"/>
      <c r="AB52" s="5020"/>
      <c r="AD52" s="5037" t="str">
        <f>IF(AD51=0,"",VLOOKUP(AD51,Tabla_PoderesPsi,2,FALSE))</f>
        <v/>
      </c>
      <c r="AE52" s="5038"/>
      <c r="AF52" s="5038"/>
      <c r="AG52" s="2176" t="s">
        <v>1328</v>
      </c>
      <c r="AH52" s="2177" t="str">
        <f>IF(AD51=0,"",VLOOKUP(AD51,Tabla_PoderesPsi,3,FALSE))</f>
        <v/>
      </c>
      <c r="AI52" s="5030"/>
      <c r="AJ52" s="4997"/>
      <c r="AK52" s="5000"/>
      <c r="AL52" s="4993"/>
      <c r="AM52" s="31"/>
      <c r="AO52" s="612"/>
      <c r="AP52" s="612"/>
      <c r="AR52" s="1872"/>
      <c r="AS52" s="1872"/>
    </row>
    <row r="53" spans="1:45" ht="12" customHeight="1" thickBot="1" x14ac:dyDescent="0.25">
      <c r="A53" s="31"/>
      <c r="B53" s="714"/>
      <c r="C53" s="5136"/>
      <c r="D53" s="5136"/>
      <c r="E53" s="5136"/>
      <c r="F53" s="5136"/>
      <c r="G53" s="5136"/>
      <c r="H53" s="5136"/>
      <c r="J53" s="101">
        <v>20</v>
      </c>
      <c r="K53" s="5135" t="s">
        <v>1727</v>
      </c>
      <c r="L53" s="5135"/>
      <c r="M53" s="5147" t="s">
        <v>1728</v>
      </c>
      <c r="N53" s="5147"/>
      <c r="O53" s="5147"/>
      <c r="P53" s="5147"/>
      <c r="Q53" s="5147"/>
      <c r="R53" s="42"/>
      <c r="S53" s="177"/>
      <c r="T53" s="177"/>
      <c r="U53" s="714">
        <f>IF(V53=0,0,1)</f>
        <v>0</v>
      </c>
      <c r="V53" s="5075"/>
      <c r="W53" s="5076"/>
      <c r="X53" s="5076"/>
      <c r="Y53" s="5076"/>
      <c r="Z53" s="5077"/>
      <c r="AA53" s="5078"/>
      <c r="AB53" s="5080" t="str">
        <f>IF(AA53=0,"",IF(AA53*10&lt;100,AA53*10,100))</f>
        <v/>
      </c>
      <c r="AD53" s="5021"/>
      <c r="AE53" s="5022"/>
      <c r="AF53" s="5022"/>
      <c r="AG53" s="5022"/>
      <c r="AH53" s="5023"/>
      <c r="AI53" s="5029"/>
      <c r="AJ53" s="4996"/>
      <c r="AK53" s="4999" t="str">
        <f>IF(AD53&lt;&gt;"",INDEX(Tablas!$U$26:$U$38,MAX(MATCH(VLOOKUP(Psíquicos!$AD53,'Tablas psiquica'!$U$7:$AH$110,2,FALSE),Tablas!$U$26:$U$38,0),MAX(SUMPRODUCT(--(Tablas!$T$26:$T$38&lt;=(AL53-20*AI53)))+IF(Tablas!$G$454&gt;0,1,0)+IF(COUNTIF($C$39:$E$50,"Introversión")&gt;0,1,0),SUMPRODUCT(--(Tablas!$T$26:$T$38&lt;=(AL53)))))),"")</f>
        <v/>
      </c>
      <c r="AL53" s="4993">
        <f t="shared" ref="AL53" si="18">$H$11+IF(ISNA(VLOOKUP(AD53,$V$11:$AB$64,7,FALSE)),0,IF(VLOOKUP(AD53,$V$11:$AB$64,7,FALSE)="",0,VLOOKUP(AD53,$V$11:$AB$64,7,FALSE)))+AI53*20+AJ53</f>
        <v>0</v>
      </c>
      <c r="AM53" s="31"/>
      <c r="AO53" s="612"/>
      <c r="AP53" s="612"/>
      <c r="AR53" s="1872"/>
      <c r="AS53" s="1872"/>
    </row>
    <row r="54" spans="1:45" ht="12" customHeight="1" thickBot="1" x14ac:dyDescent="0.25">
      <c r="A54" s="31"/>
      <c r="B54" s="714"/>
      <c r="C54" s="5136"/>
      <c r="D54" s="5136"/>
      <c r="E54" s="5136"/>
      <c r="F54" s="5136"/>
      <c r="G54" s="5136"/>
      <c r="H54" s="5136"/>
      <c r="J54" s="101">
        <v>40</v>
      </c>
      <c r="K54" s="5135" t="s">
        <v>1729</v>
      </c>
      <c r="L54" s="5135"/>
      <c r="M54" s="5146" t="s">
        <v>1730</v>
      </c>
      <c r="N54" s="5146"/>
      <c r="O54" s="5146"/>
      <c r="P54" s="5146"/>
      <c r="Q54" s="5146"/>
      <c r="R54" s="42"/>
      <c r="S54" s="177"/>
      <c r="T54" s="177"/>
      <c r="U54" s="714"/>
      <c r="V54" s="5082" t="str">
        <f>IF(V53=0,"",VLOOKUP(V53,Tabla_PoderesPsi,2,FALSE))</f>
        <v/>
      </c>
      <c r="W54" s="5083"/>
      <c r="X54" s="5083"/>
      <c r="Y54" s="1908" t="s">
        <v>1328</v>
      </c>
      <c r="Z54" s="1909" t="str">
        <f>IF(V53=0,"",VLOOKUP(V53,Tabla_PoderesPsi,3,FALSE))</f>
        <v/>
      </c>
      <c r="AA54" s="5079"/>
      <c r="AB54" s="5081"/>
      <c r="AD54" s="5037" t="str">
        <f>IF(AD53=0,"",VLOOKUP(AD53,Tabla_PoderesPsi,2,FALSE))</f>
        <v/>
      </c>
      <c r="AE54" s="5038"/>
      <c r="AF54" s="5038"/>
      <c r="AG54" s="2176" t="s">
        <v>1328</v>
      </c>
      <c r="AH54" s="2177" t="str">
        <f>IF(AD53=0,"",VLOOKUP(AD53,Tabla_PoderesPsi,3,FALSE))</f>
        <v/>
      </c>
      <c r="AI54" s="5030"/>
      <c r="AJ54" s="4997"/>
      <c r="AK54" s="5000"/>
      <c r="AL54" s="4993"/>
      <c r="AM54" s="31"/>
      <c r="AO54" s="612"/>
      <c r="AP54" s="612"/>
      <c r="AQ54" s="612"/>
      <c r="AR54" s="1872"/>
      <c r="AS54" s="1872"/>
    </row>
    <row r="55" spans="1:45" ht="12" customHeight="1" thickBot="1" x14ac:dyDescent="0.25">
      <c r="A55" s="31"/>
      <c r="B55" s="714"/>
      <c r="C55" s="5136"/>
      <c r="D55" s="5136"/>
      <c r="E55" s="5136"/>
      <c r="F55" s="5136"/>
      <c r="G55" s="5136"/>
      <c r="H55" s="5136"/>
      <c r="J55" s="101">
        <v>80</v>
      </c>
      <c r="K55" s="5135" t="s">
        <v>1732</v>
      </c>
      <c r="L55" s="5135"/>
      <c r="M55" s="5146" t="s">
        <v>1733</v>
      </c>
      <c r="N55" s="5146"/>
      <c r="O55" s="5146"/>
      <c r="P55" s="5146"/>
      <c r="Q55" s="5146"/>
      <c r="R55" s="42"/>
      <c r="S55" s="177"/>
      <c r="T55" s="177"/>
      <c r="U55" s="714">
        <f>IF(V55=0,0,1)</f>
        <v>0</v>
      </c>
      <c r="V55" s="5055"/>
      <c r="W55" s="5056"/>
      <c r="X55" s="5056"/>
      <c r="Y55" s="5056"/>
      <c r="Z55" s="5057"/>
      <c r="AA55" s="5048"/>
      <c r="AB55" s="5020" t="str">
        <f>IF(AA55=0,"",IF(AA55*10&lt;100,AA55*10,100))</f>
        <v/>
      </c>
      <c r="AD55" s="5021"/>
      <c r="AE55" s="5022"/>
      <c r="AF55" s="5022"/>
      <c r="AG55" s="5022"/>
      <c r="AH55" s="5023"/>
      <c r="AI55" s="5029"/>
      <c r="AJ55" s="4996"/>
      <c r="AK55" s="4999" t="str">
        <f>IF(AD55&lt;&gt;"",INDEX(Tablas!$U$26:$U$38,MAX(MATCH(VLOOKUP(Psíquicos!$AD55,'Tablas psiquica'!$U$7:$AH$110,2,FALSE),Tablas!$U$26:$U$38,0),MAX(SUMPRODUCT(--(Tablas!$T$26:$T$38&lt;=(AL55-20*AI55)))+IF(Tablas!$G$454&gt;0,1,0)+IF(COUNTIF($C$39:$E$50,"Introversión")&gt;0,1,0),SUMPRODUCT(--(Tablas!$T$26:$T$38&lt;=(AL55)))))),"")</f>
        <v/>
      </c>
      <c r="AL55" s="4993">
        <f t="shared" ref="AL55" si="19">$H$11+IF(ISNA(VLOOKUP(AD55,$V$11:$AB$64,7,FALSE)),0,IF(VLOOKUP(AD55,$V$11:$AB$64,7,FALSE)="",0,VLOOKUP(AD55,$V$11:$AB$64,7,FALSE)))+AI55*20+AJ55</f>
        <v>0</v>
      </c>
      <c r="AM55" s="31"/>
      <c r="AO55" s="612"/>
      <c r="AP55" s="612"/>
      <c r="AQ55" s="612"/>
      <c r="AR55" s="1872"/>
      <c r="AS55" s="1872"/>
    </row>
    <row r="56" spans="1:45" ht="12" customHeight="1" thickBot="1" x14ac:dyDescent="0.25">
      <c r="A56" s="31"/>
      <c r="B56" s="714"/>
      <c r="C56" s="5136"/>
      <c r="D56" s="5136"/>
      <c r="E56" s="5136"/>
      <c r="F56" s="5136"/>
      <c r="G56" s="5136"/>
      <c r="H56" s="5136"/>
      <c r="J56" s="101">
        <v>120</v>
      </c>
      <c r="K56" s="5135" t="s">
        <v>1735</v>
      </c>
      <c r="L56" s="5135"/>
      <c r="M56" s="5146" t="s">
        <v>1819</v>
      </c>
      <c r="N56" s="5146"/>
      <c r="O56" s="5146"/>
      <c r="P56" s="5146"/>
      <c r="Q56" s="5146"/>
      <c r="R56" s="42"/>
      <c r="S56" s="177"/>
      <c r="T56" s="177"/>
      <c r="U56" s="714"/>
      <c r="V56" s="5058" t="str">
        <f>IF(V55=0,"",VLOOKUP(V55,Tabla_PoderesPsi,2,FALSE))</f>
        <v/>
      </c>
      <c r="W56" s="5059"/>
      <c r="X56" s="5059"/>
      <c r="Y56" s="1797" t="s">
        <v>1328</v>
      </c>
      <c r="Z56" s="1798" t="str">
        <f>IF(V55=0,"",VLOOKUP(V55,Tabla_PoderesPsi,3,FALSE))</f>
        <v/>
      </c>
      <c r="AA56" s="5048"/>
      <c r="AB56" s="5020"/>
      <c r="AD56" s="5037" t="str">
        <f>IF(AD55=0,"",VLOOKUP(AD55,Tabla_PoderesPsi,2,FALSE))</f>
        <v/>
      </c>
      <c r="AE56" s="5038"/>
      <c r="AF56" s="5038"/>
      <c r="AG56" s="2176" t="s">
        <v>1328</v>
      </c>
      <c r="AH56" s="2177" t="str">
        <f>IF(AD55=0,"",VLOOKUP(AD55,Tabla_PoderesPsi,3,FALSE))</f>
        <v/>
      </c>
      <c r="AI56" s="5030"/>
      <c r="AJ56" s="4997"/>
      <c r="AK56" s="5000"/>
      <c r="AL56" s="4993"/>
      <c r="AM56" s="31"/>
      <c r="AO56" s="612"/>
      <c r="AP56" s="612"/>
      <c r="AQ56" s="612"/>
      <c r="AR56" s="1872"/>
      <c r="AS56" s="1872"/>
    </row>
    <row r="57" spans="1:45" ht="12" customHeight="1" thickBot="1" x14ac:dyDescent="0.25">
      <c r="A57" s="31"/>
      <c r="B57" s="714"/>
      <c r="C57" s="5136"/>
      <c r="D57" s="5136"/>
      <c r="E57" s="5136"/>
      <c r="F57" s="5136"/>
      <c r="G57" s="5136"/>
      <c r="H57" s="5136"/>
      <c r="J57" s="101">
        <v>140</v>
      </c>
      <c r="K57" s="5135" t="s">
        <v>1737</v>
      </c>
      <c r="L57" s="5135"/>
      <c r="M57" s="5146" t="s">
        <v>1820</v>
      </c>
      <c r="N57" s="5146"/>
      <c r="O57" s="5146"/>
      <c r="P57" s="5146"/>
      <c r="Q57" s="5146"/>
      <c r="R57" s="42"/>
      <c r="S57" s="177"/>
      <c r="T57" s="177"/>
      <c r="U57" s="714">
        <f>IF(V57=0,0,1)</f>
        <v>0</v>
      </c>
      <c r="V57" s="5075"/>
      <c r="W57" s="5076"/>
      <c r="X57" s="5076"/>
      <c r="Y57" s="5076"/>
      <c r="Z57" s="5077"/>
      <c r="AA57" s="5078"/>
      <c r="AB57" s="5080" t="str">
        <f>IF(AA57=0,"",IF(AA57*10&lt;100,AA57*10,100))</f>
        <v/>
      </c>
      <c r="AD57" s="5021"/>
      <c r="AE57" s="5022"/>
      <c r="AF57" s="5022"/>
      <c r="AG57" s="5022"/>
      <c r="AH57" s="5023"/>
      <c r="AI57" s="5029"/>
      <c r="AJ57" s="4996"/>
      <c r="AK57" s="4999" t="str">
        <f>IF(AD57&lt;&gt;"",INDEX(Tablas!$U$26:$U$38,MAX(MATCH(VLOOKUP(Psíquicos!$AD57,'Tablas psiquica'!$U$7:$AH$110,2,FALSE),Tablas!$U$26:$U$38,0),MAX(SUMPRODUCT(--(Tablas!$T$26:$T$38&lt;=(AL57-20*AI57)))+IF(Tablas!$G$454&gt;0,1,0)+IF(COUNTIF($C$39:$E$50,"Introversión")&gt;0,1,0),SUMPRODUCT(--(Tablas!$T$26:$T$38&lt;=(AL57)))))),"")</f>
        <v/>
      </c>
      <c r="AL57" s="4993">
        <f t="shared" ref="AL57" si="20">$H$11+IF(ISNA(VLOOKUP(AD57,$V$11:$AB$64,7,FALSE)),0,IF(VLOOKUP(AD57,$V$11:$AB$64,7,FALSE)="",0,VLOOKUP(AD57,$V$11:$AB$64,7,FALSE)))+AI57*20+AJ57</f>
        <v>0</v>
      </c>
      <c r="AM57" s="31"/>
      <c r="AO57" s="612"/>
      <c r="AP57" s="612"/>
      <c r="AQ57" s="612"/>
      <c r="AR57" s="1872"/>
      <c r="AS57" s="1872"/>
    </row>
    <row r="58" spans="1:45" ht="12" customHeight="1" thickBot="1" x14ac:dyDescent="0.25">
      <c r="A58" s="31"/>
      <c r="B58" s="714"/>
      <c r="C58" s="5136"/>
      <c r="D58" s="5136"/>
      <c r="E58" s="5136"/>
      <c r="F58" s="5136"/>
      <c r="G58" s="5136"/>
      <c r="H58" s="5136"/>
      <c r="J58" s="101">
        <v>180</v>
      </c>
      <c r="K58" s="5135" t="s">
        <v>1739</v>
      </c>
      <c r="L58" s="5135"/>
      <c r="M58" s="5146" t="s">
        <v>1821</v>
      </c>
      <c r="N58" s="5146"/>
      <c r="O58" s="5146"/>
      <c r="P58" s="5146"/>
      <c r="Q58" s="5146"/>
      <c r="R58" s="42"/>
      <c r="S58" s="177"/>
      <c r="T58" s="177"/>
      <c r="U58" s="714"/>
      <c r="V58" s="5082" t="str">
        <f>IF(V57=0,"",VLOOKUP(V57,Tabla_PoderesPsi,2,FALSE))</f>
        <v/>
      </c>
      <c r="W58" s="5083"/>
      <c r="X58" s="5083"/>
      <c r="Y58" s="1908" t="s">
        <v>1328</v>
      </c>
      <c r="Z58" s="1909" t="str">
        <f>IF(V57=0,"",VLOOKUP(V57,Tabla_PoderesPsi,3,FALSE))</f>
        <v/>
      </c>
      <c r="AA58" s="5079"/>
      <c r="AB58" s="5081"/>
      <c r="AC58" s="85"/>
      <c r="AD58" s="5037" t="str">
        <f>IF(AD57=0,"",VLOOKUP(AD57,Tabla_PoderesPsi,2,FALSE))</f>
        <v/>
      </c>
      <c r="AE58" s="5038"/>
      <c r="AF58" s="5038"/>
      <c r="AG58" s="2176" t="s">
        <v>1328</v>
      </c>
      <c r="AH58" s="2177" t="str">
        <f>IF(AD57=0,"",VLOOKUP(AD57,Tabla_PoderesPsi,3,FALSE))</f>
        <v/>
      </c>
      <c r="AI58" s="5030"/>
      <c r="AJ58" s="4997"/>
      <c r="AK58" s="5000"/>
      <c r="AL58" s="4993"/>
      <c r="AM58" s="31"/>
      <c r="AO58" s="612"/>
      <c r="AP58" s="612"/>
      <c r="AQ58" s="612"/>
      <c r="AR58" s="1872"/>
      <c r="AS58" s="1872"/>
    </row>
    <row r="59" spans="1:45" ht="12" customHeight="1" thickBot="1" x14ac:dyDescent="0.25">
      <c r="A59" s="31"/>
      <c r="B59" s="714"/>
      <c r="C59" s="5136"/>
      <c r="D59" s="5136"/>
      <c r="E59" s="5136"/>
      <c r="F59" s="5136"/>
      <c r="G59" s="5136"/>
      <c r="H59" s="5136"/>
      <c r="J59" s="101">
        <v>240</v>
      </c>
      <c r="K59" s="5135" t="s">
        <v>1741</v>
      </c>
      <c r="L59" s="5135"/>
      <c r="M59" s="5146" t="s">
        <v>1822</v>
      </c>
      <c r="N59" s="5146"/>
      <c r="O59" s="5146"/>
      <c r="P59" s="5146"/>
      <c r="Q59" s="5146"/>
      <c r="R59" s="42"/>
      <c r="S59" s="177"/>
      <c r="T59" s="177"/>
      <c r="U59" s="714">
        <f>IF(V59=0,0,1)</f>
        <v>0</v>
      </c>
      <c r="V59" s="5055"/>
      <c r="W59" s="5056"/>
      <c r="X59" s="5056"/>
      <c r="Y59" s="5056"/>
      <c r="Z59" s="5057"/>
      <c r="AA59" s="5048"/>
      <c r="AB59" s="5020" t="str">
        <f>IF(AA59=0,"",IF(AA59*10&lt;100,AA59*10,100))</f>
        <v/>
      </c>
      <c r="AD59" s="5021"/>
      <c r="AE59" s="5022"/>
      <c r="AF59" s="5022"/>
      <c r="AG59" s="5022"/>
      <c r="AH59" s="5023"/>
      <c r="AI59" s="5029"/>
      <c r="AJ59" s="4996"/>
      <c r="AK59" s="4999" t="str">
        <f>IF(AD59&lt;&gt;"",INDEX(Tablas!$U$26:$U$38,MAX(MATCH(VLOOKUP(Psíquicos!$AD59,'Tablas psiquica'!$U$7:$AH$110,2,FALSE),Tablas!$U$26:$U$38,0),MAX(SUMPRODUCT(--(Tablas!$T$26:$T$38&lt;=(AL59-20*AI59)))+IF(Tablas!$G$454&gt;0,1,0)+IF(COUNTIF($C$39:$E$50,"Introversión")&gt;0,1,0),SUMPRODUCT(--(Tablas!$T$26:$T$38&lt;=(AL59)))))),"")</f>
        <v/>
      </c>
      <c r="AL59" s="4993">
        <f t="shared" ref="AL59" si="21">$H$11+IF(ISNA(VLOOKUP(AD59,$V$11:$AB$64,7,FALSE)),0,IF(VLOOKUP(AD59,$V$11:$AB$64,7,FALSE)="",0,VLOOKUP(AD59,$V$11:$AB$64,7,FALSE)))+AI59*20+AJ59</f>
        <v>0</v>
      </c>
      <c r="AM59" s="31"/>
      <c r="AO59" s="612"/>
      <c r="AP59" s="612"/>
      <c r="AQ59" s="612"/>
      <c r="AR59" s="1872"/>
      <c r="AS59" s="1872"/>
    </row>
    <row r="60" spans="1:45" ht="12" customHeight="1" thickBot="1" x14ac:dyDescent="0.25">
      <c r="A60" s="31"/>
      <c r="B60" s="714"/>
      <c r="C60" s="5136"/>
      <c r="D60" s="5136"/>
      <c r="E60" s="5136"/>
      <c r="F60" s="5136"/>
      <c r="G60" s="5136"/>
      <c r="H60" s="5136"/>
      <c r="J60" s="101">
        <v>280</v>
      </c>
      <c r="K60" s="5135" t="s">
        <v>1742</v>
      </c>
      <c r="L60" s="5135"/>
      <c r="M60" s="5146" t="s">
        <v>1823</v>
      </c>
      <c r="N60" s="5146"/>
      <c r="O60" s="5146"/>
      <c r="P60" s="5146"/>
      <c r="Q60" s="5146"/>
      <c r="R60" s="42"/>
      <c r="S60" s="177"/>
      <c r="T60" s="177"/>
      <c r="U60" s="714"/>
      <c r="V60" s="5058" t="str">
        <f>IF(V59=0,"",VLOOKUP(V59,Tabla_PoderesPsi,2,FALSE))</f>
        <v/>
      </c>
      <c r="W60" s="5059"/>
      <c r="X60" s="5059"/>
      <c r="Y60" s="1797" t="s">
        <v>1328</v>
      </c>
      <c r="Z60" s="1798" t="str">
        <f>IF(V59=0,"",VLOOKUP(V59,Tabla_PoderesPsi,3,FALSE))</f>
        <v/>
      </c>
      <c r="AA60" s="5048"/>
      <c r="AB60" s="5020"/>
      <c r="AD60" s="5037" t="str">
        <f>IF(AD59=0,"",VLOOKUP(AD59,Tabla_PoderesPsi,2,FALSE))</f>
        <v/>
      </c>
      <c r="AE60" s="5038"/>
      <c r="AF60" s="5038"/>
      <c r="AG60" s="2176" t="s">
        <v>1328</v>
      </c>
      <c r="AH60" s="2177" t="str">
        <f>IF(AD59=0,"",VLOOKUP(AD59,Tabla_PoderesPsi,3,FALSE))</f>
        <v/>
      </c>
      <c r="AI60" s="5030"/>
      <c r="AJ60" s="4997"/>
      <c r="AK60" s="5000"/>
      <c r="AL60" s="4993"/>
      <c r="AM60" s="31"/>
      <c r="AO60" s="612"/>
      <c r="AP60" s="612"/>
      <c r="AQ60" s="612"/>
      <c r="AR60" s="1872"/>
      <c r="AS60" s="1872"/>
    </row>
    <row r="61" spans="1:45" ht="12" customHeight="1" thickBot="1" x14ac:dyDescent="0.25">
      <c r="A61" s="31"/>
      <c r="B61" s="714"/>
      <c r="C61" s="5136"/>
      <c r="D61" s="5136"/>
      <c r="E61" s="5136"/>
      <c r="F61" s="5136"/>
      <c r="G61" s="5136"/>
      <c r="H61" s="5136"/>
      <c r="J61" s="101">
        <v>320</v>
      </c>
      <c r="K61" s="5135" t="s">
        <v>1744</v>
      </c>
      <c r="L61" s="5135"/>
      <c r="M61" s="5146" t="s">
        <v>1459</v>
      </c>
      <c r="N61" s="5146"/>
      <c r="O61" s="5146"/>
      <c r="P61" s="5146"/>
      <c r="Q61" s="5146"/>
      <c r="R61" s="42"/>
      <c r="S61" s="177"/>
      <c r="T61" s="177"/>
      <c r="U61" s="714">
        <f>IF(V61=0,0,1)</f>
        <v>0</v>
      </c>
      <c r="V61" s="5075"/>
      <c r="W61" s="5076"/>
      <c r="X61" s="5076"/>
      <c r="Y61" s="5076"/>
      <c r="Z61" s="5077"/>
      <c r="AA61" s="5078"/>
      <c r="AB61" s="5080" t="str">
        <f>IF(AA61=0,"",IF(AA61*10&lt;100,AA61*10,100))</f>
        <v/>
      </c>
      <c r="AD61" s="5021"/>
      <c r="AE61" s="5022"/>
      <c r="AF61" s="5022"/>
      <c r="AG61" s="5022"/>
      <c r="AH61" s="5023"/>
      <c r="AI61" s="5029"/>
      <c r="AJ61" s="4996"/>
      <c r="AK61" s="4999" t="str">
        <f>IF(AD61&lt;&gt;"",INDEX(Tablas!$U$26:$U$38,MAX(MATCH(VLOOKUP(Psíquicos!$AD61,'Tablas psiquica'!$U$7:$AH$110,2,FALSE),Tablas!$U$26:$U$38,0),MAX(SUMPRODUCT(--(Tablas!$T$26:$T$38&lt;=(AL61-20*AI61)))+IF(Tablas!$G$454&gt;0,1,0)+IF(COUNTIF($C$39:$E$50,"Introversión")&gt;0,1,0),SUMPRODUCT(--(Tablas!$T$26:$T$38&lt;=(AL61)))))),"")</f>
        <v/>
      </c>
      <c r="AL61" s="4993">
        <f t="shared" ref="AL61" si="22">$H$11+IF(ISNA(VLOOKUP(AD61,$V$11:$AB$64,7,FALSE)),0,IF(VLOOKUP(AD61,$V$11:$AB$64,7,FALSE)="",0,VLOOKUP(AD61,$V$11:$AB$64,7,FALSE)))+AI61*20+AJ61</f>
        <v>0</v>
      </c>
      <c r="AM61" s="31"/>
      <c r="AO61" s="612"/>
      <c r="AP61" s="612"/>
      <c r="AQ61" s="612"/>
      <c r="AR61" s="1872"/>
      <c r="AS61" s="1872"/>
    </row>
    <row r="62" spans="1:45" ht="12" customHeight="1" thickBot="1" x14ac:dyDescent="0.25">
      <c r="A62" s="31"/>
      <c r="B62" s="714"/>
      <c r="C62" s="5136"/>
      <c r="D62" s="5136"/>
      <c r="E62" s="5136"/>
      <c r="F62" s="5136"/>
      <c r="G62" s="5136"/>
      <c r="H62" s="5136"/>
      <c r="J62" s="102">
        <v>440</v>
      </c>
      <c r="K62" s="5155" t="s">
        <v>1687</v>
      </c>
      <c r="L62" s="5155"/>
      <c r="M62" s="5149" t="s">
        <v>1459</v>
      </c>
      <c r="N62" s="5149"/>
      <c r="O62" s="5149"/>
      <c r="P62" s="5149"/>
      <c r="Q62" s="5149"/>
      <c r="R62" s="42"/>
      <c r="S62" s="177"/>
      <c r="T62" s="177"/>
      <c r="U62" s="714"/>
      <c r="V62" s="5082" t="str">
        <f>IF(V61=0,"",VLOOKUP(V61,Tabla_PoderesPsi,2,FALSE))</f>
        <v/>
      </c>
      <c r="W62" s="5083"/>
      <c r="X62" s="5083"/>
      <c r="Y62" s="1908" t="s">
        <v>1328</v>
      </c>
      <c r="Z62" s="1909" t="str">
        <f>IF(V61=0,"",VLOOKUP(V61,Tabla_PoderesPsi,3,FALSE))</f>
        <v/>
      </c>
      <c r="AA62" s="5079"/>
      <c r="AB62" s="5081"/>
      <c r="AD62" s="5013" t="str">
        <f>IF(AD61=0,"",VLOOKUP(AD61,Tabla_PoderesPsi,2,FALSE))</f>
        <v/>
      </c>
      <c r="AE62" s="3443"/>
      <c r="AF62" s="3443"/>
      <c r="AG62" s="1165" t="s">
        <v>1328</v>
      </c>
      <c r="AH62" s="2180" t="str">
        <f>IF(AD61=0,"",VLOOKUP(AD61,Tabla_PoderesPsi,3,FALSE))</f>
        <v/>
      </c>
      <c r="AI62" s="5148"/>
      <c r="AJ62" s="4998"/>
      <c r="AK62" s="4010"/>
      <c r="AL62" s="4993"/>
      <c r="AM62" s="31"/>
      <c r="AO62" s="612"/>
      <c r="AP62" s="612"/>
      <c r="AQ62" s="612"/>
      <c r="AR62" s="1872"/>
      <c r="AS62" s="1872"/>
    </row>
    <row r="63" spans="1:45" ht="12" customHeight="1" thickBot="1" x14ac:dyDescent="0.25">
      <c r="A63" s="31"/>
      <c r="B63" s="714"/>
      <c r="C63" s="5136"/>
      <c r="D63" s="5136"/>
      <c r="E63" s="5136"/>
      <c r="F63" s="5136"/>
      <c r="G63" s="5136"/>
      <c r="H63" s="5136"/>
      <c r="J63" s="5152"/>
      <c r="K63" s="5152"/>
      <c r="L63" s="5152"/>
      <c r="M63" s="5152"/>
      <c r="N63" s="5152"/>
      <c r="O63" s="5152"/>
      <c r="P63" s="5152"/>
      <c r="Q63" s="5152"/>
      <c r="R63" s="42"/>
      <c r="S63" s="177"/>
      <c r="T63" s="177"/>
      <c r="U63" s="714">
        <f>IF(V63=0,0,1)</f>
        <v>0</v>
      </c>
      <c r="V63" s="5066"/>
      <c r="W63" s="5067"/>
      <c r="X63" s="5067"/>
      <c r="Y63" s="5067"/>
      <c r="Z63" s="5067"/>
      <c r="AA63" s="5048"/>
      <c r="AB63" s="5020" t="str">
        <f>IF(AA63=0,"",IF(AA63*10&lt;100,AA63*10,100))</f>
        <v/>
      </c>
      <c r="AL63" s="790"/>
      <c r="AM63" s="31"/>
      <c r="AO63" s="612"/>
      <c r="AP63" s="612"/>
      <c r="AQ63" s="612"/>
      <c r="AR63" s="1872"/>
      <c r="AS63" s="1872"/>
    </row>
    <row r="64" spans="1:45" ht="12" customHeight="1" thickBot="1" x14ac:dyDescent="0.25">
      <c r="A64" s="31"/>
      <c r="B64" s="513"/>
      <c r="C64" s="5136"/>
      <c r="D64" s="5136"/>
      <c r="E64" s="5136"/>
      <c r="F64" s="5136"/>
      <c r="G64" s="5136"/>
      <c r="H64" s="5136"/>
      <c r="J64" s="5152"/>
      <c r="K64" s="5152"/>
      <c r="L64" s="5152"/>
      <c r="M64" s="5152"/>
      <c r="N64" s="5152"/>
      <c r="O64" s="5152"/>
      <c r="P64" s="5152"/>
      <c r="Q64" s="5152"/>
      <c r="R64" s="39"/>
      <c r="S64" s="31"/>
      <c r="T64" s="31"/>
      <c r="U64" s="935"/>
      <c r="V64" s="5150" t="str">
        <f>IF(V63=0,"",VLOOKUP(V63,Tabla_PoderesPsi,2,FALSE))</f>
        <v/>
      </c>
      <c r="W64" s="5151"/>
      <c r="X64" s="5151"/>
      <c r="Y64" s="1912" t="s">
        <v>1328</v>
      </c>
      <c r="Z64" s="1913" t="str">
        <f>IF(V63=0,"",VLOOKUP(V63,Tabla_PoderesPsi,3,FALSE))</f>
        <v/>
      </c>
      <c r="AA64" s="5153"/>
      <c r="AB64" s="5154"/>
      <c r="AL64" s="790"/>
      <c r="AM64" s="31"/>
      <c r="AO64" s="612"/>
      <c r="AP64" s="612"/>
      <c r="AQ64" s="612"/>
      <c r="AR64" s="1872" t="str">
        <f t="shared" ref="AR64" si="23">V58</f>
        <v/>
      </c>
      <c r="AS64" s="1872"/>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1872"/>
      <c r="AS65" s="1872"/>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891"/>
      <c r="AS66" s="1872"/>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740" priority="179" stopIfTrue="1" operator="greaterThan">
      <formula>$C$12</formula>
    </cfRule>
  </conditionalFormatting>
  <conditionalFormatting sqref="AD12:AF12">
    <cfRule type="expression" dxfId="739" priority="122" stopIfTrue="1">
      <formula>NOT(OR(I1047915=$C$25,I1047915=$C$27,I1047915=$C$29,I1047915=$C$31,I1047915=$C$33,I1047915=$C$35))</formula>
    </cfRule>
  </conditionalFormatting>
  <conditionalFormatting sqref="AI17:AI18">
    <cfRule type="expression" dxfId="738" priority="5995">
      <formula>$AI17&gt;5</formula>
    </cfRule>
  </conditionalFormatting>
  <conditionalFormatting sqref="AN9:AQ13">
    <cfRule type="expression" dxfId="737" priority="7086" stopIfTrue="1">
      <formula>$AS$7</formula>
    </cfRule>
  </conditionalFormatting>
  <conditionalFormatting sqref="AD17:AH17">
    <cfRule type="expression" dxfId="736" priority="68">
      <formula>COUNTIF($V$11:$Z$64,$AD17)=0</formula>
    </cfRule>
  </conditionalFormatting>
  <conditionalFormatting sqref="AK17:AK18">
    <cfRule type="expression" dxfId="735" priority="67" stopIfTrue="1">
      <formula>COUNTIF($V$11:$Z$64,$AD17)=0</formula>
    </cfRule>
  </conditionalFormatting>
  <conditionalFormatting sqref="AI19:AI20">
    <cfRule type="expression" dxfId="734" priority="66">
      <formula>$AI19&gt;5</formula>
    </cfRule>
  </conditionalFormatting>
  <conditionalFormatting sqref="AD19:AH19">
    <cfRule type="expression" dxfId="733" priority="65">
      <formula>COUNTIF($V$11:$Z$64,$AD19)=0</formula>
    </cfRule>
  </conditionalFormatting>
  <conditionalFormatting sqref="AK19:AK20">
    <cfRule type="expression" dxfId="732" priority="64" stopIfTrue="1">
      <formula>COUNTIF($V$11:$Z$64,$AD19)=0</formula>
    </cfRule>
  </conditionalFormatting>
  <conditionalFormatting sqref="AI21:AI22">
    <cfRule type="expression" dxfId="731" priority="63">
      <formula>$AI21&gt;5</formula>
    </cfRule>
  </conditionalFormatting>
  <conditionalFormatting sqref="AD21:AH21">
    <cfRule type="expression" dxfId="730" priority="62">
      <formula>COUNTIF($V$11:$Z$64,$AD21)=0</formula>
    </cfRule>
  </conditionalFormatting>
  <conditionalFormatting sqref="AK21:AK22">
    <cfRule type="expression" dxfId="729" priority="61" stopIfTrue="1">
      <formula>COUNTIF($V$11:$Z$64,$AD21)=0</formula>
    </cfRule>
  </conditionalFormatting>
  <conditionalFormatting sqref="AI23:AI24">
    <cfRule type="expression" dxfId="728" priority="60">
      <formula>$AI23&gt;5</formula>
    </cfRule>
  </conditionalFormatting>
  <conditionalFormatting sqref="AD23:AH23">
    <cfRule type="expression" dxfId="727" priority="59">
      <formula>COUNTIF($V$11:$Z$64,$AD23)=0</formula>
    </cfRule>
  </conditionalFormatting>
  <conditionalFormatting sqref="AK23:AK24">
    <cfRule type="expression" dxfId="726" priority="58" stopIfTrue="1">
      <formula>COUNTIF($V$11:$Z$64,$AD23)=0</formula>
    </cfRule>
  </conditionalFormatting>
  <conditionalFormatting sqref="AI25:AI26">
    <cfRule type="expression" dxfId="725" priority="57">
      <formula>$AI25&gt;5</formula>
    </cfRule>
  </conditionalFormatting>
  <conditionalFormatting sqref="AD25:AH25">
    <cfRule type="expression" dxfId="724" priority="56">
      <formula>COUNTIF($V$11:$Z$64,$AD25)=0</formula>
    </cfRule>
  </conditionalFormatting>
  <conditionalFormatting sqref="AK25:AK26">
    <cfRule type="expression" dxfId="723" priority="55" stopIfTrue="1">
      <formula>COUNTIF($V$11:$Z$64,$AD25)=0</formula>
    </cfRule>
  </conditionalFormatting>
  <conditionalFormatting sqref="AI27:AI28">
    <cfRule type="expression" dxfId="722" priority="54">
      <formula>$AI27&gt;5</formula>
    </cfRule>
  </conditionalFormatting>
  <conditionalFormatting sqref="AD27:AH27">
    <cfRule type="expression" dxfId="721" priority="53">
      <formula>COUNTIF($V$11:$Z$64,$AD27)=0</formula>
    </cfRule>
  </conditionalFormatting>
  <conditionalFormatting sqref="AK27:AK28">
    <cfRule type="expression" dxfId="720" priority="52" stopIfTrue="1">
      <formula>COUNTIF($V$11:$Z$64,$AD27)=0</formula>
    </cfRule>
  </conditionalFormatting>
  <conditionalFormatting sqref="AI29:AI30">
    <cfRule type="expression" dxfId="719" priority="51">
      <formula>$AI29&gt;5</formula>
    </cfRule>
  </conditionalFormatting>
  <conditionalFormatting sqref="AD29:AH29">
    <cfRule type="expression" dxfId="718" priority="50">
      <formula>COUNTIF($V$11:$Z$64,$AD29)=0</formula>
    </cfRule>
  </conditionalFormatting>
  <conditionalFormatting sqref="AK29:AK30">
    <cfRule type="expression" dxfId="717" priority="49" stopIfTrue="1">
      <formula>COUNTIF($V$11:$Z$64,$AD29)=0</formula>
    </cfRule>
  </conditionalFormatting>
  <conditionalFormatting sqref="AI31:AI32">
    <cfRule type="expression" dxfId="716" priority="48">
      <formula>$AI31&gt;5</formula>
    </cfRule>
  </conditionalFormatting>
  <conditionalFormatting sqref="AD31:AH31">
    <cfRule type="expression" dxfId="715" priority="47">
      <formula>COUNTIF($V$11:$Z$64,$AD31)=0</formula>
    </cfRule>
  </conditionalFormatting>
  <conditionalFormatting sqref="AK31:AK32">
    <cfRule type="expression" dxfId="714" priority="46" stopIfTrue="1">
      <formula>COUNTIF($V$11:$Z$64,$AD31)=0</formula>
    </cfRule>
  </conditionalFormatting>
  <conditionalFormatting sqref="AI33:AI34">
    <cfRule type="expression" dxfId="713" priority="45">
      <formula>$AI33&gt;5</formula>
    </cfRule>
  </conditionalFormatting>
  <conditionalFormatting sqref="AD33:AH33">
    <cfRule type="expression" dxfId="712" priority="44">
      <formula>COUNTIF($V$11:$Z$64,$AD33)=0</formula>
    </cfRule>
  </conditionalFormatting>
  <conditionalFormatting sqref="AK33:AK34">
    <cfRule type="expression" dxfId="711" priority="43" stopIfTrue="1">
      <formula>COUNTIF($V$11:$Z$64,$AD33)=0</formula>
    </cfRule>
  </conditionalFormatting>
  <conditionalFormatting sqref="AI35:AI36">
    <cfRule type="expression" dxfId="710" priority="42">
      <formula>$AI35&gt;5</formula>
    </cfRule>
  </conditionalFormatting>
  <conditionalFormatting sqref="AD35:AH35">
    <cfRule type="expression" dxfId="709" priority="41">
      <formula>COUNTIF($V$11:$Z$64,$AD35)=0</formula>
    </cfRule>
  </conditionalFormatting>
  <conditionalFormatting sqref="AK35:AK36">
    <cfRule type="expression" dxfId="708" priority="40" stopIfTrue="1">
      <formula>COUNTIF($V$11:$Z$64,$AD35)=0</formula>
    </cfRule>
  </conditionalFormatting>
  <conditionalFormatting sqref="AI37:AI38">
    <cfRule type="expression" dxfId="707" priority="39">
      <formula>$AI37&gt;5</formula>
    </cfRule>
  </conditionalFormatting>
  <conditionalFormatting sqref="AD37:AH37">
    <cfRule type="expression" dxfId="706" priority="38">
      <formula>COUNTIF($V$11:$Z$64,$AD37)=0</formula>
    </cfRule>
  </conditionalFormatting>
  <conditionalFormatting sqref="AK37:AK38">
    <cfRule type="expression" dxfId="705" priority="37" stopIfTrue="1">
      <formula>COUNTIF($V$11:$Z$64,$AD37)=0</formula>
    </cfRule>
  </conditionalFormatting>
  <conditionalFormatting sqref="AI39:AI40">
    <cfRule type="expression" dxfId="704" priority="36">
      <formula>$AI39&gt;5</formula>
    </cfRule>
  </conditionalFormatting>
  <conditionalFormatting sqref="AD39:AH39">
    <cfRule type="expression" dxfId="703" priority="35">
      <formula>COUNTIF($V$11:$Z$64,$AD39)=0</formula>
    </cfRule>
  </conditionalFormatting>
  <conditionalFormatting sqref="AK39:AK40">
    <cfRule type="expression" dxfId="702" priority="34" stopIfTrue="1">
      <formula>COUNTIF($V$11:$Z$64,$AD39)=0</formula>
    </cfRule>
  </conditionalFormatting>
  <conditionalFormatting sqref="AI41:AI42">
    <cfRule type="expression" dxfId="701" priority="33">
      <formula>$AI41&gt;5</formula>
    </cfRule>
  </conditionalFormatting>
  <conditionalFormatting sqref="AD41:AH41">
    <cfRule type="expression" dxfId="700" priority="32">
      <formula>COUNTIF($V$11:$Z$64,$AD41)=0</formula>
    </cfRule>
  </conditionalFormatting>
  <conditionalFormatting sqref="AK41:AK42">
    <cfRule type="expression" dxfId="699" priority="31" stopIfTrue="1">
      <formula>COUNTIF($V$11:$Z$64,$AD41)=0</formula>
    </cfRule>
  </conditionalFormatting>
  <conditionalFormatting sqref="AI43:AI44">
    <cfRule type="expression" dxfId="698" priority="30">
      <formula>$AI43&gt;5</formula>
    </cfRule>
  </conditionalFormatting>
  <conditionalFormatting sqref="AD43:AH43">
    <cfRule type="expression" dxfId="697" priority="29">
      <formula>COUNTIF($V$11:$Z$64,$AD43)=0</formula>
    </cfRule>
  </conditionalFormatting>
  <conditionalFormatting sqref="AK43:AK44">
    <cfRule type="expression" dxfId="696" priority="28" stopIfTrue="1">
      <formula>COUNTIF($V$11:$Z$64,$AD43)=0</formula>
    </cfRule>
  </conditionalFormatting>
  <conditionalFormatting sqref="AI45:AI46">
    <cfRule type="expression" dxfId="695" priority="27">
      <formula>$AI45&gt;5</formula>
    </cfRule>
  </conditionalFormatting>
  <conditionalFormatting sqref="AD45:AH45">
    <cfRule type="expression" dxfId="694" priority="26">
      <formula>COUNTIF($V$11:$Z$64,$AD45)=0</formula>
    </cfRule>
  </conditionalFormatting>
  <conditionalFormatting sqref="AK45:AK46">
    <cfRule type="expression" dxfId="693" priority="25" stopIfTrue="1">
      <formula>COUNTIF($V$11:$Z$64,$AD45)=0</formula>
    </cfRule>
  </conditionalFormatting>
  <conditionalFormatting sqref="AI47:AI48">
    <cfRule type="expression" dxfId="692" priority="24">
      <formula>$AI47&gt;5</formula>
    </cfRule>
  </conditionalFormatting>
  <conditionalFormatting sqref="AD47:AH47">
    <cfRule type="expression" dxfId="691" priority="23">
      <formula>COUNTIF($V$11:$Z$64,$AD47)=0</formula>
    </cfRule>
  </conditionalFormatting>
  <conditionalFormatting sqref="AK47:AK48">
    <cfRule type="expression" dxfId="690" priority="22" stopIfTrue="1">
      <formula>COUNTIF($V$11:$Z$64,$AD47)=0</formula>
    </cfRule>
  </conditionalFormatting>
  <conditionalFormatting sqref="AI49:AI50">
    <cfRule type="expression" dxfId="689" priority="21">
      <formula>$AI49&gt;5</formula>
    </cfRule>
  </conditionalFormatting>
  <conditionalFormatting sqref="AD49:AH49">
    <cfRule type="expression" dxfId="688" priority="20">
      <formula>COUNTIF($V$11:$Z$64,$AD49)=0</formula>
    </cfRule>
  </conditionalFormatting>
  <conditionalFormatting sqref="AK49:AK50">
    <cfRule type="expression" dxfId="687" priority="19" stopIfTrue="1">
      <formula>COUNTIF($V$11:$Z$64,$AD49)=0</formula>
    </cfRule>
  </conditionalFormatting>
  <conditionalFormatting sqref="AI51:AI52">
    <cfRule type="expression" dxfId="686" priority="18">
      <formula>$AI51&gt;5</formula>
    </cfRule>
  </conditionalFormatting>
  <conditionalFormatting sqref="AD51:AH51">
    <cfRule type="expression" dxfId="685" priority="17">
      <formula>COUNTIF($V$11:$Z$64,$AD51)=0</formula>
    </cfRule>
  </conditionalFormatting>
  <conditionalFormatting sqref="AK51:AK52">
    <cfRule type="expression" dxfId="684" priority="16" stopIfTrue="1">
      <formula>COUNTIF($V$11:$Z$64,$AD51)=0</formula>
    </cfRule>
  </conditionalFormatting>
  <conditionalFormatting sqref="AI53:AI54">
    <cfRule type="expression" dxfId="683" priority="15">
      <formula>$AI53&gt;5</formula>
    </cfRule>
  </conditionalFormatting>
  <conditionalFormatting sqref="AD53:AH53">
    <cfRule type="expression" dxfId="682" priority="14">
      <formula>COUNTIF($V$11:$Z$64,$AD53)=0</formula>
    </cfRule>
  </conditionalFormatting>
  <conditionalFormatting sqref="AK53:AK54">
    <cfRule type="expression" dxfId="681" priority="13" stopIfTrue="1">
      <formula>COUNTIF($V$11:$Z$64,$AD53)=0</formula>
    </cfRule>
  </conditionalFormatting>
  <conditionalFormatting sqref="AI55:AI56">
    <cfRule type="expression" dxfId="680" priority="12">
      <formula>$AI55&gt;5</formula>
    </cfRule>
  </conditionalFormatting>
  <conditionalFormatting sqref="AD55:AH55">
    <cfRule type="expression" dxfId="679" priority="11">
      <formula>COUNTIF($V$11:$Z$64,$AD55)=0</formula>
    </cfRule>
  </conditionalFormatting>
  <conditionalFormatting sqref="AK55:AK56">
    <cfRule type="expression" dxfId="678" priority="10" stopIfTrue="1">
      <formula>COUNTIF($V$11:$Z$64,$AD55)=0</formula>
    </cfRule>
  </conditionalFormatting>
  <conditionalFormatting sqref="AI57:AI58">
    <cfRule type="expression" dxfId="677" priority="9">
      <formula>$AI57&gt;5</formula>
    </cfRule>
  </conditionalFormatting>
  <conditionalFormatting sqref="AD57:AH57">
    <cfRule type="expression" dxfId="676" priority="8">
      <formula>COUNTIF($V$11:$Z$64,$AD57)=0</formula>
    </cfRule>
  </conditionalFormatting>
  <conditionalFormatting sqref="AK57:AK58">
    <cfRule type="expression" dxfId="675" priority="7" stopIfTrue="1">
      <formula>COUNTIF($V$11:$Z$64,$AD57)=0</formula>
    </cfRule>
  </conditionalFormatting>
  <conditionalFormatting sqref="AI59:AI60">
    <cfRule type="expression" dxfId="674" priority="6">
      <formula>$AI59&gt;5</formula>
    </cfRule>
  </conditionalFormatting>
  <conditionalFormatting sqref="AD59:AH59">
    <cfRule type="expression" dxfId="673" priority="5">
      <formula>COUNTIF($V$11:$Z$64,$AD59)=0</formula>
    </cfRule>
  </conditionalFormatting>
  <conditionalFormatting sqref="AK59:AK60">
    <cfRule type="expression" dxfId="672" priority="4" stopIfTrue="1">
      <formula>COUNTIF($V$11:$Z$64,$AD59)=0</formula>
    </cfRule>
  </conditionalFormatting>
  <conditionalFormatting sqref="AI61:AI62">
    <cfRule type="expression" dxfId="671" priority="3">
      <formula>$AI61&gt;5</formula>
    </cfRule>
  </conditionalFormatting>
  <conditionalFormatting sqref="AD61:AH61">
    <cfRule type="expression" dxfId="670" priority="2">
      <formula>COUNTIF($V$11:$Z$64,$AD61)=0</formula>
    </cfRule>
  </conditionalFormatting>
  <conditionalFormatting sqref="AK61:AK62">
    <cfRule type="expression" dxfId="669"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888" t="s">
        <v>8943</v>
      </c>
      <c r="AM1" s="1893"/>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1893"/>
      <c r="AM2" s="1893"/>
    </row>
    <row r="3" spans="1:39" ht="12" customHeight="1" thickBot="1" x14ac:dyDescent="0.25">
      <c r="A3" s="31"/>
      <c r="B3" s="513"/>
      <c r="C3" s="5002"/>
      <c r="D3" s="5003"/>
      <c r="E3" s="5003"/>
      <c r="F3" s="5003"/>
      <c r="G3" s="5003"/>
      <c r="H3" s="5003"/>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1893"/>
      <c r="AM3" s="1893"/>
    </row>
    <row r="4" spans="1:39" ht="12" customHeight="1" thickBot="1" x14ac:dyDescent="0.25">
      <c r="A4" s="31"/>
      <c r="B4" s="513"/>
      <c r="C4" s="5004"/>
      <c r="D4" s="3187"/>
      <c r="E4" s="3187"/>
      <c r="F4" s="3187"/>
      <c r="G4" s="3187"/>
      <c r="H4" s="3187"/>
      <c r="I4" s="10"/>
      <c r="J4" s="3188" t="s">
        <v>1326</v>
      </c>
      <c r="K4" s="3188"/>
      <c r="L4" s="3189" t="str">
        <f>IF(OR(General!$F$22="",General!$F$22=0),"",General!$F$22)</f>
        <v/>
      </c>
      <c r="M4" s="3189"/>
      <c r="N4" s="3189"/>
      <c r="O4" s="3189"/>
      <c r="P4" s="3189"/>
      <c r="Q4" s="1000"/>
      <c r="R4" s="1000"/>
      <c r="S4" s="1000"/>
      <c r="T4" s="1000"/>
      <c r="U4" s="1000"/>
      <c r="V4" s="1000"/>
      <c r="W4" s="1000"/>
      <c r="X4" s="1000"/>
      <c r="Y4" s="1000"/>
      <c r="Z4" s="1000"/>
      <c r="AA4" s="1000"/>
      <c r="AB4" s="1000"/>
      <c r="AC4" s="1000"/>
      <c r="AD4" s="1000"/>
      <c r="AE4" s="1000"/>
      <c r="AF4" s="1000"/>
      <c r="AG4" s="1000"/>
      <c r="AH4" s="1000"/>
      <c r="AI4" s="1005"/>
      <c r="AJ4" s="790"/>
      <c r="AK4" s="611"/>
      <c r="AL4" s="1893"/>
      <c r="AM4" s="1893"/>
    </row>
    <row r="5" spans="1:39" ht="12" customHeight="1" thickBot="1" x14ac:dyDescent="0.25">
      <c r="A5" s="31"/>
      <c r="B5" s="513"/>
      <c r="C5" s="5004"/>
      <c r="D5" s="3187"/>
      <c r="E5" s="3187"/>
      <c r="F5" s="3187"/>
      <c r="G5" s="3187"/>
      <c r="H5" s="3187"/>
      <c r="I5" s="10"/>
      <c r="J5" s="3181" t="s">
        <v>1327</v>
      </c>
      <c r="K5" s="3181"/>
      <c r="L5" s="3002" t="str">
        <f>PDs!$J$8</f>
        <v/>
      </c>
      <c r="M5" s="3002"/>
      <c r="N5" s="3002"/>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1893"/>
      <c r="AM5" s="1893"/>
    </row>
    <row r="6" spans="1:39" ht="12" customHeight="1" thickBot="1" x14ac:dyDescent="0.25">
      <c r="A6" s="31"/>
      <c r="B6" s="513"/>
      <c r="C6" s="5004"/>
      <c r="D6" s="3187"/>
      <c r="E6" s="3187"/>
      <c r="F6" s="3187"/>
      <c r="G6" s="3187"/>
      <c r="H6" s="3187"/>
      <c r="I6" s="10"/>
      <c r="J6" s="3182" t="s">
        <v>1824</v>
      </c>
      <c r="K6" s="3182"/>
      <c r="L6" s="3182"/>
      <c r="M6" s="3182"/>
      <c r="N6" s="3182"/>
      <c r="O6" s="3182"/>
      <c r="P6" s="3182"/>
      <c r="Q6" s="999"/>
      <c r="R6" s="999"/>
      <c r="S6" s="999"/>
      <c r="T6" s="999"/>
      <c r="U6" s="999"/>
      <c r="V6" s="999"/>
      <c r="W6" s="999"/>
      <c r="X6" s="999"/>
      <c r="Y6" s="999"/>
      <c r="Z6" s="999"/>
      <c r="AA6" s="999"/>
      <c r="AB6" s="999"/>
      <c r="AC6" s="999"/>
      <c r="AD6" s="999"/>
      <c r="AE6" s="999"/>
      <c r="AF6" s="999"/>
      <c r="AG6" s="999"/>
      <c r="AH6" s="999"/>
      <c r="AI6" s="1001"/>
      <c r="AJ6" s="790"/>
      <c r="AK6" s="611"/>
      <c r="AL6" s="1893"/>
      <c r="AM6" s="1893"/>
    </row>
    <row r="7" spans="1:39" ht="12" customHeight="1" thickBot="1" x14ac:dyDescent="0.25">
      <c r="A7" s="31"/>
      <c r="B7" s="513"/>
      <c r="C7" s="5004"/>
      <c r="D7" s="3187"/>
      <c r="E7" s="3187"/>
      <c r="F7" s="3187"/>
      <c r="G7" s="3187"/>
      <c r="H7" s="3187"/>
      <c r="I7" s="10"/>
      <c r="J7" s="3182"/>
      <c r="K7" s="3182"/>
      <c r="L7" s="3182"/>
      <c r="M7" s="3182"/>
      <c r="N7" s="3182"/>
      <c r="O7" s="3182"/>
      <c r="P7" s="3182"/>
      <c r="Q7" s="999"/>
      <c r="R7" s="999"/>
      <c r="S7" s="999"/>
      <c r="T7" s="999"/>
      <c r="U7" s="999"/>
      <c r="V7" s="999"/>
      <c r="W7" s="999"/>
      <c r="X7" s="999"/>
      <c r="Y7" s="999"/>
      <c r="Z7" s="999"/>
      <c r="AA7" s="999"/>
      <c r="AB7" s="999"/>
      <c r="AC7" s="999"/>
      <c r="AD7" s="999"/>
      <c r="AE7" s="999"/>
      <c r="AF7" s="999"/>
      <c r="AG7" s="999"/>
      <c r="AH7" s="999"/>
      <c r="AI7" s="1001"/>
      <c r="AJ7" s="790"/>
      <c r="AK7" s="611"/>
      <c r="AL7" s="1893"/>
      <c r="AM7" s="1893"/>
    </row>
    <row r="8" spans="1:39" ht="12" customHeight="1" thickBot="1" x14ac:dyDescent="0.25">
      <c r="A8" s="31"/>
      <c r="B8" s="513"/>
      <c r="C8" s="5005"/>
      <c r="D8" s="5006"/>
      <c r="E8" s="5006"/>
      <c r="F8" s="5006"/>
      <c r="G8" s="5006"/>
      <c r="H8" s="5006"/>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1893" t="s">
        <v>7498</v>
      </c>
      <c r="AM8" s="1893" t="s">
        <v>7499</v>
      </c>
    </row>
    <row r="9" spans="1:39" ht="12" customHeight="1" thickBot="1" x14ac:dyDescent="0.25">
      <c r="A9" s="31"/>
      <c r="B9" s="513"/>
      <c r="R9" s="23"/>
      <c r="U9" s="23"/>
      <c r="AJ9" s="790"/>
      <c r="AK9" s="611"/>
      <c r="AL9" s="1893" t="str">
        <f>IF(ISNUMBER(MATCH($C$11,Lista_LuzyOscuridad,0)),$C$11,"ElanPersonalizado")</f>
        <v>ElanPersonalizado</v>
      </c>
      <c r="AM9" s="1893" t="str">
        <f>IF(ISNUMBER(MATCH($U$11,Lista_LuzyOscuridad,0)),$U$11,"ElanPersonalizado")</f>
        <v>ElanPersonalizado</v>
      </c>
    </row>
    <row r="10" spans="1:39" ht="12" customHeight="1" thickBot="1" x14ac:dyDescent="0.25">
      <c r="A10" s="31"/>
      <c r="B10" s="513"/>
      <c r="C10" s="5156" t="s">
        <v>1824</v>
      </c>
      <c r="D10" s="5157"/>
      <c r="E10" s="5157"/>
      <c r="F10" s="5157"/>
      <c r="G10" s="5158"/>
      <c r="I10" s="3108" t="str">
        <f>"Modificadores Elan: "&amp;C11</f>
        <v xml:space="preserve">Modificadores Elan: </v>
      </c>
      <c r="J10" s="3109"/>
      <c r="K10" s="3109"/>
      <c r="L10" s="3109"/>
      <c r="M10" s="3109"/>
      <c r="N10" s="3109"/>
      <c r="O10" s="3109"/>
      <c r="P10" s="3109"/>
      <c r="Q10" s="3110"/>
      <c r="R10" s="23"/>
      <c r="S10" s="1171"/>
      <c r="U10" s="5156" t="s">
        <v>1824</v>
      </c>
      <c r="V10" s="5157"/>
      <c r="W10" s="5157"/>
      <c r="X10" s="5157"/>
      <c r="Y10" s="5158"/>
      <c r="AA10" s="3197" t="str">
        <f>"Modificadores Elan: "&amp;U11</f>
        <v xml:space="preserve">Modificadores Elan: </v>
      </c>
      <c r="AB10" s="3198"/>
      <c r="AC10" s="3198"/>
      <c r="AD10" s="3198"/>
      <c r="AE10" s="3198"/>
      <c r="AF10" s="3198"/>
      <c r="AG10" s="3198"/>
      <c r="AH10" s="3198"/>
      <c r="AI10" s="3199"/>
      <c r="AJ10" s="790"/>
      <c r="AK10" s="611"/>
      <c r="AL10" s="1893"/>
      <c r="AM10" s="1893"/>
    </row>
    <row r="11" spans="1:39" ht="12" customHeight="1" thickBot="1" x14ac:dyDescent="0.25">
      <c r="A11" s="31"/>
      <c r="B11" s="513"/>
      <c r="C11" s="5171"/>
      <c r="D11" s="5172"/>
      <c r="E11" s="5172"/>
      <c r="F11" s="5172"/>
      <c r="G11" s="5173"/>
      <c r="I11" s="5167" t="s">
        <v>6701</v>
      </c>
      <c r="J11" s="5168"/>
      <c r="K11" s="5168"/>
      <c r="L11" s="5168"/>
      <c r="M11" s="5168"/>
      <c r="N11" s="5169"/>
      <c r="O11" s="5170" t="s">
        <v>6703</v>
      </c>
      <c r="P11" s="5168"/>
      <c r="Q11" s="4667"/>
      <c r="R11" s="23"/>
      <c r="S11" s="1171"/>
      <c r="U11" s="5159"/>
      <c r="V11" s="5160"/>
      <c r="W11" s="5160"/>
      <c r="X11" s="5161"/>
      <c r="Y11" s="5165"/>
      <c r="AA11" s="5167" t="s">
        <v>6701</v>
      </c>
      <c r="AB11" s="5168"/>
      <c r="AC11" s="5168"/>
      <c r="AD11" s="5168"/>
      <c r="AE11" s="5168"/>
      <c r="AF11" s="5169"/>
      <c r="AG11" s="5170" t="s">
        <v>6703</v>
      </c>
      <c r="AH11" s="5168"/>
      <c r="AI11" s="4667"/>
      <c r="AJ11" s="790"/>
      <c r="AK11" s="611"/>
      <c r="AL11" s="1893" t="s">
        <v>8490</v>
      </c>
      <c r="AM11" s="1893"/>
    </row>
    <row r="12" spans="1:39" ht="12" customHeight="1" x14ac:dyDescent="0.2">
      <c r="A12" s="31"/>
      <c r="B12" s="513"/>
      <c r="C12" s="5171"/>
      <c r="D12" s="5172"/>
      <c r="E12" s="5172"/>
      <c r="F12" s="5172"/>
      <c r="G12" s="5173"/>
      <c r="I12" s="5174" t="str">
        <f>IF(C$11="","",INDEX(Tabla_ModElan,MATCH(C$11,INDEX(Tabla_ModElan,,1),0)+Tablas!$A1,1))</f>
        <v/>
      </c>
      <c r="J12" s="5175"/>
      <c r="K12" s="5175"/>
      <c r="L12" s="5175"/>
      <c r="M12" s="5176"/>
      <c r="N12" s="1016" t="str">
        <f t="shared" ref="N12:N18" si="0">IF(I12="","",INDEX(Tabla_ModElan,MATCH(I12,INDEX(Tabla_ModElan,,1),0),2))</f>
        <v/>
      </c>
      <c r="O12" s="5177" t="str">
        <f>IF(C$11="","",INDEX(Tabla_ModElan,MATCH(C$11,INDEX(Tabla_ModElan,,1),0)+Tablas!$A1,5))</f>
        <v/>
      </c>
      <c r="P12" s="5178"/>
      <c r="Q12" s="5183" t="str">
        <f>IF(O12="","",INDEX(Tabla_ModElan,MATCH(O12,INDEX(Tabla_ModElan,,5),0),6))</f>
        <v/>
      </c>
      <c r="R12" s="23"/>
      <c r="S12" s="1171"/>
      <c r="U12" s="5162"/>
      <c r="V12" s="5163"/>
      <c r="W12" s="5163"/>
      <c r="X12" s="5164"/>
      <c r="Y12" s="5166"/>
      <c r="AA12" s="5174" t="str">
        <f>IF(U$11="","",INDEX(Tabla_ModElan,MATCH(U$11,INDEX(Tabla_ModElan,,1),0)+Tablas!$A1,1))</f>
        <v/>
      </c>
      <c r="AB12" s="5175"/>
      <c r="AC12" s="5175"/>
      <c r="AD12" s="5175"/>
      <c r="AE12" s="5176"/>
      <c r="AF12" s="1016" t="str">
        <f t="shared" ref="AF12:AF18" si="1">IF(AA12="","",INDEX(Tabla_ModElan,MATCH(AA12,INDEX(Tabla_ModElan,,1),0),2))</f>
        <v/>
      </c>
      <c r="AG12" s="5177" t="str">
        <f>IF(U$11="","",INDEX(Tabla_ModElan,MATCH(U$11,INDEX(Tabla_ModElan,,1),0)+Tablas!$A1,5))</f>
        <v/>
      </c>
      <c r="AH12" s="5178"/>
      <c r="AI12" s="5183" t="str">
        <f>IF(AG12="","",INDEX(Tabla_ModElan,MATCH(AG12,INDEX(Tabla_ModElan,,5),0),6))</f>
        <v/>
      </c>
      <c r="AJ12" s="790"/>
      <c r="AK12" s="611"/>
      <c r="AL12" s="1893" t="s">
        <v>7501</v>
      </c>
      <c r="AM12" s="1893" t="s">
        <v>7502</v>
      </c>
    </row>
    <row r="13" spans="1:39" ht="12" customHeight="1" x14ac:dyDescent="0.2">
      <c r="A13" s="31"/>
      <c r="B13" s="513"/>
      <c r="C13" s="4724"/>
      <c r="D13" s="4725"/>
      <c r="E13" s="4725"/>
      <c r="F13" s="4725"/>
      <c r="G13" s="817" t="str">
        <f t="shared" ref="G13:G25" si="2">IF(C13="","",VLOOKUP(C13,Tabla_Elan,5,FALSE))</f>
        <v/>
      </c>
      <c r="I13" s="5187" t="str">
        <f>IF(C$11="","",INDEX(Tabla_ModElan,MATCH(C$11,INDEX(Tabla_ModElan,,1),0)+Tablas!$A2,1))</f>
        <v/>
      </c>
      <c r="J13" s="3730"/>
      <c r="K13" s="3730"/>
      <c r="L13" s="3730"/>
      <c r="M13" s="5188"/>
      <c r="N13" s="1017" t="str">
        <f t="shared" si="0"/>
        <v/>
      </c>
      <c r="O13" s="5179"/>
      <c r="P13" s="5180"/>
      <c r="Q13" s="5184"/>
      <c r="R13" s="23"/>
      <c r="S13" s="1171"/>
      <c r="U13" s="4724"/>
      <c r="V13" s="4725"/>
      <c r="W13" s="4725"/>
      <c r="X13" s="4725"/>
      <c r="Y13" s="817" t="str">
        <f t="shared" ref="Y13:Y25" si="3">IF(U13="","",VLOOKUP(U13,Tabla_Elan,5,FALSE))</f>
        <v/>
      </c>
      <c r="AA13" s="5187" t="str">
        <f>IF(U$11="","",INDEX(Tabla_ModElan,MATCH(U$11,INDEX(Tabla_ModElan,,1),0)+Tablas!$A2,1))</f>
        <v/>
      </c>
      <c r="AB13" s="3730"/>
      <c r="AC13" s="3730"/>
      <c r="AD13" s="3730"/>
      <c r="AE13" s="5188"/>
      <c r="AF13" s="1017" t="str">
        <f t="shared" si="1"/>
        <v/>
      </c>
      <c r="AG13" s="5179"/>
      <c r="AH13" s="5180"/>
      <c r="AI13" s="5184"/>
      <c r="AJ13" s="790"/>
      <c r="AK13" s="611"/>
      <c r="AL13" s="1893" t="b">
        <f>IF(OR($G$11="",Elan!C13=""),FALSE,$G$11&lt;VLOOKUP(C13,Tabla_Elan,3,FALSE))</f>
        <v>0</v>
      </c>
      <c r="AM13" s="1893" t="b">
        <f>IF(OR($Y$11="",Elan!U13=""),FALSE,$Y$11&lt;VLOOKUP(U13,Tabla_Elan,3,FALSE))</f>
        <v>0</v>
      </c>
    </row>
    <row r="14" spans="1:39" ht="12" customHeight="1" x14ac:dyDescent="0.2">
      <c r="A14" s="31"/>
      <c r="B14" s="513"/>
      <c r="C14" s="5189"/>
      <c r="D14" s="5190"/>
      <c r="E14" s="5190"/>
      <c r="F14" s="5190"/>
      <c r="G14" s="818" t="str">
        <f t="shared" si="2"/>
        <v/>
      </c>
      <c r="H14" s="1129" t="s">
        <v>2657</v>
      </c>
      <c r="I14" s="5187" t="str">
        <f>IF(C$11="","",INDEX(Tabla_ModElan,MATCH(C$11,INDEX(Tabla_ModElan,,1),0)+Tablas!$A3,1))</f>
        <v/>
      </c>
      <c r="J14" s="3730"/>
      <c r="K14" s="3730"/>
      <c r="L14" s="3730"/>
      <c r="M14" s="5188"/>
      <c r="N14" s="1017" t="str">
        <f t="shared" si="0"/>
        <v/>
      </c>
      <c r="O14" s="5181"/>
      <c r="P14" s="5182"/>
      <c r="Q14" s="5185"/>
      <c r="R14" s="23"/>
      <c r="S14" s="1171"/>
      <c r="U14" s="5189"/>
      <c r="V14" s="5190"/>
      <c r="W14" s="5190"/>
      <c r="X14" s="5190"/>
      <c r="Y14" s="818" t="str">
        <f t="shared" si="3"/>
        <v/>
      </c>
      <c r="Z14" s="1129" t="s">
        <v>2657</v>
      </c>
      <c r="AA14" s="5187" t="str">
        <f>IF(U$11="","",INDEX(Tabla_ModElan,MATCH(U$11,INDEX(Tabla_ModElan,,1),0)+Tablas!$A3,1))</f>
        <v/>
      </c>
      <c r="AB14" s="3730"/>
      <c r="AC14" s="3730"/>
      <c r="AD14" s="3730"/>
      <c r="AE14" s="5188"/>
      <c r="AF14" s="1017" t="str">
        <f t="shared" si="1"/>
        <v/>
      </c>
      <c r="AG14" s="5186"/>
      <c r="AH14" s="5182"/>
      <c r="AI14" s="5185"/>
      <c r="AJ14" s="790"/>
      <c r="AK14" s="611"/>
      <c r="AL14" s="1893" t="b">
        <f>IF(OR($G$11="",Elan!C14=""),FALSE,$G$11&lt;VLOOKUP(C14,Tabla_Elan,3,FALSE))</f>
        <v>0</v>
      </c>
      <c r="AM14" s="1893" t="b">
        <f>IF(OR($Y$11="",Elan!U14=""),FALSE,$Y$11&lt;VLOOKUP(U14,Tabla_Elan,3,FALSE))</f>
        <v>0</v>
      </c>
    </row>
    <row r="15" spans="1:39" ht="12" customHeight="1" x14ac:dyDescent="0.2">
      <c r="A15" s="31"/>
      <c r="B15" s="513"/>
      <c r="C15" s="4680"/>
      <c r="D15" s="4681"/>
      <c r="E15" s="4681"/>
      <c r="F15" s="4681"/>
      <c r="G15" s="819" t="str">
        <f t="shared" si="2"/>
        <v/>
      </c>
      <c r="H15" s="1129" t="s">
        <v>2655</v>
      </c>
      <c r="I15" s="5187" t="str">
        <f>IF(C$11="","",INDEX(Tabla_ModElan,MATCH(C$11,INDEX(Tabla_ModElan,,1),0)+Tablas!$A4,1))</f>
        <v/>
      </c>
      <c r="J15" s="3730"/>
      <c r="K15" s="3730"/>
      <c r="L15" s="3730"/>
      <c r="M15" s="5188"/>
      <c r="N15" s="1017" t="str">
        <f t="shared" si="0"/>
        <v/>
      </c>
      <c r="O15" s="5177" t="str">
        <f>IF(C$11="","",INDEX(Tabla_ModElan,MATCH(C$11,INDEX(Tabla_ModElan,,1),0)+Tablas!$A2,5))</f>
        <v/>
      </c>
      <c r="P15" s="5178"/>
      <c r="Q15" s="5183" t="str">
        <f>IF(O15="","",INDEX(Tabla_ModElan,MATCH(O15,INDEX(Tabla_ModElan,,5),0),6))</f>
        <v/>
      </c>
      <c r="R15" s="23"/>
      <c r="S15" s="1171"/>
      <c r="U15" s="4680"/>
      <c r="V15" s="4681"/>
      <c r="W15" s="4681"/>
      <c r="X15" s="4681"/>
      <c r="Y15" s="819" t="str">
        <f t="shared" si="3"/>
        <v/>
      </c>
      <c r="Z15" s="1129" t="s">
        <v>2655</v>
      </c>
      <c r="AA15" s="5187" t="str">
        <f>IF(U$11="","",INDEX(Tabla_ModElan,MATCH(U$11,INDEX(Tabla_ModElan,,1),0)+Tablas!$A4,1))</f>
        <v/>
      </c>
      <c r="AB15" s="3730"/>
      <c r="AC15" s="3730"/>
      <c r="AD15" s="3730"/>
      <c r="AE15" s="5188"/>
      <c r="AF15" s="1017" t="str">
        <f t="shared" si="1"/>
        <v/>
      </c>
      <c r="AG15" s="5177" t="str">
        <f>IF(U$11="","",INDEX(Tabla_ModElan,MATCH(U$11,INDEX(Tabla_ModElan,,1),0)+Tablas!$A2,5))</f>
        <v/>
      </c>
      <c r="AH15" s="5178"/>
      <c r="AI15" s="5183" t="str">
        <f>IF(AG15="","",INDEX(Tabla_ModElan,MATCH(AG15,INDEX(Tabla_ModElan,,5),0),6))</f>
        <v/>
      </c>
      <c r="AJ15" s="790"/>
      <c r="AK15" s="611"/>
      <c r="AL15" s="1893" t="b">
        <f>IF(OR($G$11="",Elan!C15=""),FALSE,$G$11&lt;VLOOKUP(C15,Tabla_Elan,3,FALSE))</f>
        <v>0</v>
      </c>
      <c r="AM15" s="1893" t="b">
        <f>IF(OR($Y$11="",Elan!U15=""),FALSE,$Y$11&lt;VLOOKUP(U15,Tabla_Elan,3,FALSE))</f>
        <v>0</v>
      </c>
    </row>
    <row r="16" spans="1:39" ht="12" customHeight="1" x14ac:dyDescent="0.2">
      <c r="A16" s="31"/>
      <c r="B16" s="513"/>
      <c r="C16" s="5189"/>
      <c r="D16" s="5190"/>
      <c r="E16" s="5190"/>
      <c r="F16" s="5190"/>
      <c r="G16" s="818" t="str">
        <f t="shared" si="2"/>
        <v/>
      </c>
      <c r="I16" s="5187" t="str">
        <f>IF(C$11="","",INDEX(Tabla_ModElan,MATCH(C$11,INDEX(Tabla_ModElan,,1),0)+Tablas!$A5,1))</f>
        <v/>
      </c>
      <c r="J16" s="3730"/>
      <c r="K16" s="3730"/>
      <c r="L16" s="3730"/>
      <c r="M16" s="5188"/>
      <c r="N16" s="1017" t="str">
        <f t="shared" si="0"/>
        <v/>
      </c>
      <c r="O16" s="5179"/>
      <c r="P16" s="5180"/>
      <c r="Q16" s="5184"/>
      <c r="R16" s="23"/>
      <c r="S16" s="1171"/>
      <c r="U16" s="5189"/>
      <c r="V16" s="5190"/>
      <c r="W16" s="5190"/>
      <c r="X16" s="5190"/>
      <c r="Y16" s="818" t="str">
        <f t="shared" si="3"/>
        <v/>
      </c>
      <c r="AA16" s="5187" t="str">
        <f>IF(U$11="","",INDEX(Tabla_ModElan,MATCH(U$11,INDEX(Tabla_ModElan,,1),0)+Tablas!$A5,1))</f>
        <v/>
      </c>
      <c r="AB16" s="3730"/>
      <c r="AC16" s="3730"/>
      <c r="AD16" s="3730"/>
      <c r="AE16" s="5188"/>
      <c r="AF16" s="1017" t="str">
        <f t="shared" si="1"/>
        <v/>
      </c>
      <c r="AG16" s="5179"/>
      <c r="AH16" s="5180"/>
      <c r="AI16" s="5184"/>
      <c r="AJ16" s="790"/>
      <c r="AK16" s="611"/>
      <c r="AL16" s="1893" t="b">
        <f>IF(OR($G$11="",Elan!C16=""),FALSE,$G$11&lt;VLOOKUP(C16,Tabla_Elan,3,FALSE))</f>
        <v>0</v>
      </c>
      <c r="AM16" s="1893" t="b">
        <f>IF(OR($Y$11="",Elan!U16=""),FALSE,$Y$11&lt;VLOOKUP(U16,Tabla_Elan,3,FALSE))</f>
        <v>0</v>
      </c>
    </row>
    <row r="17" spans="1:39" ht="12" customHeight="1" x14ac:dyDescent="0.2">
      <c r="A17" s="31"/>
      <c r="B17" s="513"/>
      <c r="C17" s="4680"/>
      <c r="D17" s="4681"/>
      <c r="E17" s="4681"/>
      <c r="F17" s="4681"/>
      <c r="G17" s="819" t="str">
        <f t="shared" si="2"/>
        <v/>
      </c>
      <c r="I17" s="5187" t="str">
        <f>IF(C$11="","",INDEX(Tabla_ModElan,MATCH(C$11,INDEX(Tabla_ModElan,,1),0)+Tablas!$A6,1))</f>
        <v/>
      </c>
      <c r="J17" s="3730"/>
      <c r="K17" s="3730"/>
      <c r="L17" s="3730"/>
      <c r="M17" s="5188"/>
      <c r="N17" s="1017" t="str">
        <f t="shared" si="0"/>
        <v/>
      </c>
      <c r="O17" s="5181"/>
      <c r="P17" s="5182"/>
      <c r="Q17" s="5185"/>
      <c r="R17" s="23"/>
      <c r="S17" s="1171"/>
      <c r="U17" s="4680"/>
      <c r="V17" s="4681"/>
      <c r="W17" s="4681"/>
      <c r="X17" s="4681"/>
      <c r="Y17" s="819" t="str">
        <f t="shared" si="3"/>
        <v/>
      </c>
      <c r="AA17" s="5187" t="str">
        <f>IF(U$11="","",INDEX(Tabla_ModElan,MATCH(U$11,INDEX(Tabla_ModElan,,1),0)+Tablas!$A6,1))</f>
        <v/>
      </c>
      <c r="AB17" s="3730"/>
      <c r="AC17" s="3730"/>
      <c r="AD17" s="3730"/>
      <c r="AE17" s="5188"/>
      <c r="AF17" s="1017" t="str">
        <f t="shared" si="1"/>
        <v/>
      </c>
      <c r="AG17" s="5181"/>
      <c r="AH17" s="5182"/>
      <c r="AI17" s="5185"/>
      <c r="AJ17" s="790"/>
      <c r="AK17" s="611"/>
      <c r="AL17" s="1893" t="b">
        <f>IF(OR($G$11="",Elan!C17=""),FALSE,$G$11&lt;VLOOKUP(C17,Tabla_Elan,3,FALSE))</f>
        <v>0</v>
      </c>
      <c r="AM17" s="1893" t="b">
        <f>IF(OR($Y$11="",Elan!U17=""),FALSE,$Y$11&lt;VLOOKUP(U17,Tabla_Elan,3,FALSE))</f>
        <v>0</v>
      </c>
    </row>
    <row r="18" spans="1:39" ht="12" customHeight="1" x14ac:dyDescent="0.2">
      <c r="A18" s="31"/>
      <c r="B18" s="513"/>
      <c r="C18" s="5189"/>
      <c r="D18" s="5190"/>
      <c r="E18" s="5190"/>
      <c r="F18" s="5190"/>
      <c r="G18" s="818" t="str">
        <f t="shared" si="2"/>
        <v/>
      </c>
      <c r="I18" s="5194" t="str">
        <f>IF(C$11="","",INDEX(Tabla_ModElan,MATCH(C$11,INDEX(Tabla_ModElan,,1),0)+Tablas!$A7,1))</f>
        <v/>
      </c>
      <c r="J18" s="5195"/>
      <c r="K18" s="5195"/>
      <c r="L18" s="5195"/>
      <c r="M18" s="5196"/>
      <c r="N18" s="1017" t="str">
        <f t="shared" si="0"/>
        <v/>
      </c>
      <c r="O18" s="5177" t="str">
        <f>IF(C$11="","",INDEX(Tabla_ModElan,MATCH(C$11,INDEX(Tabla_ModElan,,1),0)+Tablas!$A3,5))</f>
        <v/>
      </c>
      <c r="P18" s="5178"/>
      <c r="Q18" s="5183" t="str">
        <f>IF(O18="","",INDEX(Tabla_ModElan,MATCH(O18,INDEX(Tabla_ModElan,,5),0),6))</f>
        <v/>
      </c>
      <c r="R18" s="23"/>
      <c r="S18" s="1171"/>
      <c r="U18" s="5189"/>
      <c r="V18" s="5190"/>
      <c r="W18" s="5190"/>
      <c r="X18" s="5190"/>
      <c r="Y18" s="818" t="str">
        <f t="shared" si="3"/>
        <v/>
      </c>
      <c r="AA18" s="5194" t="str">
        <f>IF(U$11="","",INDEX(Tabla_ModElan,MATCH(U$11,INDEX(Tabla_ModElan,,1),0)+Tablas!$A7,1))</f>
        <v/>
      </c>
      <c r="AB18" s="5195"/>
      <c r="AC18" s="5195"/>
      <c r="AD18" s="5195"/>
      <c r="AE18" s="5196"/>
      <c r="AF18" s="1017" t="str">
        <f t="shared" si="1"/>
        <v/>
      </c>
      <c r="AG18" s="5177" t="str">
        <f>IF(U$11="","",INDEX(Tabla_ModElan,MATCH(U$11,INDEX(Tabla_ModElan,,1),0)+Tablas!$A3,5))</f>
        <v/>
      </c>
      <c r="AH18" s="5178"/>
      <c r="AI18" s="5183" t="str">
        <f>IF(AG18="","",INDEX(Tabla_ModElan,MATCH(AG18,INDEX(Tabla_ModElan,,5),0),6))</f>
        <v/>
      </c>
      <c r="AJ18" s="790"/>
      <c r="AK18" s="611"/>
      <c r="AL18" s="1893" t="b">
        <f>IF(OR($G$11="",Elan!C18=""),FALSE,$G$11&lt;VLOOKUP(C18,Tabla_Elan,3,FALSE))</f>
        <v>0</v>
      </c>
      <c r="AM18" s="1893" t="b">
        <f>IF(OR($Y$11="",Elan!U18=""),FALSE,$Y$11&lt;VLOOKUP(U18,Tabla_Elan,3,FALSE))</f>
        <v>0</v>
      </c>
    </row>
    <row r="19" spans="1:39" ht="12" customHeight="1" x14ac:dyDescent="0.2">
      <c r="A19" s="31"/>
      <c r="B19" s="513"/>
      <c r="C19" s="4680"/>
      <c r="D19" s="4681"/>
      <c r="E19" s="4681"/>
      <c r="F19" s="4681"/>
      <c r="G19" s="819" t="str">
        <f t="shared" si="2"/>
        <v/>
      </c>
      <c r="I19" s="5191" t="s">
        <v>6702</v>
      </c>
      <c r="J19" s="5192"/>
      <c r="K19" s="5192"/>
      <c r="L19" s="5192"/>
      <c r="M19" s="5192"/>
      <c r="N19" s="5193"/>
      <c r="O19" s="5179"/>
      <c r="P19" s="5180"/>
      <c r="Q19" s="5184"/>
      <c r="R19" s="23"/>
      <c r="S19" s="1171"/>
      <c r="U19" s="4680"/>
      <c r="V19" s="4681"/>
      <c r="W19" s="4681"/>
      <c r="X19" s="4681"/>
      <c r="Y19" s="819" t="str">
        <f t="shared" si="3"/>
        <v/>
      </c>
      <c r="AA19" s="5191" t="s">
        <v>6702</v>
      </c>
      <c r="AB19" s="5192"/>
      <c r="AC19" s="5192"/>
      <c r="AD19" s="5192"/>
      <c r="AE19" s="5192"/>
      <c r="AF19" s="5193"/>
      <c r="AG19" s="5179"/>
      <c r="AH19" s="5180"/>
      <c r="AI19" s="5184"/>
      <c r="AJ19" s="790"/>
      <c r="AK19" s="611"/>
      <c r="AL19" s="1893" t="b">
        <f>IF(OR($G$11="",Elan!C19=""),FALSE,$G$11&lt;VLOOKUP(C19,Tabla_Elan,3,FALSE))</f>
        <v>0</v>
      </c>
      <c r="AM19" s="1893" t="b">
        <f>IF(OR($Y$11="",Elan!U19=""),FALSE,$Y$11&lt;VLOOKUP(U19,Tabla_Elan,3,FALSE))</f>
        <v>0</v>
      </c>
    </row>
    <row r="20" spans="1:39" ht="12" customHeight="1" x14ac:dyDescent="0.2">
      <c r="A20" s="31"/>
      <c r="B20" s="513"/>
      <c r="C20" s="5189"/>
      <c r="D20" s="5190"/>
      <c r="E20" s="5190"/>
      <c r="F20" s="5190"/>
      <c r="G20" s="820" t="str">
        <f t="shared" si="2"/>
        <v/>
      </c>
      <c r="I20" s="5174" t="str">
        <f>IF(C$11="","",INDEX(Tabla_ModElan,MATCH(C$11,INDEX(Tabla_ModElan,,1),0)+Tablas!$A1,3))</f>
        <v/>
      </c>
      <c r="J20" s="5175"/>
      <c r="K20" s="5175"/>
      <c r="L20" s="5175"/>
      <c r="M20" s="5176"/>
      <c r="N20" s="1016" t="str">
        <f t="shared" ref="N20:N26" si="4">IFERROR(INDEX(Tabla_ModElan,MATCH(I20,INDEX(Tabla_ModElan,,3),0),4),"")</f>
        <v/>
      </c>
      <c r="O20" s="5181"/>
      <c r="P20" s="5182"/>
      <c r="Q20" s="5185"/>
      <c r="R20" s="23"/>
      <c r="S20" s="1171"/>
      <c r="U20" s="5189"/>
      <c r="V20" s="5190"/>
      <c r="W20" s="5190"/>
      <c r="X20" s="5190"/>
      <c r="Y20" s="820" t="str">
        <f t="shared" si="3"/>
        <v/>
      </c>
      <c r="AA20" s="5174" t="str">
        <f>IF(U$11="","",INDEX(Tabla_ModElan,MATCH(U$11,INDEX(Tabla_ModElan,,1),0)+Tablas!$A1,3))</f>
        <v/>
      </c>
      <c r="AB20" s="5175"/>
      <c r="AC20" s="5175"/>
      <c r="AD20" s="5175"/>
      <c r="AE20" s="5176"/>
      <c r="AF20" s="1016" t="str">
        <f t="shared" ref="AF20:AF26" si="5">IFERROR(INDEX(Tabla_ModElan,MATCH(AA20,INDEX(Tabla_ModElan,,3),0),4),"")</f>
        <v/>
      </c>
      <c r="AG20" s="5181"/>
      <c r="AH20" s="5182"/>
      <c r="AI20" s="5185"/>
      <c r="AJ20" s="790"/>
      <c r="AK20" s="611"/>
      <c r="AL20" s="1893" t="b">
        <f>IF(OR($G$11="",Elan!C20=""),FALSE,$G$11&lt;VLOOKUP(C20,Tabla_Elan,3,FALSE))</f>
        <v>0</v>
      </c>
      <c r="AM20" s="1893" t="b">
        <f>IF(OR($Y$11="",Elan!U20=""),FALSE,$Y$11&lt;VLOOKUP(U20,Tabla_Elan,3,FALSE))</f>
        <v>0</v>
      </c>
    </row>
    <row r="21" spans="1:39" ht="12" customHeight="1" x14ac:dyDescent="0.2">
      <c r="A21" s="31"/>
      <c r="B21" s="513"/>
      <c r="C21" s="4680"/>
      <c r="D21" s="4681"/>
      <c r="E21" s="4681"/>
      <c r="F21" s="4681"/>
      <c r="G21" s="819" t="str">
        <f t="shared" si="2"/>
        <v/>
      </c>
      <c r="I21" s="5187" t="str">
        <f>IF(C$11="","",INDEX(Tabla_ModElan,MATCH(C$11,INDEX(Tabla_ModElan,,1),0)+Tablas!$A2,3))</f>
        <v/>
      </c>
      <c r="J21" s="3730"/>
      <c r="K21" s="3730"/>
      <c r="L21" s="3730"/>
      <c r="M21" s="3730"/>
      <c r="N21" s="1017" t="str">
        <f t="shared" si="4"/>
        <v/>
      </c>
      <c r="O21" s="5177" t="str">
        <f>IF(C$11="","",INDEX(Tabla_ModElan,MATCH(C$11,INDEX(Tabla_ModElan,,1),0)+Tablas!$A4,5))</f>
        <v/>
      </c>
      <c r="P21" s="5178"/>
      <c r="Q21" s="5183" t="str">
        <f>IF(O21="","",INDEX(Tabla_ModElan,MATCH(O21,INDEX(Tabla_ModElan,,5),0),6))</f>
        <v/>
      </c>
      <c r="R21" s="23"/>
      <c r="S21" s="1171"/>
      <c r="U21" s="4680"/>
      <c r="V21" s="4681"/>
      <c r="W21" s="4681"/>
      <c r="X21" s="4681"/>
      <c r="Y21" s="819" t="str">
        <f t="shared" si="3"/>
        <v/>
      </c>
      <c r="AA21" s="5187" t="str">
        <f>IF(U$11="","",INDEX(Tabla_ModElan,MATCH(U$11,INDEX(Tabla_ModElan,,1),0)+Tablas!$A2,3))</f>
        <v/>
      </c>
      <c r="AB21" s="3730"/>
      <c r="AC21" s="3730"/>
      <c r="AD21" s="3730"/>
      <c r="AE21" s="3730"/>
      <c r="AF21" s="1017" t="str">
        <f t="shared" si="5"/>
        <v/>
      </c>
      <c r="AG21" s="5177" t="str">
        <f>IF(U$11="","",INDEX(Tabla_ModElan,MATCH(U$11,INDEX(Tabla_ModElan,,1),0)+Tablas!$A4,5))</f>
        <v/>
      </c>
      <c r="AH21" s="5178"/>
      <c r="AI21" s="5183" t="str">
        <f>IF(AG21="","",INDEX(Tabla_ModElan,MATCH(AG21,INDEX(Tabla_ModElan,,5),0),6))</f>
        <v/>
      </c>
      <c r="AJ21" s="790"/>
      <c r="AK21" s="611"/>
      <c r="AL21" s="1893" t="b">
        <f>IF(OR($G$11="",Elan!C21=""),FALSE,$G$11&lt;VLOOKUP(C21,Tabla_Elan,3,FALSE))</f>
        <v>0</v>
      </c>
      <c r="AM21" s="1893" t="b">
        <f>IF(OR($Y$11="",Elan!U21=""),FALSE,$Y$11&lt;VLOOKUP(U21,Tabla_Elan,3,FALSE))</f>
        <v>0</v>
      </c>
    </row>
    <row r="22" spans="1:39" ht="12" customHeight="1" x14ac:dyDescent="0.2">
      <c r="A22" s="31"/>
      <c r="B22" s="513"/>
      <c r="C22" s="5189"/>
      <c r="D22" s="5190"/>
      <c r="E22" s="5190"/>
      <c r="F22" s="5190"/>
      <c r="G22" s="820" t="str">
        <f t="shared" si="2"/>
        <v/>
      </c>
      <c r="I22" s="5187" t="str">
        <f>IF(C$11="","",INDEX(Tabla_ModElan,MATCH(C$11,INDEX(Tabla_ModElan,,1),0)+Tablas!$A3,3))</f>
        <v/>
      </c>
      <c r="J22" s="3730"/>
      <c r="K22" s="3730"/>
      <c r="L22" s="3730"/>
      <c r="M22" s="3730"/>
      <c r="N22" s="1017" t="str">
        <f t="shared" si="4"/>
        <v/>
      </c>
      <c r="O22" s="5179"/>
      <c r="P22" s="5180"/>
      <c r="Q22" s="5184"/>
      <c r="R22" s="23"/>
      <c r="S22" s="1171"/>
      <c r="U22" s="5189"/>
      <c r="V22" s="5190"/>
      <c r="W22" s="5190"/>
      <c r="X22" s="5190"/>
      <c r="Y22" s="820" t="str">
        <f t="shared" si="3"/>
        <v/>
      </c>
      <c r="AA22" s="5187" t="str">
        <f>IF(U$11="","",INDEX(Tabla_ModElan,MATCH(U$11,INDEX(Tabla_ModElan,,1),0)+Tablas!$A3,3))</f>
        <v/>
      </c>
      <c r="AB22" s="3730"/>
      <c r="AC22" s="3730"/>
      <c r="AD22" s="3730"/>
      <c r="AE22" s="3730"/>
      <c r="AF22" s="1017" t="str">
        <f t="shared" si="5"/>
        <v/>
      </c>
      <c r="AG22" s="5179"/>
      <c r="AH22" s="5180"/>
      <c r="AI22" s="5184"/>
      <c r="AJ22" s="790"/>
      <c r="AK22" s="611"/>
      <c r="AL22" s="1893" t="b">
        <f>IF(OR($G$11="",Elan!C22=""),FALSE,$G$11&lt;VLOOKUP(C22,Tabla_Elan,3,FALSE))</f>
        <v>0</v>
      </c>
      <c r="AM22" s="1893" t="b">
        <f>IF(OR($Y$11="",Elan!U22=""),FALSE,$Y$11&lt;VLOOKUP(U22,Tabla_Elan,3,FALSE))</f>
        <v>0</v>
      </c>
    </row>
    <row r="23" spans="1:39" ht="12" customHeight="1" x14ac:dyDescent="0.2">
      <c r="A23" s="31"/>
      <c r="B23" s="513"/>
      <c r="C23" s="4680"/>
      <c r="D23" s="4681"/>
      <c r="E23" s="4681"/>
      <c r="F23" s="4681"/>
      <c r="G23" s="819" t="str">
        <f t="shared" si="2"/>
        <v/>
      </c>
      <c r="I23" s="5187" t="str">
        <f>IF(C$11="","",INDEX(Tabla_ModElan,MATCH(C$11,INDEX(Tabla_ModElan,,1),0)+Tablas!$A4,3))</f>
        <v/>
      </c>
      <c r="J23" s="3730"/>
      <c r="K23" s="3730"/>
      <c r="L23" s="3730"/>
      <c r="M23" s="3730"/>
      <c r="N23" s="1017" t="str">
        <f t="shared" si="4"/>
        <v/>
      </c>
      <c r="O23" s="5181"/>
      <c r="P23" s="5182"/>
      <c r="Q23" s="5185"/>
      <c r="R23" s="23"/>
      <c r="S23" s="1171"/>
      <c r="U23" s="4680"/>
      <c r="V23" s="4681"/>
      <c r="W23" s="4681"/>
      <c r="X23" s="4681"/>
      <c r="Y23" s="819" t="str">
        <f t="shared" si="3"/>
        <v/>
      </c>
      <c r="AA23" s="5187" t="str">
        <f>IF(U$11="","",INDEX(Tabla_ModElan,MATCH(U$11,INDEX(Tabla_ModElan,,1),0)+Tablas!$A4,3))</f>
        <v/>
      </c>
      <c r="AB23" s="3730"/>
      <c r="AC23" s="3730"/>
      <c r="AD23" s="3730"/>
      <c r="AE23" s="3730"/>
      <c r="AF23" s="1017" t="str">
        <f t="shared" si="5"/>
        <v/>
      </c>
      <c r="AG23" s="5181"/>
      <c r="AH23" s="5182"/>
      <c r="AI23" s="5185"/>
      <c r="AJ23" s="790"/>
      <c r="AK23" s="611"/>
      <c r="AL23" s="1893" t="b">
        <f>IF(OR($G$11="",Elan!C23=""),FALSE,$G$11&lt;VLOOKUP(C23,Tabla_Elan,3,FALSE))</f>
        <v>0</v>
      </c>
      <c r="AM23" s="1893" t="b">
        <f>IF(OR($Y$11="",Elan!U23=""),FALSE,$Y$11&lt;VLOOKUP(U23,Tabla_Elan,3,FALSE))</f>
        <v>0</v>
      </c>
    </row>
    <row r="24" spans="1:39" ht="12" customHeight="1" x14ac:dyDescent="0.2">
      <c r="A24" s="31"/>
      <c r="B24" s="513"/>
      <c r="C24" s="5189"/>
      <c r="D24" s="5190"/>
      <c r="E24" s="5190"/>
      <c r="F24" s="5190"/>
      <c r="G24" s="820" t="str">
        <f t="shared" si="2"/>
        <v/>
      </c>
      <c r="I24" s="5187" t="str">
        <f>IF(C$11="","",INDEX(Tabla_ModElan,MATCH(C$11,INDEX(Tabla_ModElan,,1),0)+Tablas!$A5,3))</f>
        <v/>
      </c>
      <c r="J24" s="3730"/>
      <c r="K24" s="3730"/>
      <c r="L24" s="3730"/>
      <c r="M24" s="3730"/>
      <c r="N24" s="1017" t="str">
        <f t="shared" si="4"/>
        <v/>
      </c>
      <c r="O24" s="5177" t="str">
        <f>IF(C$11="","",INDEX(Tabla_ModElan,MATCH(C$11,INDEX(Tabla_ModElan,,1),0)+Tablas!$A5,5))</f>
        <v/>
      </c>
      <c r="P24" s="5178"/>
      <c r="Q24" s="5183" t="str">
        <f>IF(O24="","",INDEX(Tabla_ModElan,MATCH(O24,INDEX(Tabla_ModElan,,5),0),6))</f>
        <v/>
      </c>
      <c r="R24" s="23"/>
      <c r="S24" s="1171"/>
      <c r="U24" s="5189"/>
      <c r="V24" s="5190"/>
      <c r="W24" s="5190"/>
      <c r="X24" s="5190"/>
      <c r="Y24" s="820" t="str">
        <f t="shared" si="3"/>
        <v/>
      </c>
      <c r="AA24" s="5187" t="str">
        <f>IF(U$11="","",INDEX(Tabla_ModElan,MATCH(U$11,INDEX(Tabla_ModElan,,1),0)+Tablas!$A5,3))</f>
        <v/>
      </c>
      <c r="AB24" s="3730"/>
      <c r="AC24" s="3730"/>
      <c r="AD24" s="3730"/>
      <c r="AE24" s="3730"/>
      <c r="AF24" s="1017" t="str">
        <f t="shared" si="5"/>
        <v/>
      </c>
      <c r="AG24" s="5177" t="str">
        <f>IF(U$11="","",INDEX(Tabla_ModElan,MATCH(U$11,INDEX(Tabla_ModElan,,1),0)+Tablas!$A5,5))</f>
        <v/>
      </c>
      <c r="AH24" s="5178"/>
      <c r="AI24" s="5183" t="str">
        <f>IF(AG24="","",INDEX(Tabla_ModElan,MATCH(AG24,INDEX(Tabla_ModElan,,5),0),6))</f>
        <v/>
      </c>
      <c r="AJ24" s="790"/>
      <c r="AK24" s="611"/>
      <c r="AL24" s="1893" t="b">
        <f>IF(OR($G$11="",Elan!C24=""),FALSE,$G$11&lt;VLOOKUP(C24,Tabla_Elan,3,FALSE))</f>
        <v>0</v>
      </c>
      <c r="AM24" s="1893" t="b">
        <f>IF(OR($Y$11="",Elan!U24=""),FALSE,$Y$11&lt;VLOOKUP(U24,Tabla_Elan,3,FALSE))</f>
        <v>0</v>
      </c>
    </row>
    <row r="25" spans="1:39" ht="12" customHeight="1" x14ac:dyDescent="0.2">
      <c r="A25" s="31"/>
      <c r="B25" s="513"/>
      <c r="C25" s="4680"/>
      <c r="D25" s="4681"/>
      <c r="E25" s="4681"/>
      <c r="F25" s="4681"/>
      <c r="G25" s="819" t="str">
        <f t="shared" si="2"/>
        <v/>
      </c>
      <c r="I25" s="5187" t="str">
        <f>IF(C$11="","",INDEX(Tabla_ModElan,MATCH(C$11,INDEX(Tabla_ModElan,,1),0)+Tablas!$A6,3))</f>
        <v/>
      </c>
      <c r="J25" s="3730"/>
      <c r="K25" s="3730"/>
      <c r="L25" s="3730"/>
      <c r="M25" s="3730"/>
      <c r="N25" s="1017" t="str">
        <f t="shared" si="4"/>
        <v/>
      </c>
      <c r="O25" s="5179"/>
      <c r="P25" s="5180"/>
      <c r="Q25" s="5184"/>
      <c r="R25" s="23"/>
      <c r="S25" s="1171"/>
      <c r="U25" s="4680"/>
      <c r="V25" s="4681"/>
      <c r="W25" s="4681"/>
      <c r="X25" s="4681"/>
      <c r="Y25" s="819" t="str">
        <f t="shared" si="3"/>
        <v/>
      </c>
      <c r="AA25" s="5187" t="s">
        <v>2797</v>
      </c>
      <c r="AB25" s="3730"/>
      <c r="AC25" s="3730"/>
      <c r="AD25" s="3730"/>
      <c r="AE25" s="3730"/>
      <c r="AF25" s="1017" t="str">
        <f t="shared" si="5"/>
        <v/>
      </c>
      <c r="AG25" s="5179"/>
      <c r="AH25" s="5180"/>
      <c r="AI25" s="5184"/>
      <c r="AJ25" s="790"/>
      <c r="AK25" s="611"/>
      <c r="AL25" s="1893" t="b">
        <f>IF(OR($G$11="",Elan!C25=""),FALSE,$G$11&lt;VLOOKUP(C25,Tabla_Elan,3,FALSE))</f>
        <v>0</v>
      </c>
      <c r="AM25" s="1893" t="b">
        <f>IF(OR($Y$11="",Elan!U25=""),FALSE,$Y$11&lt;VLOOKUP(U25,Tabla_Elan,3,FALSE))</f>
        <v>0</v>
      </c>
    </row>
    <row r="26" spans="1:39" ht="12" customHeight="1" thickBot="1" x14ac:dyDescent="0.25">
      <c r="A26" s="31"/>
      <c r="B26" s="513"/>
      <c r="C26" s="5197" t="str">
        <f>IF(SUM(G13:G25)&gt;G11,"Exceso de Elán utilizado","")</f>
        <v/>
      </c>
      <c r="D26" s="5198"/>
      <c r="E26" s="5198"/>
      <c r="F26" s="5198"/>
      <c r="G26" s="5199"/>
      <c r="I26" s="5200" t="str">
        <f>IF(C$11="","",INDEX(Tabla_ModElan,MATCH(C$11,INDEX(Tabla_ModElan,,1),0)+Tablas!$A7,3))</f>
        <v/>
      </c>
      <c r="J26" s="3211"/>
      <c r="K26" s="3211"/>
      <c r="L26" s="3211"/>
      <c r="M26" s="3211"/>
      <c r="N26" s="1018" t="str">
        <f t="shared" si="4"/>
        <v/>
      </c>
      <c r="O26" s="5201"/>
      <c r="P26" s="5202"/>
      <c r="Q26" s="5203"/>
      <c r="R26" s="23"/>
      <c r="S26" s="1171"/>
      <c r="U26" s="5197" t="str">
        <f>IF(SUM(Y13:Y25)&gt;Y11,"Exceso de Elán utilizado","")</f>
        <v/>
      </c>
      <c r="V26" s="5198"/>
      <c r="W26" s="5198"/>
      <c r="X26" s="5198"/>
      <c r="Y26" s="5199"/>
      <c r="AA26" s="5200" t="str">
        <f>IF(U$11="","",INDEX(Tabla_ModElan,MATCH(U$11,INDEX(Tabla_ModElan,,1),0)+Tablas!$A7,3))</f>
        <v/>
      </c>
      <c r="AB26" s="3211"/>
      <c r="AC26" s="3211"/>
      <c r="AD26" s="3211"/>
      <c r="AE26" s="3211"/>
      <c r="AF26" s="1018" t="str">
        <f t="shared" si="5"/>
        <v/>
      </c>
      <c r="AG26" s="5201"/>
      <c r="AH26" s="5202"/>
      <c r="AI26" s="5203"/>
      <c r="AJ26" s="790"/>
      <c r="AK26" s="611"/>
      <c r="AL26" s="1893"/>
      <c r="AM26" s="1893"/>
    </row>
    <row r="27" spans="1:39" ht="12" customHeight="1" thickBot="1" x14ac:dyDescent="0.25">
      <c r="A27" s="31"/>
      <c r="B27" s="513"/>
      <c r="R27" s="23"/>
      <c r="S27" s="23"/>
      <c r="T27" s="23"/>
      <c r="U27" s="23"/>
      <c r="AJ27" s="790"/>
      <c r="AK27" s="611"/>
      <c r="AL27" s="1893"/>
      <c r="AM27" s="1893"/>
    </row>
    <row r="28" spans="1:39" ht="12" customHeight="1" thickBot="1" x14ac:dyDescent="0.25">
      <c r="A28" s="31"/>
      <c r="B28" s="513"/>
      <c r="C28" s="3197" t="s">
        <v>7029</v>
      </c>
      <c r="D28" s="3198"/>
      <c r="E28" s="3198"/>
      <c r="F28" s="3199"/>
      <c r="G28" s="5204" t="s">
        <v>1553</v>
      </c>
      <c r="H28" s="5204"/>
      <c r="I28" s="5204"/>
      <c r="J28" s="5204"/>
      <c r="K28" s="5204"/>
      <c r="L28" s="5204"/>
      <c r="M28" s="5204"/>
      <c r="N28" s="5204"/>
      <c r="O28" s="5204"/>
      <c r="P28" s="5204"/>
      <c r="Q28" s="5204"/>
      <c r="R28" s="5204"/>
      <c r="S28" s="5204"/>
      <c r="T28" s="5204"/>
      <c r="U28" s="5204"/>
      <c r="V28" s="5204"/>
      <c r="W28" s="5204"/>
      <c r="X28" s="5204"/>
      <c r="Y28" s="5204"/>
      <c r="Z28" s="5204"/>
      <c r="AA28" s="5204"/>
      <c r="AB28" s="5204"/>
      <c r="AC28" s="5204"/>
      <c r="AD28" s="5204"/>
      <c r="AE28" s="5204"/>
      <c r="AF28" s="5204"/>
      <c r="AG28" s="5204"/>
      <c r="AH28" s="5204"/>
      <c r="AI28" s="3699"/>
      <c r="AJ28" s="790"/>
      <c r="AK28" s="611"/>
      <c r="AL28" s="1893"/>
      <c r="AM28" s="1893"/>
    </row>
    <row r="29" spans="1:39" ht="12" customHeight="1" x14ac:dyDescent="0.2">
      <c r="A29" s="31"/>
      <c r="B29" s="513"/>
      <c r="C29" s="744"/>
      <c r="D29" s="168"/>
      <c r="E29" s="168"/>
      <c r="F29" s="743" t="str">
        <f>IF(ISNA(MATCH(Tablas!$A1,INDEX(Tabla_Elan,,14),0)),"",INDEX(INDEX(Tabla_Elan,,1),MATCH(Tablas!$A1,INDEX(Tabla_Elan,,14),0)))</f>
        <v/>
      </c>
      <c r="G29" s="4003" t="str">
        <f t="shared" ref="G29:G49" si="6">IF(F29="","",VLOOKUP(F29,Tabla_Elan,8,FALSE))</f>
        <v/>
      </c>
      <c r="H29" s="3407"/>
      <c r="I29" s="3407"/>
      <c r="J29" s="3407"/>
      <c r="K29" s="3407"/>
      <c r="L29" s="3407"/>
      <c r="M29" s="3407"/>
      <c r="N29" s="3407"/>
      <c r="O29" s="3407"/>
      <c r="P29" s="3407"/>
      <c r="Q29" s="3407"/>
      <c r="R29" s="3407"/>
      <c r="S29" s="3407"/>
      <c r="T29" s="3407"/>
      <c r="U29" s="3407"/>
      <c r="V29" s="3407"/>
      <c r="W29" s="3407"/>
      <c r="X29" s="3407"/>
      <c r="Y29" s="3407"/>
      <c r="Z29" s="3407"/>
      <c r="AA29" s="3407"/>
      <c r="AB29" s="3407"/>
      <c r="AC29" s="3407"/>
      <c r="AD29" s="3407"/>
      <c r="AE29" s="3407"/>
      <c r="AF29" s="3407"/>
      <c r="AG29" s="3407"/>
      <c r="AH29" s="3407"/>
      <c r="AI29" s="4004"/>
      <c r="AJ29" s="790"/>
      <c r="AK29" s="611"/>
      <c r="AL29" s="1893"/>
      <c r="AM29" s="1893"/>
    </row>
    <row r="30" spans="1:39" ht="12" customHeight="1" x14ac:dyDescent="0.2">
      <c r="A30" s="31"/>
      <c r="B30" s="513"/>
      <c r="C30" s="744"/>
      <c r="D30" s="168"/>
      <c r="E30" s="168"/>
      <c r="F30" s="743" t="str">
        <f>IF(ISNA(MATCH(Tablas!$A2,INDEX(Tabla_Elan,,14),0)),"",INDEX(INDEX(Tabla_Elan,,1),MATCH(Tablas!$A2,INDEX(Tabla_Elan,,14),0)))</f>
        <v/>
      </c>
      <c r="G30" s="4003" t="str">
        <f t="shared" si="6"/>
        <v/>
      </c>
      <c r="H30" s="3407"/>
      <c r="I30" s="3407"/>
      <c r="J30" s="3407"/>
      <c r="K30" s="3407"/>
      <c r="L30" s="3407"/>
      <c r="M30" s="3407"/>
      <c r="N30" s="3407"/>
      <c r="O30" s="3407"/>
      <c r="P30" s="3407"/>
      <c r="Q30" s="3407"/>
      <c r="R30" s="3407"/>
      <c r="S30" s="3407"/>
      <c r="T30" s="3407"/>
      <c r="U30" s="3407"/>
      <c r="V30" s="3407"/>
      <c r="W30" s="3407"/>
      <c r="X30" s="3407"/>
      <c r="Y30" s="3407"/>
      <c r="Z30" s="3407"/>
      <c r="AA30" s="3407"/>
      <c r="AB30" s="3407"/>
      <c r="AC30" s="3407"/>
      <c r="AD30" s="3407"/>
      <c r="AE30" s="3407"/>
      <c r="AF30" s="3407"/>
      <c r="AG30" s="3407"/>
      <c r="AH30" s="3407"/>
      <c r="AI30" s="4004"/>
      <c r="AJ30" s="790"/>
      <c r="AK30" s="611"/>
      <c r="AL30" s="1893"/>
      <c r="AM30" s="1893"/>
    </row>
    <row r="31" spans="1:39" ht="12" customHeight="1" x14ac:dyDescent="0.2">
      <c r="A31" s="31"/>
      <c r="B31" s="513"/>
      <c r="C31" s="744"/>
      <c r="D31" s="168"/>
      <c r="E31" s="168"/>
      <c r="F31" s="743" t="str">
        <f>IF(ISNA(MATCH(Tablas!$A3,INDEX(Tabla_Elan,,14),0)),"",INDEX(INDEX(Tabla_Elan,,1),MATCH(Tablas!$A3,INDEX(Tabla_Elan,,14),0)))</f>
        <v/>
      </c>
      <c r="G31" s="4003" t="str">
        <f t="shared" si="6"/>
        <v/>
      </c>
      <c r="H31" s="3407"/>
      <c r="I31" s="3407"/>
      <c r="J31" s="3407"/>
      <c r="K31" s="3407"/>
      <c r="L31" s="3407"/>
      <c r="M31" s="3407"/>
      <c r="N31" s="3407"/>
      <c r="O31" s="3407"/>
      <c r="P31" s="3407"/>
      <c r="Q31" s="3407"/>
      <c r="R31" s="3407"/>
      <c r="S31" s="3407"/>
      <c r="T31" s="3407"/>
      <c r="U31" s="3407"/>
      <c r="V31" s="3407"/>
      <c r="W31" s="3407"/>
      <c r="X31" s="3407"/>
      <c r="Y31" s="3407"/>
      <c r="Z31" s="3407"/>
      <c r="AA31" s="3407"/>
      <c r="AB31" s="3407"/>
      <c r="AC31" s="3407"/>
      <c r="AD31" s="3407"/>
      <c r="AE31" s="3407"/>
      <c r="AF31" s="3407"/>
      <c r="AG31" s="3407"/>
      <c r="AH31" s="3407"/>
      <c r="AI31" s="4004"/>
      <c r="AJ31" s="790"/>
      <c r="AK31" s="611"/>
      <c r="AL31" s="1893"/>
      <c r="AM31" s="1893"/>
    </row>
    <row r="32" spans="1:39" ht="12" customHeight="1" x14ac:dyDescent="0.2">
      <c r="A32" s="31"/>
      <c r="B32" s="513"/>
      <c r="C32" s="744"/>
      <c r="D32" s="168"/>
      <c r="E32" s="168"/>
      <c r="F32" s="743" t="str">
        <f>IF(ISNA(MATCH(Tablas!$A4,INDEX(Tabla_Elan,,14),0)),"",INDEX(INDEX(Tabla_Elan,,1),MATCH(Tablas!$A4,INDEX(Tabla_Elan,,14),0)))</f>
        <v/>
      </c>
      <c r="G32" s="4003" t="str">
        <f t="shared" si="6"/>
        <v/>
      </c>
      <c r="H32" s="3407"/>
      <c r="I32" s="3407"/>
      <c r="J32" s="3407"/>
      <c r="K32" s="3407"/>
      <c r="L32" s="3407"/>
      <c r="M32" s="3407"/>
      <c r="N32" s="3407"/>
      <c r="O32" s="3407"/>
      <c r="P32" s="3407"/>
      <c r="Q32" s="3407"/>
      <c r="R32" s="3407"/>
      <c r="S32" s="3407"/>
      <c r="T32" s="3407"/>
      <c r="U32" s="3407"/>
      <c r="V32" s="3407"/>
      <c r="W32" s="3407"/>
      <c r="X32" s="3407"/>
      <c r="Y32" s="3407"/>
      <c r="Z32" s="3407"/>
      <c r="AA32" s="3407"/>
      <c r="AB32" s="3407"/>
      <c r="AC32" s="3407"/>
      <c r="AD32" s="3407"/>
      <c r="AE32" s="3407"/>
      <c r="AF32" s="3407"/>
      <c r="AG32" s="3407"/>
      <c r="AH32" s="3407"/>
      <c r="AI32" s="4004"/>
      <c r="AJ32" s="790"/>
      <c r="AK32" s="611"/>
      <c r="AL32" s="1893"/>
      <c r="AM32" s="1893"/>
    </row>
    <row r="33" spans="1:39" ht="12" customHeight="1" x14ac:dyDescent="0.2">
      <c r="A33" s="31"/>
      <c r="B33" s="513"/>
      <c r="C33" s="744"/>
      <c r="D33" s="168"/>
      <c r="E33" s="168"/>
      <c r="F33" s="743" t="str">
        <f>IF(ISNA(MATCH(Tablas!$A5,INDEX(Tabla_Elan,,14),0)),"",INDEX(INDEX(Tabla_Elan,,1),MATCH(Tablas!$A5,INDEX(Tabla_Elan,,14),0)))</f>
        <v/>
      </c>
      <c r="G33" s="4003" t="str">
        <f t="shared" si="6"/>
        <v/>
      </c>
      <c r="H33" s="3407"/>
      <c r="I33" s="3407"/>
      <c r="J33" s="3407"/>
      <c r="K33" s="3407"/>
      <c r="L33" s="3407"/>
      <c r="M33" s="3407"/>
      <c r="N33" s="3407"/>
      <c r="O33" s="3407"/>
      <c r="P33" s="3407"/>
      <c r="Q33" s="3407"/>
      <c r="R33" s="3407"/>
      <c r="S33" s="3407"/>
      <c r="T33" s="3407"/>
      <c r="U33" s="3407"/>
      <c r="V33" s="3407"/>
      <c r="W33" s="3407"/>
      <c r="X33" s="3407"/>
      <c r="Y33" s="3407"/>
      <c r="Z33" s="3407"/>
      <c r="AA33" s="3407"/>
      <c r="AB33" s="3407"/>
      <c r="AC33" s="3407"/>
      <c r="AD33" s="3407"/>
      <c r="AE33" s="3407"/>
      <c r="AF33" s="3407"/>
      <c r="AG33" s="3407"/>
      <c r="AH33" s="3407"/>
      <c r="AI33" s="4004"/>
      <c r="AJ33" s="790"/>
      <c r="AK33" s="611"/>
      <c r="AL33" s="1893"/>
      <c r="AM33" s="1893"/>
    </row>
    <row r="34" spans="1:39" ht="12" customHeight="1" x14ac:dyDescent="0.2">
      <c r="A34" s="31"/>
      <c r="B34" s="513"/>
      <c r="C34" s="744"/>
      <c r="D34" s="168"/>
      <c r="E34" s="168"/>
      <c r="F34" s="743" t="str">
        <f>IF(ISNA(MATCH(Tablas!$A6,INDEX(Tabla_Elan,,14),0)),"",INDEX(INDEX(Tabla_Elan,,1),MATCH(Tablas!$A6,INDEX(Tabla_Elan,,14),0)))</f>
        <v/>
      </c>
      <c r="G34" s="4003" t="str">
        <f t="shared" si="6"/>
        <v/>
      </c>
      <c r="H34" s="3407"/>
      <c r="I34" s="3407"/>
      <c r="J34" s="3407"/>
      <c r="K34" s="3407"/>
      <c r="L34" s="3407"/>
      <c r="M34" s="3407"/>
      <c r="N34" s="3407"/>
      <c r="O34" s="3407"/>
      <c r="P34" s="3407"/>
      <c r="Q34" s="3407"/>
      <c r="R34" s="3407"/>
      <c r="S34" s="3407"/>
      <c r="T34" s="3407"/>
      <c r="U34" s="3407"/>
      <c r="V34" s="3407"/>
      <c r="W34" s="3407"/>
      <c r="X34" s="3407"/>
      <c r="Y34" s="3407"/>
      <c r="Z34" s="3407"/>
      <c r="AA34" s="3407"/>
      <c r="AB34" s="3407"/>
      <c r="AC34" s="3407"/>
      <c r="AD34" s="3407"/>
      <c r="AE34" s="3407"/>
      <c r="AF34" s="3407"/>
      <c r="AG34" s="3407"/>
      <c r="AH34" s="3407"/>
      <c r="AI34" s="4004"/>
      <c r="AJ34" s="790"/>
      <c r="AK34" s="611"/>
      <c r="AL34" s="1893"/>
      <c r="AM34" s="1893"/>
    </row>
    <row r="35" spans="1:39" ht="12" customHeight="1" x14ac:dyDescent="0.2">
      <c r="A35" s="31"/>
      <c r="B35" s="513"/>
      <c r="C35" s="744"/>
      <c r="D35" s="168"/>
      <c r="E35" s="168"/>
      <c r="F35" s="743" t="str">
        <f>IF(ISNA(MATCH(Tablas!$A7,INDEX(Tabla_Elan,,14),0)),"",INDEX(INDEX(Tabla_Elan,,1),MATCH(Tablas!$A7,INDEX(Tabla_Elan,,14),0)))</f>
        <v/>
      </c>
      <c r="G35" s="4003" t="str">
        <f t="shared" si="6"/>
        <v/>
      </c>
      <c r="H35" s="3407"/>
      <c r="I35" s="3407"/>
      <c r="J35" s="3407"/>
      <c r="K35" s="3407"/>
      <c r="L35" s="3407"/>
      <c r="M35" s="3407"/>
      <c r="N35" s="3407"/>
      <c r="O35" s="3407"/>
      <c r="P35" s="3407"/>
      <c r="Q35" s="3407"/>
      <c r="R35" s="3407"/>
      <c r="S35" s="3407"/>
      <c r="T35" s="3407"/>
      <c r="U35" s="3407"/>
      <c r="V35" s="3407"/>
      <c r="W35" s="3407"/>
      <c r="X35" s="3407"/>
      <c r="Y35" s="3407"/>
      <c r="Z35" s="3407"/>
      <c r="AA35" s="3407"/>
      <c r="AB35" s="3407"/>
      <c r="AC35" s="3407"/>
      <c r="AD35" s="3407"/>
      <c r="AE35" s="3407"/>
      <c r="AF35" s="3407"/>
      <c r="AG35" s="3407"/>
      <c r="AH35" s="3407"/>
      <c r="AI35" s="4004"/>
      <c r="AJ35" s="790"/>
      <c r="AK35" s="611"/>
      <c r="AL35" s="1893"/>
      <c r="AM35" s="1893"/>
    </row>
    <row r="36" spans="1:39" ht="12" customHeight="1" x14ac:dyDescent="0.2">
      <c r="A36" s="31"/>
      <c r="B36" s="513"/>
      <c r="C36" s="744"/>
      <c r="D36" s="168"/>
      <c r="E36" s="168"/>
      <c r="F36" s="743" t="str">
        <f>IF(ISNA(MATCH(Tablas!$A8,INDEX(Tabla_Elan,,14),0)),"",INDEX(INDEX(Tabla_Elan,,1),MATCH(Tablas!$A8,INDEX(Tabla_Elan,,14),0)))</f>
        <v/>
      </c>
      <c r="G36" s="4003" t="str">
        <f t="shared" si="6"/>
        <v/>
      </c>
      <c r="H36" s="3407"/>
      <c r="I36" s="3407"/>
      <c r="J36" s="3407"/>
      <c r="K36" s="3407"/>
      <c r="L36" s="3407"/>
      <c r="M36" s="3407"/>
      <c r="N36" s="3407"/>
      <c r="O36" s="3407"/>
      <c r="P36" s="3407"/>
      <c r="Q36" s="3407"/>
      <c r="R36" s="3407"/>
      <c r="S36" s="3407"/>
      <c r="T36" s="3407"/>
      <c r="U36" s="3407"/>
      <c r="V36" s="3407"/>
      <c r="W36" s="3407"/>
      <c r="X36" s="3407"/>
      <c r="Y36" s="3407"/>
      <c r="Z36" s="3407"/>
      <c r="AA36" s="3407"/>
      <c r="AB36" s="3407"/>
      <c r="AC36" s="3407"/>
      <c r="AD36" s="3407"/>
      <c r="AE36" s="3407"/>
      <c r="AF36" s="3407"/>
      <c r="AG36" s="3407"/>
      <c r="AH36" s="3407"/>
      <c r="AI36" s="4004"/>
      <c r="AJ36" s="790"/>
      <c r="AK36" s="611"/>
      <c r="AL36" s="1893"/>
      <c r="AM36" s="1893"/>
    </row>
    <row r="37" spans="1:39" ht="12" customHeight="1" x14ac:dyDescent="0.2">
      <c r="A37" s="31"/>
      <c r="B37" s="513"/>
      <c r="C37" s="744"/>
      <c r="D37" s="168"/>
      <c r="E37" s="168"/>
      <c r="F37" s="743" t="str">
        <f>IF(ISNA(MATCH(Tablas!$A9,INDEX(Tabla_Elan,,14),0)),"",INDEX(INDEX(Tabla_Elan,,1),MATCH(Tablas!$A9,INDEX(Tabla_Elan,,14),0)))</f>
        <v/>
      </c>
      <c r="G37" s="4003" t="str">
        <f t="shared" si="6"/>
        <v/>
      </c>
      <c r="H37" s="3407"/>
      <c r="I37" s="3407"/>
      <c r="J37" s="3407"/>
      <c r="K37" s="3407"/>
      <c r="L37" s="3407"/>
      <c r="M37" s="3407"/>
      <c r="N37" s="3407"/>
      <c r="O37" s="3407"/>
      <c r="P37" s="3407"/>
      <c r="Q37" s="3407"/>
      <c r="R37" s="3407"/>
      <c r="S37" s="3407"/>
      <c r="T37" s="3407"/>
      <c r="U37" s="3407"/>
      <c r="V37" s="3407"/>
      <c r="W37" s="3407"/>
      <c r="X37" s="3407"/>
      <c r="Y37" s="3407"/>
      <c r="Z37" s="3407"/>
      <c r="AA37" s="3407"/>
      <c r="AB37" s="3407"/>
      <c r="AC37" s="3407"/>
      <c r="AD37" s="3407"/>
      <c r="AE37" s="3407"/>
      <c r="AF37" s="3407"/>
      <c r="AG37" s="3407"/>
      <c r="AH37" s="3407"/>
      <c r="AI37" s="4004"/>
      <c r="AJ37" s="790"/>
      <c r="AK37" s="611"/>
      <c r="AL37" s="1893"/>
      <c r="AM37" s="1893"/>
    </row>
    <row r="38" spans="1:39" ht="12" customHeight="1" x14ac:dyDescent="0.2">
      <c r="A38" s="31"/>
      <c r="B38" s="513"/>
      <c r="C38" s="744"/>
      <c r="D38" s="168"/>
      <c r="E38" s="168"/>
      <c r="F38" s="743" t="str">
        <f>IF(ISNA(MATCH(Tablas!$A10,INDEX(Tabla_Elan,,14),0)),"",INDEX(INDEX(Tabla_Elan,,1),MATCH(Tablas!$A10,INDEX(Tabla_Elan,,14),0)))</f>
        <v/>
      </c>
      <c r="G38" s="4003" t="str">
        <f t="shared" si="6"/>
        <v/>
      </c>
      <c r="H38" s="3407"/>
      <c r="I38" s="3407"/>
      <c r="J38" s="3407"/>
      <c r="K38" s="3407"/>
      <c r="L38" s="3407"/>
      <c r="M38" s="3407"/>
      <c r="N38" s="3407"/>
      <c r="O38" s="3407"/>
      <c r="P38" s="3407"/>
      <c r="Q38" s="3407"/>
      <c r="R38" s="3407"/>
      <c r="S38" s="3407"/>
      <c r="T38" s="3407"/>
      <c r="U38" s="3407"/>
      <c r="V38" s="3407"/>
      <c r="W38" s="3407"/>
      <c r="X38" s="3407"/>
      <c r="Y38" s="3407"/>
      <c r="Z38" s="3407"/>
      <c r="AA38" s="3407"/>
      <c r="AB38" s="3407"/>
      <c r="AC38" s="3407"/>
      <c r="AD38" s="3407"/>
      <c r="AE38" s="3407"/>
      <c r="AF38" s="3407"/>
      <c r="AG38" s="3407"/>
      <c r="AH38" s="3407"/>
      <c r="AI38" s="4004"/>
      <c r="AJ38" s="790"/>
      <c r="AK38" s="611"/>
      <c r="AL38" s="1893"/>
      <c r="AM38" s="1893"/>
    </row>
    <row r="39" spans="1:39" ht="12" customHeight="1" x14ac:dyDescent="0.2">
      <c r="A39" s="31"/>
      <c r="B39" s="513"/>
      <c r="C39" s="744"/>
      <c r="D39" s="168"/>
      <c r="E39" s="168"/>
      <c r="F39" s="743" t="str">
        <f>IF(ISNA(MATCH(Tablas!$A11,INDEX(Tabla_Elan,,14),0)),"",INDEX(INDEX(Tabla_Elan,,1),MATCH(Tablas!$A11,INDEX(Tabla_Elan,,14),0)))</f>
        <v/>
      </c>
      <c r="G39" s="4003" t="str">
        <f t="shared" si="6"/>
        <v/>
      </c>
      <c r="H39" s="3407"/>
      <c r="I39" s="3407"/>
      <c r="J39" s="3407"/>
      <c r="K39" s="3407"/>
      <c r="L39" s="3407"/>
      <c r="M39" s="3407"/>
      <c r="N39" s="3407"/>
      <c r="O39" s="3407"/>
      <c r="P39" s="3407"/>
      <c r="Q39" s="3407"/>
      <c r="R39" s="3407"/>
      <c r="S39" s="3407"/>
      <c r="T39" s="3407"/>
      <c r="U39" s="3407"/>
      <c r="V39" s="3407"/>
      <c r="W39" s="3407"/>
      <c r="X39" s="3407"/>
      <c r="Y39" s="3407"/>
      <c r="Z39" s="3407"/>
      <c r="AA39" s="3407"/>
      <c r="AB39" s="3407"/>
      <c r="AC39" s="3407"/>
      <c r="AD39" s="3407"/>
      <c r="AE39" s="3407"/>
      <c r="AF39" s="3407"/>
      <c r="AG39" s="3407"/>
      <c r="AH39" s="3407"/>
      <c r="AI39" s="4004"/>
      <c r="AJ39" s="790"/>
      <c r="AK39" s="611"/>
      <c r="AL39" s="1893"/>
      <c r="AM39" s="1893"/>
    </row>
    <row r="40" spans="1:39" ht="12" customHeight="1" x14ac:dyDescent="0.2">
      <c r="A40" s="31"/>
      <c r="B40" s="513"/>
      <c r="C40" s="744"/>
      <c r="D40" s="168"/>
      <c r="E40" s="168"/>
      <c r="F40" s="743" t="str">
        <f>IF(ISNA(MATCH(Tablas!$A12,INDEX(Tabla_Elan,,14),0)),"",INDEX(INDEX(Tabla_Elan,,1),MATCH(Tablas!$A12,INDEX(Tabla_Elan,,14),0)))</f>
        <v/>
      </c>
      <c r="G40" s="4003" t="str">
        <f t="shared" si="6"/>
        <v/>
      </c>
      <c r="H40" s="3407"/>
      <c r="I40" s="3407"/>
      <c r="J40" s="3407"/>
      <c r="K40" s="3407"/>
      <c r="L40" s="3407"/>
      <c r="M40" s="3407"/>
      <c r="N40" s="3407"/>
      <c r="O40" s="3407"/>
      <c r="P40" s="3407"/>
      <c r="Q40" s="3407"/>
      <c r="R40" s="3407"/>
      <c r="S40" s="3407"/>
      <c r="T40" s="3407"/>
      <c r="U40" s="3407"/>
      <c r="V40" s="3407"/>
      <c r="W40" s="3407"/>
      <c r="X40" s="3407"/>
      <c r="Y40" s="3407"/>
      <c r="Z40" s="3407"/>
      <c r="AA40" s="3407"/>
      <c r="AB40" s="3407"/>
      <c r="AC40" s="3407"/>
      <c r="AD40" s="3407"/>
      <c r="AE40" s="3407"/>
      <c r="AF40" s="3407"/>
      <c r="AG40" s="3407"/>
      <c r="AH40" s="3407"/>
      <c r="AI40" s="4004"/>
      <c r="AJ40" s="790"/>
      <c r="AK40" s="611"/>
      <c r="AL40" s="1893"/>
      <c r="AM40" s="1893"/>
    </row>
    <row r="41" spans="1:39" ht="12" customHeight="1" x14ac:dyDescent="0.2">
      <c r="A41" s="31"/>
      <c r="B41" s="513"/>
      <c r="C41" s="744"/>
      <c r="D41" s="168"/>
      <c r="E41" s="168"/>
      <c r="F41" s="743" t="str">
        <f>IF(ISNA(MATCH(Tablas!$A13,INDEX(Tabla_Elan,,14),0)),"",INDEX(INDEX(Tabla_Elan,,1),MATCH(Tablas!$A13,INDEX(Tabla_Elan,,14),0)))</f>
        <v/>
      </c>
      <c r="G41" s="4003" t="str">
        <f t="shared" si="6"/>
        <v/>
      </c>
      <c r="H41" s="3407"/>
      <c r="I41" s="3407"/>
      <c r="J41" s="3407"/>
      <c r="K41" s="3407"/>
      <c r="L41" s="3407"/>
      <c r="M41" s="3407"/>
      <c r="N41" s="3407"/>
      <c r="O41" s="3407"/>
      <c r="P41" s="3407"/>
      <c r="Q41" s="3407"/>
      <c r="R41" s="3407"/>
      <c r="S41" s="3407"/>
      <c r="T41" s="3407"/>
      <c r="U41" s="3407"/>
      <c r="V41" s="3407"/>
      <c r="W41" s="3407"/>
      <c r="X41" s="3407"/>
      <c r="Y41" s="3407"/>
      <c r="Z41" s="3407"/>
      <c r="AA41" s="3407"/>
      <c r="AB41" s="3407"/>
      <c r="AC41" s="3407"/>
      <c r="AD41" s="3407"/>
      <c r="AE41" s="3407"/>
      <c r="AF41" s="3407"/>
      <c r="AG41" s="3407"/>
      <c r="AH41" s="3407"/>
      <c r="AI41" s="4004"/>
      <c r="AJ41" s="790"/>
      <c r="AK41" s="611"/>
      <c r="AL41" s="1893"/>
      <c r="AM41" s="1893"/>
    </row>
    <row r="42" spans="1:39" ht="12" customHeight="1" x14ac:dyDescent="0.2">
      <c r="A42" s="31"/>
      <c r="B42" s="513"/>
      <c r="C42" s="744"/>
      <c r="D42" s="168"/>
      <c r="E42" s="168"/>
      <c r="F42" s="743" t="str">
        <f>IF(ISNA(MATCH(Tablas!$A14,INDEX(Tabla_Elan,,14),0)),"",INDEX(INDEX(Tabla_Elan,,1),MATCH(Tablas!$A14,INDEX(Tabla_Elan,,14),0)))</f>
        <v/>
      </c>
      <c r="G42" s="4003" t="str">
        <f t="shared" si="6"/>
        <v/>
      </c>
      <c r="H42" s="3407"/>
      <c r="I42" s="3407"/>
      <c r="J42" s="3407"/>
      <c r="K42" s="3407"/>
      <c r="L42" s="3407"/>
      <c r="M42" s="3407"/>
      <c r="N42" s="3407"/>
      <c r="O42" s="3407"/>
      <c r="P42" s="3407"/>
      <c r="Q42" s="3407"/>
      <c r="R42" s="3407"/>
      <c r="S42" s="3407"/>
      <c r="T42" s="3407"/>
      <c r="U42" s="3407"/>
      <c r="V42" s="3407"/>
      <c r="W42" s="3407"/>
      <c r="X42" s="3407"/>
      <c r="Y42" s="3407"/>
      <c r="Z42" s="3407"/>
      <c r="AA42" s="3407"/>
      <c r="AB42" s="3407"/>
      <c r="AC42" s="3407"/>
      <c r="AD42" s="3407"/>
      <c r="AE42" s="3407"/>
      <c r="AF42" s="3407"/>
      <c r="AG42" s="3407"/>
      <c r="AH42" s="3407"/>
      <c r="AI42" s="4004"/>
      <c r="AJ42" s="790"/>
      <c r="AK42" s="611"/>
      <c r="AL42" s="1893"/>
      <c r="AM42" s="1893"/>
    </row>
    <row r="43" spans="1:39" ht="12" customHeight="1" x14ac:dyDescent="0.2">
      <c r="A43" s="31"/>
      <c r="B43" s="513"/>
      <c r="C43" s="744"/>
      <c r="D43" s="168"/>
      <c r="E43" s="168"/>
      <c r="F43" s="743" t="str">
        <f>IF(ISNA(MATCH(Tablas!$A15,INDEX(Tabla_Elan,,14),0)),"",INDEX(INDEX(Tabla_Elan,,1),MATCH(Tablas!$A15,INDEX(Tabla_Elan,,14),0)))</f>
        <v/>
      </c>
      <c r="G43" s="4003" t="str">
        <f t="shared" si="6"/>
        <v/>
      </c>
      <c r="H43" s="3407"/>
      <c r="I43" s="3407"/>
      <c r="J43" s="3407"/>
      <c r="K43" s="3407"/>
      <c r="L43" s="3407"/>
      <c r="M43" s="3407"/>
      <c r="N43" s="3407"/>
      <c r="O43" s="3407"/>
      <c r="P43" s="3407"/>
      <c r="Q43" s="3407"/>
      <c r="R43" s="3407"/>
      <c r="S43" s="3407"/>
      <c r="T43" s="3407"/>
      <c r="U43" s="3407"/>
      <c r="V43" s="3407"/>
      <c r="W43" s="3407"/>
      <c r="X43" s="3407"/>
      <c r="Y43" s="3407"/>
      <c r="Z43" s="3407"/>
      <c r="AA43" s="3407"/>
      <c r="AB43" s="3407"/>
      <c r="AC43" s="3407"/>
      <c r="AD43" s="3407"/>
      <c r="AE43" s="3407"/>
      <c r="AF43" s="3407"/>
      <c r="AG43" s="3407"/>
      <c r="AH43" s="3407"/>
      <c r="AI43" s="4004"/>
      <c r="AJ43" s="790"/>
      <c r="AK43" s="611"/>
      <c r="AL43" s="1893"/>
      <c r="AM43" s="1893"/>
    </row>
    <row r="44" spans="1:39" ht="12" customHeight="1" x14ac:dyDescent="0.2">
      <c r="A44" s="31"/>
      <c r="B44" s="513"/>
      <c r="C44" s="744"/>
      <c r="D44" s="168"/>
      <c r="E44" s="168"/>
      <c r="F44" s="743" t="str">
        <f>IF(ISNA(MATCH(Tablas!$A16,INDEX(Tabla_Elan,,14),0)),"",INDEX(INDEX(Tabla_Elan,,1),MATCH(Tablas!$A16,INDEX(Tabla_Elan,,14),0)))</f>
        <v/>
      </c>
      <c r="G44" s="4003" t="str">
        <f t="shared" si="6"/>
        <v/>
      </c>
      <c r="H44" s="3407"/>
      <c r="I44" s="3407"/>
      <c r="J44" s="3407"/>
      <c r="K44" s="3407"/>
      <c r="L44" s="3407"/>
      <c r="M44" s="3407"/>
      <c r="N44" s="3407"/>
      <c r="O44" s="3407"/>
      <c r="P44" s="3407"/>
      <c r="Q44" s="3407"/>
      <c r="R44" s="3407"/>
      <c r="S44" s="3407"/>
      <c r="T44" s="3407"/>
      <c r="U44" s="3407"/>
      <c r="V44" s="3407"/>
      <c r="W44" s="3407"/>
      <c r="X44" s="3407"/>
      <c r="Y44" s="3407"/>
      <c r="Z44" s="3407"/>
      <c r="AA44" s="3407"/>
      <c r="AB44" s="3407"/>
      <c r="AC44" s="3407"/>
      <c r="AD44" s="3407"/>
      <c r="AE44" s="3407"/>
      <c r="AF44" s="3407"/>
      <c r="AG44" s="3407"/>
      <c r="AH44" s="3407"/>
      <c r="AI44" s="4004"/>
      <c r="AJ44" s="790"/>
      <c r="AK44" s="611"/>
      <c r="AL44" s="1893"/>
      <c r="AM44" s="1893"/>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1893"/>
      <c r="AM45" s="1893"/>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1893"/>
      <c r="AM46" s="1893"/>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1893"/>
      <c r="AM47" s="1893"/>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1893"/>
      <c r="AM48" s="1893"/>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1893"/>
      <c r="AM49" s="1893"/>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1893"/>
      <c r="AM50" s="1893"/>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891"/>
      <c r="AM51" s="189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68" priority="11" operator="equal">
      <formula>0</formula>
    </cfRule>
  </conditionalFormatting>
  <conditionalFormatting sqref="C13:F25">
    <cfRule type="expression" dxfId="667" priority="9">
      <formula>$AL13</formula>
    </cfRule>
  </conditionalFormatting>
  <conditionalFormatting sqref="AA10:AI26">
    <cfRule type="cellIs" dxfId="666" priority="5" operator="equal">
      <formula>0</formula>
    </cfRule>
  </conditionalFormatting>
  <conditionalFormatting sqref="U13:X25">
    <cfRule type="expression" dxfId="665" priority="2">
      <formula>$AL13</formula>
    </cfRule>
  </conditionalFormatting>
  <conditionalFormatting sqref="N20:N26">
    <cfRule type="cellIs" dxfId="664"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Tablas!$C$1734:$C$1747</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888" t="s">
        <v>8943</v>
      </c>
      <c r="AN1" s="1872"/>
      <c r="AO1" s="1872"/>
      <c r="AP1" s="1872"/>
      <c r="AQ1" s="1872"/>
      <c r="AR1" s="1872"/>
      <c r="AS1" s="1872"/>
      <c r="AT1" s="1872"/>
      <c r="AU1" s="1872"/>
      <c r="AV1" s="1872"/>
      <c r="AW1" s="1872"/>
      <c r="AX1" s="1872"/>
      <c r="AY1" s="1872"/>
      <c r="AZ1" s="1872"/>
      <c r="BA1" s="1872"/>
      <c r="BB1" s="1872"/>
      <c r="BC1" s="1872"/>
      <c r="BD1" s="1872"/>
      <c r="BE1" s="1872"/>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1872"/>
      <c r="AN2" s="1872"/>
      <c r="AO2" s="1872"/>
      <c r="AP2" s="1872"/>
      <c r="AQ2" s="1872"/>
      <c r="AR2" s="1872"/>
      <c r="AS2" s="1872"/>
      <c r="AT2" s="1872"/>
      <c r="AU2" s="1872"/>
      <c r="AV2" s="1872"/>
      <c r="AW2" s="1872"/>
      <c r="AX2" s="1872"/>
      <c r="AY2" s="1872"/>
      <c r="AZ2" s="1872"/>
      <c r="BA2" s="1872"/>
      <c r="BB2" s="1872"/>
      <c r="BC2" s="1872"/>
      <c r="BD2" s="1872"/>
      <c r="BE2" s="1872"/>
    </row>
    <row r="3" spans="1:57" ht="12" customHeight="1" x14ac:dyDescent="0.2">
      <c r="A3" s="2315"/>
      <c r="B3" s="1032"/>
      <c r="C3" s="5205" t="s">
        <v>8672</v>
      </c>
      <c r="D3" s="5206"/>
      <c r="E3" s="5206"/>
      <c r="F3" s="5206"/>
      <c r="G3" s="5206"/>
      <c r="H3" s="5206"/>
      <c r="I3" s="5206"/>
      <c r="J3" s="5206"/>
      <c r="K3" s="5206"/>
      <c r="L3" s="5206"/>
      <c r="M3" s="5206"/>
      <c r="N3" s="5206"/>
      <c r="O3" s="5206"/>
      <c r="P3" s="5206"/>
      <c r="Q3" s="5207"/>
      <c r="R3" s="614"/>
      <c r="S3" s="2314"/>
      <c r="T3" s="2315"/>
      <c r="U3" s="1032"/>
      <c r="V3" s="5205" t="s">
        <v>7308</v>
      </c>
      <c r="W3" s="5206"/>
      <c r="X3" s="5206"/>
      <c r="Y3" s="5206"/>
      <c r="Z3" s="5206"/>
      <c r="AA3" s="5206"/>
      <c r="AB3" s="5206"/>
      <c r="AC3" s="5206"/>
      <c r="AD3" s="5206"/>
      <c r="AE3" s="5206"/>
      <c r="AF3" s="5206"/>
      <c r="AG3" s="5206"/>
      <c r="AH3" s="5206"/>
      <c r="AI3" s="5206"/>
      <c r="AJ3" s="5207"/>
      <c r="AK3" s="790"/>
      <c r="AL3" s="2329"/>
      <c r="AM3" s="1872" t="s">
        <v>8823</v>
      </c>
      <c r="AN3" s="1872" t="str">
        <f>Tablas!AB759</f>
        <v>Tablas!$AB$640:$AB$740</v>
      </c>
      <c r="AO3" s="1872"/>
      <c r="AP3" s="1872"/>
      <c r="AQ3" s="1872"/>
      <c r="AR3" s="1872" t="s">
        <v>1396</v>
      </c>
      <c r="AS3" s="1872" t="str">
        <f>IF(AO91="","",", "&amp;AO91)&amp;IF(AO107="","",", "&amp;AO107)&amp;IF(AO123="","",", "&amp;AO123)</f>
        <v/>
      </c>
      <c r="AT3" s="1872" t="str">
        <f>IFERROR(RIGHT(AS3,LEN(AS3)-2),"")</f>
        <v/>
      </c>
      <c r="AU3" s="1872"/>
      <c r="AV3" s="1872"/>
      <c r="AW3" s="1872"/>
      <c r="AX3" s="1872"/>
      <c r="AY3" s="1872"/>
      <c r="AZ3" s="1872"/>
      <c r="BA3" s="1872"/>
      <c r="BB3" s="1872"/>
      <c r="BC3" s="1872"/>
      <c r="BD3" s="1872"/>
      <c r="BE3" s="1872"/>
    </row>
    <row r="4" spans="1:57" ht="12" customHeight="1" thickBot="1" x14ac:dyDescent="0.25">
      <c r="A4" s="2315"/>
      <c r="B4" s="1032"/>
      <c r="C4" s="3966"/>
      <c r="D4" s="3967"/>
      <c r="E4" s="3967"/>
      <c r="F4" s="3967"/>
      <c r="G4" s="3967"/>
      <c r="H4" s="3967"/>
      <c r="I4" s="3967"/>
      <c r="J4" s="3967"/>
      <c r="K4" s="3967"/>
      <c r="L4" s="3967"/>
      <c r="M4" s="3967"/>
      <c r="N4" s="3967"/>
      <c r="O4" s="3967"/>
      <c r="P4" s="3967"/>
      <c r="Q4" s="3968"/>
      <c r="R4" s="614"/>
      <c r="S4" s="2314"/>
      <c r="T4" s="2315"/>
      <c r="U4" s="1032"/>
      <c r="V4" s="3966"/>
      <c r="W4" s="3967"/>
      <c r="X4" s="3967"/>
      <c r="Y4" s="3967"/>
      <c r="Z4" s="3967"/>
      <c r="AA4" s="3967"/>
      <c r="AB4" s="3967"/>
      <c r="AC4" s="3967"/>
      <c r="AD4" s="3967"/>
      <c r="AE4" s="3967"/>
      <c r="AF4" s="3967"/>
      <c r="AG4" s="3967"/>
      <c r="AH4" s="3967"/>
      <c r="AI4" s="3967"/>
      <c r="AJ4" s="3968"/>
      <c r="AK4" s="790"/>
      <c r="AL4" s="2329"/>
      <c r="AM4" s="1872" t="s">
        <v>8751</v>
      </c>
      <c r="AN4" s="1872" t="str">
        <f>Tablas!AD759</f>
        <v>Tablas!$AD$643:$AD$653</v>
      </c>
      <c r="AO4" s="1872"/>
      <c r="AP4" s="1872"/>
      <c r="AQ4" s="1872"/>
      <c r="AR4" s="1872" t="s">
        <v>7420</v>
      </c>
      <c r="AS4" s="1872" t="str">
        <f>IF(AP91="","",", "&amp;AP91)&amp;IF(AP107="","",", "&amp;AP107)&amp;IF(AP123="","",", "&amp;AP123)</f>
        <v/>
      </c>
      <c r="AT4" s="1872" t="str">
        <f>IFERROR(RIGHT(AS4,LEN(AS4)-2),"")</f>
        <v/>
      </c>
      <c r="AU4" s="1872"/>
      <c r="AV4" s="1872"/>
      <c r="AW4" s="1872"/>
      <c r="AX4" s="1872"/>
      <c r="AY4" s="1872"/>
      <c r="AZ4" s="1872"/>
      <c r="BA4" s="1872"/>
      <c r="BB4" s="1872"/>
      <c r="BC4" s="1872"/>
      <c r="BD4" s="1872"/>
      <c r="BE4" s="1872"/>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1872" t="s">
        <v>1583</v>
      </c>
      <c r="AN5" s="1872" t="str">
        <f>Tablas!AC759</f>
        <v>Tablas!$AC$640:$AC$680</v>
      </c>
      <c r="AO5" s="1872"/>
      <c r="AP5" s="1872"/>
      <c r="AQ5" s="1872"/>
      <c r="AR5" s="1872" t="s">
        <v>8528</v>
      </c>
      <c r="AS5" s="1872" t="str">
        <f>IF(AQ91="","",", "&amp;AQ91)&amp;IF(AQ107="","",", "&amp;AQ107)&amp;IF(AQ123="","",", "&amp;AQ123)</f>
        <v/>
      </c>
      <c r="AT5" s="1872" t="str">
        <f t="shared" ref="AT5:AT6" si="0">IFERROR(RIGHT(AS5,LEN(AS5)-2),"")</f>
        <v/>
      </c>
      <c r="AU5" s="1872"/>
      <c r="AV5" s="1872"/>
      <c r="AW5" s="1872"/>
      <c r="AX5" s="1872"/>
      <c r="AY5" s="1872"/>
      <c r="AZ5" s="1872"/>
      <c r="BA5" s="1872"/>
      <c r="BB5" s="1872"/>
      <c r="BC5" s="1872"/>
      <c r="BD5" s="1872"/>
      <c r="BE5" s="1872"/>
    </row>
    <row r="6" spans="1:57" ht="12" customHeight="1" x14ac:dyDescent="0.2">
      <c r="A6" s="2315"/>
      <c r="B6" s="1032"/>
      <c r="C6" s="4305" t="s">
        <v>6690</v>
      </c>
      <c r="D6" s="4306"/>
      <c r="E6" s="4306"/>
      <c r="F6" s="5352" t="s">
        <v>7266</v>
      </c>
      <c r="G6" s="5353"/>
      <c r="H6" s="2649"/>
      <c r="I6" s="4305" t="s">
        <v>8869</v>
      </c>
      <c r="J6" s="4306"/>
      <c r="K6" s="4306"/>
      <c r="L6" s="5544"/>
      <c r="M6" s="5544"/>
      <c r="N6" s="5544"/>
      <c r="O6" s="5544"/>
      <c r="P6" s="5544"/>
      <c r="Q6" s="5546"/>
      <c r="R6" s="614"/>
      <c r="S6" s="2314"/>
      <c r="T6" s="2315"/>
      <c r="U6" s="1032"/>
      <c r="V6" s="5529" t="s">
        <v>8533</v>
      </c>
      <c r="W6" s="5551" t="s">
        <v>8534</v>
      </c>
      <c r="X6" s="5551"/>
      <c r="Y6" s="5548" t="s">
        <v>8531</v>
      </c>
      <c r="Z6" s="5548"/>
      <c r="AA6" s="5539" t="s">
        <v>8530</v>
      </c>
      <c r="AB6" s="5539"/>
      <c r="AC6" s="5539" t="s">
        <v>8875</v>
      </c>
      <c r="AD6" s="5539"/>
      <c r="AE6" s="5539" t="s">
        <v>8877</v>
      </c>
      <c r="AF6" s="5539"/>
      <c r="AG6" s="5548" t="s">
        <v>8897</v>
      </c>
      <c r="AH6" s="5622"/>
      <c r="AI6" s="5548" t="s">
        <v>8896</v>
      </c>
      <c r="AJ6" s="5626"/>
      <c r="AK6" s="790"/>
      <c r="AL6" s="2329"/>
      <c r="AM6" s="1872" t="s">
        <v>8824</v>
      </c>
      <c r="AN6" s="1872" t="str">
        <f>Tablas!AE759</f>
        <v>Tablas!$AE$643:$AE$655</v>
      </c>
      <c r="AO6" s="1872"/>
      <c r="AP6" s="1872"/>
      <c r="AQ6" s="1872"/>
      <c r="AR6" s="1872" t="s">
        <v>1570</v>
      </c>
      <c r="AS6" s="1872" t="str">
        <f>IF(AR91="","",", ")&amp;AR91&amp;IF(AR107="","",", "&amp;AR107)&amp;IF(AR123="","",", "&amp;AR123)</f>
        <v/>
      </c>
      <c r="AT6" s="1872" t="str">
        <f t="shared" si="0"/>
        <v/>
      </c>
      <c r="AU6" s="1872"/>
      <c r="AV6" s="1872"/>
      <c r="AW6" s="1872"/>
      <c r="AX6" s="1872"/>
      <c r="AY6" s="1872"/>
      <c r="AZ6" s="1872"/>
      <c r="BA6" s="1872"/>
      <c r="BB6" s="1872"/>
      <c r="BC6" s="1872"/>
      <c r="BD6" s="1872"/>
      <c r="BE6" s="1872"/>
    </row>
    <row r="7" spans="1:57" ht="12" customHeight="1" thickBot="1" x14ac:dyDescent="0.25">
      <c r="A7" s="2315"/>
      <c r="B7" s="1032"/>
      <c r="C7" s="4897"/>
      <c r="D7" s="4898"/>
      <c r="E7" s="4898"/>
      <c r="F7" s="5355"/>
      <c r="G7" s="5356"/>
      <c r="H7" s="2649"/>
      <c r="I7" s="4897"/>
      <c r="J7" s="4898"/>
      <c r="K7" s="4898"/>
      <c r="L7" s="5545"/>
      <c r="M7" s="5545"/>
      <c r="N7" s="5545"/>
      <c r="O7" s="5545"/>
      <c r="P7" s="5545"/>
      <c r="Q7" s="5547"/>
      <c r="R7" s="614"/>
      <c r="S7" s="2314"/>
      <c r="T7" s="2315"/>
      <c r="U7" s="1032"/>
      <c r="V7" s="5530"/>
      <c r="W7" s="5505" t="s">
        <v>1396</v>
      </c>
      <c r="X7" s="5506"/>
      <c r="Y7" s="5549"/>
      <c r="Z7" s="5550"/>
      <c r="AA7" s="5532"/>
      <c r="AB7" s="5540"/>
      <c r="AC7" s="5532"/>
      <c r="AD7" s="5533"/>
      <c r="AE7" s="5540"/>
      <c r="AF7" s="5533"/>
      <c r="AG7" s="5541"/>
      <c r="AH7" s="5541"/>
      <c r="AI7" s="5497"/>
      <c r="AJ7" s="5498"/>
      <c r="AK7" s="790"/>
      <c r="AL7" s="2329"/>
      <c r="AM7" s="1872"/>
      <c r="AN7" s="1872"/>
      <c r="AO7" s="1872"/>
      <c r="AP7" s="1872"/>
      <c r="AQ7" s="1872"/>
      <c r="AR7" s="1872"/>
      <c r="AS7" s="1872"/>
      <c r="AT7" s="1872"/>
      <c r="AU7" s="1872"/>
      <c r="AV7" s="1872"/>
      <c r="AW7" s="1872"/>
      <c r="AX7" s="1872"/>
      <c r="AY7" s="1872"/>
      <c r="AZ7" s="1872"/>
      <c r="BA7" s="1872"/>
      <c r="BB7" s="1872"/>
      <c r="BC7" s="1872"/>
      <c r="BD7" s="1872"/>
      <c r="BE7" s="1872"/>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530"/>
      <c r="W8" s="5505" t="s">
        <v>7420</v>
      </c>
      <c r="X8" s="5506"/>
      <c r="Y8" s="5497"/>
      <c r="Z8" s="5541"/>
      <c r="AA8" s="5499"/>
      <c r="AB8" s="5528"/>
      <c r="AC8" s="5499"/>
      <c r="AD8" s="5528"/>
      <c r="AE8" s="5499"/>
      <c r="AF8" s="5528"/>
      <c r="AG8" s="5499"/>
      <c r="AH8" s="5528"/>
      <c r="AI8" s="5499"/>
      <c r="AJ8" s="5500"/>
      <c r="AK8" s="790"/>
      <c r="AL8" s="2329"/>
      <c r="AM8" s="1872"/>
      <c r="AN8" s="1872"/>
      <c r="AO8" s="1872"/>
      <c r="AP8" s="1872" t="s">
        <v>1376</v>
      </c>
      <c r="AQ8" s="1872"/>
      <c r="AR8" s="1872"/>
      <c r="AS8" s="1872"/>
      <c r="AT8" s="1872"/>
      <c r="AU8" s="1872"/>
      <c r="AV8" s="1872"/>
      <c r="AW8" s="1872"/>
      <c r="AX8" s="1872"/>
      <c r="AY8" s="1872"/>
      <c r="AZ8" s="1872"/>
      <c r="BA8" s="1872"/>
      <c r="BB8" s="1872"/>
      <c r="BC8" s="1872"/>
      <c r="BD8" s="1872"/>
      <c r="BE8" s="1872"/>
    </row>
    <row r="9" spans="1:57" ht="12" customHeight="1" thickBot="1" x14ac:dyDescent="0.25">
      <c r="A9" s="2315"/>
      <c r="B9" s="1032"/>
      <c r="C9" s="3197" t="s">
        <v>9534</v>
      </c>
      <c r="D9" s="3198"/>
      <c r="E9" s="3198"/>
      <c r="F9" s="5461" t="s">
        <v>1384</v>
      </c>
      <c r="G9" s="5462"/>
      <c r="H9" s="2649"/>
      <c r="I9" s="5292" t="s">
        <v>1529</v>
      </c>
      <c r="J9" s="5567" t="s">
        <v>1530</v>
      </c>
      <c r="K9" s="5567"/>
      <c r="L9" s="5568"/>
      <c r="M9" s="2292" t="s">
        <v>1531</v>
      </c>
      <c r="N9" s="5402" t="s">
        <v>1532</v>
      </c>
      <c r="O9" s="5568"/>
      <c r="P9" s="5402" t="s">
        <v>1533</v>
      </c>
      <c r="Q9" s="5403"/>
      <c r="R9" s="614"/>
      <c r="S9" s="2314"/>
      <c r="T9" s="2315"/>
      <c r="U9" s="1032"/>
      <c r="V9" s="5530"/>
      <c r="W9" s="5505" t="s">
        <v>8528</v>
      </c>
      <c r="X9" s="5506"/>
      <c r="Y9" s="5499"/>
      <c r="Z9" s="5528"/>
      <c r="AA9" s="5499"/>
      <c r="AB9" s="5528"/>
      <c r="AC9" s="5499"/>
      <c r="AD9" s="5528"/>
      <c r="AE9" s="5499"/>
      <c r="AF9" s="5528"/>
      <c r="AG9" s="5541"/>
      <c r="AH9" s="5541"/>
      <c r="AI9" s="5497"/>
      <c r="AJ9" s="5498"/>
      <c r="AK9" s="790"/>
      <c r="AL9" s="2329"/>
      <c r="AM9" s="2888" t="s">
        <v>6676</v>
      </c>
      <c r="AN9" s="2892" t="b">
        <f>OR(IF(Personalización!E15="",,COUNTIF(RaícesCulturales_Especial1,Personalización!$E$15)=0),IF(Personalización!E16="",,COUNTIF(RaícesCulturales_Especial2,Personalización!$E$16)=0))</f>
        <v>0</v>
      </c>
      <c r="AO9" s="1872"/>
      <c r="AP9" s="1872" t="s">
        <v>1501</v>
      </c>
      <c r="AQ9" s="1872"/>
      <c r="AR9" s="1872"/>
      <c r="AS9" s="1872"/>
      <c r="AT9" s="1872"/>
      <c r="AU9" s="1872"/>
      <c r="AV9" s="1872"/>
      <c r="AW9" s="1872"/>
      <c r="AX9" s="1872"/>
      <c r="AY9" s="1872"/>
      <c r="AZ9" s="1872"/>
      <c r="BA9" s="1872"/>
      <c r="BB9" s="1872"/>
      <c r="BC9" s="1872"/>
      <c r="BD9" s="1872"/>
      <c r="BE9" s="1872"/>
    </row>
    <row r="10" spans="1:57" ht="12" customHeight="1" thickBot="1" x14ac:dyDescent="0.25">
      <c r="A10" s="2315"/>
      <c r="B10" s="1032"/>
      <c r="C10" s="2649"/>
      <c r="D10" s="2649"/>
      <c r="E10" s="2649"/>
      <c r="F10" s="2649"/>
      <c r="G10" s="2649"/>
      <c r="H10" s="2649"/>
      <c r="I10" s="5293"/>
      <c r="J10" s="5513" t="s">
        <v>1534</v>
      </c>
      <c r="K10" s="5513"/>
      <c r="L10" s="5514"/>
      <c r="M10" s="2293">
        <f>Tablas!$G$284-IF(N10=0,0,1)-IF(P10=0,0,1)</f>
        <v>0</v>
      </c>
      <c r="N10" s="5409"/>
      <c r="O10" s="5663"/>
      <c r="P10" s="5404"/>
      <c r="Q10" s="5405"/>
      <c r="R10" s="614"/>
      <c r="S10" s="2314"/>
      <c r="T10" s="2315"/>
      <c r="U10" s="1032"/>
      <c r="V10" s="5530"/>
      <c r="W10" s="5505" t="s">
        <v>1570</v>
      </c>
      <c r="X10" s="5506"/>
      <c r="Y10" s="5497"/>
      <c r="Z10" s="5541"/>
      <c r="AA10" s="5497"/>
      <c r="AB10" s="5541"/>
      <c r="AC10" s="5542"/>
      <c r="AD10" s="5543"/>
      <c r="AE10" s="5541"/>
      <c r="AF10" s="5623"/>
      <c r="AG10" s="5542"/>
      <c r="AH10" s="5543"/>
      <c r="AI10" s="5542"/>
      <c r="AJ10" s="5621"/>
      <c r="AK10" s="790"/>
      <c r="AL10" s="2329"/>
      <c r="AM10" s="1872"/>
      <c r="AN10" s="1872"/>
      <c r="AO10" s="1872"/>
      <c r="AP10" s="1872" t="s">
        <v>1381</v>
      </c>
      <c r="AQ10" s="1872"/>
      <c r="AR10" s="1872"/>
      <c r="AS10" s="1872"/>
      <c r="AT10" s="1872"/>
      <c r="AU10" s="1872"/>
      <c r="AV10" s="1872"/>
      <c r="AW10" s="1872"/>
      <c r="AX10" s="1872"/>
      <c r="AY10" s="1872"/>
      <c r="AZ10" s="1872"/>
      <c r="BA10" s="1872"/>
      <c r="BB10" s="1872"/>
      <c r="BC10" s="1872"/>
      <c r="BD10" s="1872"/>
      <c r="BE10" s="1872"/>
    </row>
    <row r="11" spans="1:57" ht="12" customHeight="1" thickBot="1" x14ac:dyDescent="0.25">
      <c r="A11" s="2315"/>
      <c r="B11" s="1032"/>
      <c r="C11" s="3197" t="s">
        <v>6679</v>
      </c>
      <c r="D11" s="3198"/>
      <c r="E11" s="3198"/>
      <c r="F11" s="3198"/>
      <c r="G11" s="3199"/>
      <c r="H11" s="2649"/>
      <c r="I11" s="5293"/>
      <c r="J11" s="5425" t="s">
        <v>1536</v>
      </c>
      <c r="K11" s="5425"/>
      <c r="L11" s="5426"/>
      <c r="M11" s="2294">
        <f>Tablas!$G$285-IF(N11=0,0,1)-IF(P11=0,0,1)</f>
        <v>0</v>
      </c>
      <c r="N11" s="5410"/>
      <c r="O11" s="5572"/>
      <c r="P11" s="5406"/>
      <c r="Q11" s="5407"/>
      <c r="R11" s="614"/>
      <c r="S11" s="2314"/>
      <c r="T11" s="2315"/>
      <c r="U11" s="1032"/>
      <c r="V11" s="5530"/>
      <c r="W11" s="5569" t="s">
        <v>8534</v>
      </c>
      <c r="X11" s="5569"/>
      <c r="Y11" s="5522"/>
      <c r="Z11" s="5523"/>
      <c r="AA11" s="5536" t="s">
        <v>8532</v>
      </c>
      <c r="AB11" s="5536"/>
      <c r="AC11" s="5536" t="s">
        <v>8876</v>
      </c>
      <c r="AD11" s="5536"/>
      <c r="AE11" s="5536" t="s">
        <v>8878</v>
      </c>
      <c r="AF11" s="5536"/>
      <c r="AG11" s="5536" t="s">
        <v>8894</v>
      </c>
      <c r="AH11" s="5536"/>
      <c r="AI11" s="5536" t="s">
        <v>8895</v>
      </c>
      <c r="AJ11" s="5624"/>
      <c r="AK11" s="790"/>
      <c r="AL11" s="2329"/>
      <c r="AM11" s="2888" t="s">
        <v>6677</v>
      </c>
      <c r="AN11" s="2897" t="str">
        <f>IF(Tablas!L136="","",IF(AND(Region="Elcia",OR(ClaseSocial=Tablas!CK140,ClaseSocial=Tablas!CL140,ClaseSocial=Tablas!CM140)),"Habilidades_Secundarias","RaícesCulturales_Especial1"))</f>
        <v/>
      </c>
      <c r="AO11" s="1872"/>
      <c r="AP11" s="1872" t="s">
        <v>1386</v>
      </c>
      <c r="AQ11" s="1872"/>
      <c r="AR11" s="1872"/>
      <c r="AS11" s="1872"/>
      <c r="AT11" s="1872"/>
      <c r="AU11" s="1872"/>
      <c r="AV11" s="1872"/>
      <c r="AW11" s="1872"/>
      <c r="AX11" s="1872"/>
      <c r="AY11" s="1872"/>
      <c r="AZ11" s="1872"/>
      <c r="BA11" s="1872"/>
      <c r="BB11" s="1872"/>
      <c r="BC11" s="1872"/>
      <c r="BD11" s="1872"/>
      <c r="BE11" s="1872"/>
    </row>
    <row r="12" spans="1:57" ht="12" customHeight="1" x14ac:dyDescent="0.2">
      <c r="A12" s="2315"/>
      <c r="B12" s="1032"/>
      <c r="C12" s="5486" t="str">
        <f>IF(Tablas!G488&gt;0,"Ventaja elegida","Aplicar bonos:")</f>
        <v>Aplicar bonos:</v>
      </c>
      <c r="D12" s="5487"/>
      <c r="E12" s="5422" t="s">
        <v>1384</v>
      </c>
      <c r="F12" s="5423"/>
      <c r="G12" s="5424"/>
      <c r="H12" s="2649"/>
      <c r="I12" s="5293"/>
      <c r="J12" s="5570" t="s">
        <v>1538</v>
      </c>
      <c r="K12" s="5570"/>
      <c r="L12" s="5571"/>
      <c r="M12" s="1472">
        <f>Tablas!$G$286-IF(N12=0,0,1)-IF(P12=0,0,1)</f>
        <v>0</v>
      </c>
      <c r="N12" s="5511"/>
      <c r="O12" s="5512"/>
      <c r="P12" s="4590"/>
      <c r="Q12" s="5408"/>
      <c r="R12" s="614"/>
      <c r="S12" s="2314"/>
      <c r="T12" s="2315"/>
      <c r="U12" s="1032"/>
      <c r="V12" s="5530"/>
      <c r="W12" s="5505" t="s">
        <v>1396</v>
      </c>
      <c r="X12" s="5506"/>
      <c r="Y12" s="5524"/>
      <c r="Z12" s="5525"/>
      <c r="AA12" s="5497"/>
      <c r="AB12" s="5541"/>
      <c r="AC12" s="5532"/>
      <c r="AD12" s="5533"/>
      <c r="AE12" s="5541"/>
      <c r="AF12" s="5623"/>
      <c r="AG12" s="5541"/>
      <c r="AH12" s="5541"/>
      <c r="AI12" s="5549"/>
      <c r="AJ12" s="5625"/>
      <c r="AK12" s="790"/>
      <c r="AL12" s="2329"/>
      <c r="AM12" s="2888" t="s">
        <v>6678</v>
      </c>
      <c r="AN12" s="2897" t="str">
        <f>IF(Tablas!N136="","","RaícesCulturales_Especial2")</f>
        <v/>
      </c>
      <c r="AO12" s="1872"/>
      <c r="AP12" s="1872" t="s">
        <v>1389</v>
      </c>
      <c r="AQ12" s="1872"/>
      <c r="AR12" s="1872"/>
      <c r="AS12" s="1872"/>
      <c r="AT12" s="1872"/>
      <c r="AU12" s="1872"/>
      <c r="AV12" s="1872"/>
      <c r="AW12" s="1872"/>
      <c r="AX12" s="1872"/>
      <c r="AY12" s="1872"/>
      <c r="AZ12" s="1872"/>
      <c r="BA12" s="1872"/>
      <c r="BB12" s="1872"/>
      <c r="BC12" s="1872"/>
      <c r="BD12" s="1872"/>
      <c r="BE12" s="1872"/>
    </row>
    <row r="13" spans="1:57" ht="12" customHeight="1" x14ac:dyDescent="0.2">
      <c r="A13" s="2315"/>
      <c r="B13" s="1032"/>
      <c r="C13" s="5480" t="str">
        <f>IF(Region="","Región no definida",Region)</f>
        <v>Región no definida</v>
      </c>
      <c r="D13" s="5481"/>
      <c r="E13" s="5481" t="str">
        <f>IF(OR(Region="",ClaseSocial=""),"Clase social no definida",ClaseSocial)</f>
        <v>Clase social no definida</v>
      </c>
      <c r="F13" s="5481"/>
      <c r="G13" s="5482"/>
      <c r="H13" s="2649"/>
      <c r="I13" s="5293"/>
      <c r="J13" s="5513" t="s">
        <v>1535</v>
      </c>
      <c r="K13" s="5513"/>
      <c r="L13" s="5514"/>
      <c r="M13" s="2293">
        <f>Tablas!$G$294-IF(N13=0,0,1)-IF(P13=0,0,1)</f>
        <v>0</v>
      </c>
      <c r="N13" s="5409"/>
      <c r="O13" s="3788"/>
      <c r="P13" s="5409"/>
      <c r="Q13" s="4754"/>
      <c r="R13" s="614"/>
      <c r="S13" s="2314"/>
      <c r="T13" s="2315"/>
      <c r="U13" s="1032"/>
      <c r="V13" s="5530"/>
      <c r="W13" s="5505" t="s">
        <v>7420</v>
      </c>
      <c r="X13" s="5506"/>
      <c r="Y13" s="5524"/>
      <c r="Z13" s="5525"/>
      <c r="AA13" s="5503"/>
      <c r="AB13" s="5504"/>
      <c r="AC13" s="5499"/>
      <c r="AD13" s="5528"/>
      <c r="AE13" s="5499"/>
      <c r="AF13" s="5528"/>
      <c r="AG13" s="5503"/>
      <c r="AH13" s="5504"/>
      <c r="AI13" s="5497"/>
      <c r="AJ13" s="5498"/>
      <c r="AK13" s="790"/>
      <c r="AL13" s="2329"/>
      <c r="AM13" s="1872"/>
      <c r="AN13" s="1872"/>
      <c r="AO13" s="1872"/>
      <c r="AP13" s="1872" t="s">
        <v>1392</v>
      </c>
      <c r="AQ13" s="1872"/>
      <c r="AR13" s="1872"/>
      <c r="AS13" s="1872"/>
      <c r="AT13" s="1872"/>
      <c r="AU13" s="1872"/>
      <c r="AV13" s="1872"/>
      <c r="AW13" s="1872"/>
      <c r="AX13" s="1872"/>
      <c r="AY13" s="1872"/>
      <c r="AZ13" s="1872"/>
      <c r="BA13" s="1872"/>
      <c r="BB13" s="1872"/>
      <c r="BC13" s="1872"/>
      <c r="BD13" s="1872"/>
      <c r="BE13" s="1872"/>
    </row>
    <row r="14" spans="1:57" ht="12" customHeight="1" x14ac:dyDescent="0.2">
      <c r="A14" s="2315"/>
      <c r="B14" s="1032"/>
      <c r="C14" s="5480"/>
      <c r="D14" s="5481"/>
      <c r="E14" s="5481"/>
      <c r="F14" s="5481"/>
      <c r="G14" s="5482"/>
      <c r="H14" s="2649"/>
      <c r="I14" s="5293"/>
      <c r="J14" s="5425" t="s">
        <v>1537</v>
      </c>
      <c r="K14" s="5425"/>
      <c r="L14" s="5426"/>
      <c r="M14" s="2294">
        <f>Tablas!$G$295-IF(N14=0,0,1)-IF(P14=0,0,1)</f>
        <v>0</v>
      </c>
      <c r="N14" s="5410"/>
      <c r="O14" s="3791"/>
      <c r="P14" s="5410"/>
      <c r="Q14" s="5407"/>
      <c r="R14" s="614"/>
      <c r="S14" s="2314"/>
      <c r="T14" s="2315"/>
      <c r="U14" s="1032"/>
      <c r="V14" s="5530"/>
      <c r="W14" s="5505" t="s">
        <v>8528</v>
      </c>
      <c r="X14" s="5506"/>
      <c r="Y14" s="5524"/>
      <c r="Z14" s="5525"/>
      <c r="AA14" s="5503"/>
      <c r="AB14" s="5504"/>
      <c r="AC14" s="5534"/>
      <c r="AD14" s="5535"/>
      <c r="AE14" s="5499"/>
      <c r="AF14" s="5528"/>
      <c r="AG14" s="5499"/>
      <c r="AH14" s="5528"/>
      <c r="AI14" s="5499"/>
      <c r="AJ14" s="5500"/>
      <c r="AK14" s="790"/>
      <c r="AL14" s="2329"/>
      <c r="AM14" s="1872" t="s">
        <v>8676</v>
      </c>
      <c r="AN14" s="2938" t="b">
        <f>AND(E45="Cumplido",OR(Raza="Ebudan",Nephilim="Nephilim Ebudan"))</f>
        <v>0</v>
      </c>
      <c r="AO14" s="1872"/>
      <c r="AP14" s="1872" t="s">
        <v>1394</v>
      </c>
      <c r="AQ14" s="1872"/>
      <c r="AR14" s="1872"/>
      <c r="AS14" s="1872"/>
      <c r="AT14" s="1872"/>
      <c r="AU14" s="1872"/>
      <c r="AV14" s="1872"/>
      <c r="AW14" s="1872"/>
      <c r="AX14" s="1872"/>
      <c r="AY14" s="1872"/>
      <c r="AZ14" s="1872"/>
      <c r="BA14" s="1872"/>
      <c r="BB14" s="1872"/>
      <c r="BC14" s="1872"/>
      <c r="BD14" s="1872"/>
      <c r="BE14" s="1872"/>
    </row>
    <row r="15" spans="1:57" ht="12" customHeight="1" thickBot="1" x14ac:dyDescent="0.25">
      <c r="A15" s="2315"/>
      <c r="B15" s="1032"/>
      <c r="C15" s="5466" t="str">
        <f>IFERROR(IF(Tablas!L136="","","Bono Especial:"),"")</f>
        <v/>
      </c>
      <c r="D15" s="5467"/>
      <c r="E15" s="5463"/>
      <c r="F15" s="5464"/>
      <c r="G15" s="5465"/>
      <c r="H15" s="2649"/>
      <c r="I15" s="5294"/>
      <c r="J15" s="5520" t="s">
        <v>1539</v>
      </c>
      <c r="K15" s="5520"/>
      <c r="L15" s="5521"/>
      <c r="M15" s="2832">
        <f>Tablas!$G$296-IF(N15=0,0,1)-IF(P15=0,0,1)</f>
        <v>0</v>
      </c>
      <c r="N15" s="5400"/>
      <c r="O15" s="5401"/>
      <c r="P15" s="5400"/>
      <c r="Q15" s="4756"/>
      <c r="R15" s="614"/>
      <c r="S15" s="2314"/>
      <c r="T15" s="2315"/>
      <c r="U15" s="1032"/>
      <c r="V15" s="5531"/>
      <c r="W15" s="5537" t="s">
        <v>1570</v>
      </c>
      <c r="X15" s="5538"/>
      <c r="Y15" s="5526"/>
      <c r="Z15" s="5527"/>
      <c r="AA15" s="5509"/>
      <c r="AB15" s="5510"/>
      <c r="AC15" s="5501"/>
      <c r="AD15" s="5508"/>
      <c r="AE15" s="5507"/>
      <c r="AF15" s="5508"/>
      <c r="AG15" s="5507"/>
      <c r="AH15" s="5507"/>
      <c r="AI15" s="5501"/>
      <c r="AJ15" s="5502"/>
      <c r="AK15" s="790"/>
      <c r="AL15" s="2329"/>
      <c r="AM15" s="1872" t="s">
        <v>8667</v>
      </c>
      <c r="AN15" s="2938" t="b">
        <f>AND($AN$14,E47="Si")</f>
        <v>0</v>
      </c>
      <c r="AO15" s="1872"/>
      <c r="AP15" s="1872" t="s">
        <v>1395</v>
      </c>
      <c r="AQ15" s="1872"/>
      <c r="AR15" s="1872"/>
      <c r="AS15" s="1872"/>
      <c r="AT15" s="1872"/>
      <c r="AU15" s="1872"/>
      <c r="AV15" s="1872"/>
      <c r="AW15" s="1872"/>
      <c r="AX15" s="1872"/>
      <c r="AY15" s="1872"/>
      <c r="AZ15" s="1872"/>
      <c r="BA15" s="1872"/>
      <c r="BB15" s="1872"/>
      <c r="BC15" s="1872"/>
      <c r="BD15" s="1872"/>
      <c r="BE15" s="1872"/>
    </row>
    <row r="16" spans="1:57" ht="12" customHeight="1" thickBot="1" x14ac:dyDescent="0.25">
      <c r="A16" s="2315"/>
      <c r="B16" s="1032"/>
      <c r="C16" s="5454" t="str">
        <f>IFERROR(IF(Tablas!N136="","","Bono Especial:"),"")</f>
        <v/>
      </c>
      <c r="D16" s="5455"/>
      <c r="E16" s="5456"/>
      <c r="F16" s="5457"/>
      <c r="G16" s="5458"/>
      <c r="H16" s="2649"/>
      <c r="I16" s="5385" t="str">
        <f>IF(SUM(M10:M12)+SUM(M13:M15)&gt;0,"Selecciona la/s Habilidad/es asociadas a las Ventajas",IF(SUM(M10:M12)+SUM(M13:M15)&lt;0,"Exceso de Habilidad/es seleccionadas",""))</f>
        <v/>
      </c>
      <c r="J16" s="5386"/>
      <c r="K16" s="5386"/>
      <c r="L16" s="5386"/>
      <c r="M16" s="5386"/>
      <c r="N16" s="5386"/>
      <c r="O16" s="5386"/>
      <c r="P16" s="5386"/>
      <c r="Q16" s="5387"/>
      <c r="R16" s="614"/>
      <c r="S16" s="2314"/>
      <c r="T16" s="2315"/>
      <c r="U16" s="1032"/>
      <c r="AK16" s="790"/>
      <c r="AL16" s="2329"/>
      <c r="AM16" s="1872"/>
      <c r="AN16" s="1872"/>
      <c r="AO16" s="1872"/>
      <c r="AP16" s="1872"/>
      <c r="AQ16" s="1872"/>
      <c r="AR16" s="1872"/>
      <c r="AS16" s="1872"/>
      <c r="AT16" s="1872"/>
      <c r="AU16" s="1872"/>
      <c r="AV16" s="1872"/>
      <c r="AW16" s="1872"/>
      <c r="AX16" s="1872"/>
      <c r="AY16" s="1872"/>
      <c r="AZ16" s="1872"/>
      <c r="BA16" s="1872"/>
      <c r="BB16" s="1872"/>
      <c r="BC16" s="1872"/>
      <c r="BD16" s="1872"/>
      <c r="BE16" s="1872"/>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108" t="s">
        <v>1829</v>
      </c>
      <c r="W17" s="3109"/>
      <c r="X17" s="3109"/>
      <c r="Y17" s="3109"/>
      <c r="Z17" s="3109"/>
      <c r="AA17" s="3109"/>
      <c r="AB17" s="3157"/>
      <c r="AC17" s="3157"/>
      <c r="AD17" s="3157"/>
      <c r="AE17" s="3157"/>
      <c r="AF17" s="3157"/>
      <c r="AG17" s="3157"/>
      <c r="AH17" s="3157"/>
      <c r="AI17" s="3157"/>
      <c r="AJ17" s="3158"/>
      <c r="AK17" s="790"/>
      <c r="AL17" s="2329"/>
      <c r="AM17" s="1872" t="s">
        <v>7150</v>
      </c>
      <c r="AN17" s="1872"/>
      <c r="AO17" s="1872"/>
      <c r="AP17" s="1872"/>
      <c r="AQ17" s="1872"/>
      <c r="AR17" s="1872"/>
      <c r="AS17" s="1872"/>
      <c r="AT17" s="1872"/>
      <c r="AU17" s="1872"/>
      <c r="AV17" s="1872"/>
      <c r="AW17" s="1872"/>
      <c r="AX17" s="1872"/>
      <c r="AY17" s="1872"/>
      <c r="AZ17" s="1872"/>
      <c r="BA17" s="1872"/>
      <c r="BB17" s="1872"/>
      <c r="BC17" s="1872"/>
      <c r="BD17" s="1872"/>
      <c r="BE17" s="1872"/>
    </row>
    <row r="18" spans="1:57" ht="12" customHeight="1" x14ac:dyDescent="0.2">
      <c r="A18" s="2315"/>
      <c r="B18" s="1032"/>
      <c r="C18" s="5470" t="s">
        <v>10267</v>
      </c>
      <c r="D18" s="5471"/>
      <c r="E18" s="5471"/>
      <c r="F18" s="5411"/>
      <c r="G18" s="5412"/>
      <c r="H18" s="2843"/>
      <c r="I18" s="5411"/>
      <c r="J18" s="5412"/>
      <c r="K18" s="2843"/>
      <c r="L18" s="5411"/>
      <c r="M18" s="5412"/>
      <c r="N18" s="2839"/>
      <c r="O18" s="5411"/>
      <c r="P18" s="5412"/>
      <c r="Q18" s="2843"/>
      <c r="R18" s="614"/>
      <c r="S18" s="2314"/>
      <c r="T18" s="2315"/>
      <c r="U18" s="1032"/>
      <c r="V18" s="3412" t="s">
        <v>1326</v>
      </c>
      <c r="W18" s="5488"/>
      <c r="X18" s="5489"/>
      <c r="Y18" s="5490"/>
      <c r="Z18" s="5490"/>
      <c r="AA18" s="5491"/>
      <c r="AB18" s="1928" t="s">
        <v>8871</v>
      </c>
      <c r="AC18" s="5495"/>
      <c r="AD18" s="5496"/>
      <c r="AE18" s="5496"/>
      <c r="AF18" s="5496"/>
      <c r="AG18" s="5496"/>
      <c r="AH18" s="5496"/>
      <c r="AI18" s="5496"/>
      <c r="AJ18" s="3481"/>
      <c r="AK18" s="790"/>
      <c r="AL18" s="2329"/>
      <c r="AM18" s="1872" t="s">
        <v>7151</v>
      </c>
      <c r="AN18" s="1872" t="s">
        <v>6603</v>
      </c>
      <c r="AO18" s="1872"/>
      <c r="AP18" s="1872"/>
      <c r="AQ18" s="1872"/>
      <c r="AR18" s="1872"/>
      <c r="AS18" s="1872"/>
      <c r="AT18" s="1872"/>
      <c r="AU18" s="1872"/>
      <c r="AV18" s="1872"/>
      <c r="AW18" s="1872"/>
      <c r="AX18" s="1872"/>
      <c r="AY18" s="1872"/>
      <c r="AZ18" s="1872"/>
      <c r="BA18" s="1872"/>
      <c r="BB18" s="1872"/>
      <c r="BC18" s="1872"/>
      <c r="BD18" s="1872"/>
      <c r="BE18" s="1872"/>
    </row>
    <row r="19" spans="1:57" ht="12" customHeight="1" thickBot="1" x14ac:dyDescent="0.25">
      <c r="A19" s="2315"/>
      <c r="B19" s="1032"/>
      <c r="C19" s="5472"/>
      <c r="D19" s="5473"/>
      <c r="E19" s="5473"/>
      <c r="F19" s="4587"/>
      <c r="G19" s="5413"/>
      <c r="H19" s="2844"/>
      <c r="I19" s="4587"/>
      <c r="J19" s="5413"/>
      <c r="K19" s="2844"/>
      <c r="L19" s="4587"/>
      <c r="M19" s="5413"/>
      <c r="N19" s="2840"/>
      <c r="O19" s="4587"/>
      <c r="P19" s="5413"/>
      <c r="Q19" s="2844"/>
      <c r="R19" s="614"/>
      <c r="S19" s="2314"/>
      <c r="T19" s="2315"/>
      <c r="U19" s="1032"/>
      <c r="V19" s="3412" t="s">
        <v>1830</v>
      </c>
      <c r="W19" s="5488"/>
      <c r="X19" s="1833"/>
      <c r="Y19" s="2972" t="s">
        <v>1396</v>
      </c>
      <c r="Z19" s="1833"/>
      <c r="AA19" s="5493" t="s">
        <v>1831</v>
      </c>
      <c r="AB19" s="5494"/>
      <c r="AC19" s="2388"/>
      <c r="AD19" s="2389" t="s">
        <v>1832</v>
      </c>
      <c r="AE19" s="2390"/>
      <c r="AF19" s="2288" t="s">
        <v>1396</v>
      </c>
      <c r="AG19" s="5492" t="str">
        <f>IF(W20="Escudo","Bono de Parada:",IF(W20="Proyectiles","FUE del arma:",""))</f>
        <v/>
      </c>
      <c r="AH19" s="3276"/>
      <c r="AI19" s="3276"/>
      <c r="AJ19" s="1800"/>
      <c r="AK19" s="790"/>
      <c r="AL19" s="2329"/>
      <c r="AM19" s="2939" t="s">
        <v>7152</v>
      </c>
      <c r="AN19" s="2939" t="s">
        <v>2651</v>
      </c>
      <c r="AO19" s="1872"/>
      <c r="AP19" s="1872"/>
      <c r="AQ19" s="1872"/>
      <c r="AR19" s="1872"/>
      <c r="AS19" s="1872"/>
      <c r="AT19" s="1872"/>
      <c r="AU19" s="1872"/>
      <c r="AV19" s="1872"/>
      <c r="AW19" s="1872"/>
      <c r="AX19" s="1872"/>
      <c r="AY19" s="1872"/>
      <c r="AZ19" s="1872"/>
      <c r="BA19" s="1872"/>
      <c r="BB19" s="1872"/>
      <c r="BC19" s="1872"/>
      <c r="BD19" s="1872"/>
      <c r="BE19" s="1872"/>
    </row>
    <row r="20" spans="1:57" ht="12" customHeight="1" x14ac:dyDescent="0.2">
      <c r="A20" s="2315"/>
      <c r="B20" s="1032"/>
      <c r="C20" s="5474"/>
      <c r="D20" s="5475"/>
      <c r="E20" s="5476"/>
      <c r="F20" s="4586"/>
      <c r="G20" s="4575"/>
      <c r="H20" s="2845"/>
      <c r="I20" s="4586"/>
      <c r="J20" s="4575"/>
      <c r="K20" s="2845"/>
      <c r="L20" s="4586"/>
      <c r="M20" s="4575"/>
      <c r="N20" s="2841"/>
      <c r="O20" s="5414"/>
      <c r="P20" s="5415"/>
      <c r="Q20" s="2848"/>
      <c r="R20" s="614"/>
      <c r="S20" s="2314"/>
      <c r="T20" s="2315"/>
      <c r="U20" s="1032"/>
      <c r="V20" s="1564" t="s">
        <v>1833</v>
      </c>
      <c r="W20" s="5578" t="s">
        <v>2148</v>
      </c>
      <c r="X20" s="5579"/>
      <c r="Y20" s="2973" t="s">
        <v>1570</v>
      </c>
      <c r="Z20" s="1833"/>
      <c r="AA20" s="536" t="s">
        <v>1572</v>
      </c>
      <c r="AB20" s="536" t="s">
        <v>1573</v>
      </c>
      <c r="AC20" s="536" t="s">
        <v>1561</v>
      </c>
      <c r="AD20" s="536" t="s">
        <v>1574</v>
      </c>
      <c r="AE20" s="2380" t="s">
        <v>1562</v>
      </c>
      <c r="AF20" s="2290" t="s">
        <v>2598</v>
      </c>
      <c r="AG20" s="5575" t="str">
        <f>IF(W20="Escudo","Bono de Esquiva:",IF(W20="Proyectiles","Turnos de recarga:",""))</f>
        <v/>
      </c>
      <c r="AH20" s="5591"/>
      <c r="AI20" s="5591"/>
      <c r="AJ20" s="1800"/>
      <c r="AK20" s="790"/>
      <c r="AL20" s="2329"/>
      <c r="AM20" s="2939" t="s">
        <v>7153</v>
      </c>
      <c r="AN20" s="2939" t="s">
        <v>2655</v>
      </c>
      <c r="AO20" s="1872"/>
      <c r="AP20" s="1872"/>
      <c r="AQ20" s="1872"/>
      <c r="AR20" s="1872"/>
      <c r="AS20" s="1872"/>
      <c r="AT20" s="1872"/>
      <c r="AU20" s="1872"/>
      <c r="AV20" s="1872"/>
      <c r="AW20" s="1872"/>
      <c r="AX20" s="1872"/>
      <c r="AY20" s="1872"/>
      <c r="AZ20" s="1872"/>
      <c r="BA20" s="1872"/>
      <c r="BB20" s="1872"/>
      <c r="BC20" s="1872"/>
      <c r="BD20" s="1872"/>
      <c r="BE20" s="1872"/>
    </row>
    <row r="21" spans="1:57" ht="12" customHeight="1" thickBot="1" x14ac:dyDescent="0.25">
      <c r="A21" s="2315"/>
      <c r="B21" s="1032"/>
      <c r="C21" s="5477"/>
      <c r="D21" s="5478"/>
      <c r="E21" s="5479"/>
      <c r="F21" s="5468"/>
      <c r="G21" s="5469"/>
      <c r="H21" s="2846"/>
      <c r="I21" s="5468"/>
      <c r="J21" s="5469"/>
      <c r="K21" s="2846"/>
      <c r="L21" s="5468"/>
      <c r="M21" s="5469"/>
      <c r="N21" s="2842"/>
      <c r="O21" s="5416" t="s">
        <v>10264</v>
      </c>
      <c r="P21" s="5417"/>
      <c r="Q21" s="2847">
        <f>SUM(H18:H21,K18:K21,N18:N21,Q18:Q20)</f>
        <v>0</v>
      </c>
      <c r="R21" s="614"/>
      <c r="S21" s="2314"/>
      <c r="T21" s="2315"/>
      <c r="U21" s="1032"/>
      <c r="V21" s="2378" t="s">
        <v>1834</v>
      </c>
      <c r="W21" s="5573"/>
      <c r="X21" s="5574"/>
      <c r="Y21" s="2974" t="s">
        <v>10296</v>
      </c>
      <c r="Z21" s="1833"/>
      <c r="AA21" s="1835"/>
      <c r="AB21" s="1696"/>
      <c r="AC21" s="2379"/>
      <c r="AD21" s="1834"/>
      <c r="AE21" s="2377"/>
      <c r="AF21" s="2449"/>
      <c r="AG21" s="5577" t="str">
        <f>IF(W20="Proyectiles","Alcance:","")</f>
        <v/>
      </c>
      <c r="AH21" s="5577"/>
      <c r="AI21" s="5577"/>
      <c r="AJ21" s="1799"/>
      <c r="AK21" s="790"/>
      <c r="AL21" s="2329"/>
      <c r="AM21" s="1872"/>
      <c r="AN21" s="2939" t="s">
        <v>2657</v>
      </c>
      <c r="AO21" s="1872"/>
      <c r="AP21" s="1872"/>
      <c r="AQ21" s="1872"/>
      <c r="AR21" s="1872"/>
      <c r="AS21" s="1872"/>
      <c r="AT21" s="1872"/>
      <c r="AU21" s="1872"/>
      <c r="AV21" s="1872"/>
      <c r="AW21" s="1872"/>
      <c r="AX21" s="1872"/>
      <c r="AY21" s="1872"/>
      <c r="AZ21" s="1872"/>
      <c r="BA21" s="1872"/>
      <c r="BB21" s="1872"/>
      <c r="BC21" s="1872"/>
      <c r="BD21" s="1872"/>
      <c r="BE21" s="1872"/>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565" t="s">
        <v>1326</v>
      </c>
      <c r="W22" s="5566"/>
      <c r="X22" s="5560"/>
      <c r="Y22" s="5561"/>
      <c r="Z22" s="5561"/>
      <c r="AA22" s="5562"/>
      <c r="AB22" s="2975" t="s">
        <v>8871</v>
      </c>
      <c r="AC22" s="5600"/>
      <c r="AD22" s="5601"/>
      <c r="AE22" s="5601"/>
      <c r="AF22" s="5601"/>
      <c r="AG22" s="5601"/>
      <c r="AH22" s="5601"/>
      <c r="AI22" s="5601"/>
      <c r="AJ22" s="5602"/>
      <c r="AK22" s="790"/>
      <c r="AL22" s="2329"/>
      <c r="AM22" s="1872"/>
      <c r="AN22" s="1872"/>
      <c r="AO22" s="1872"/>
      <c r="AP22" s="1872"/>
      <c r="AQ22" s="1872"/>
      <c r="AR22" s="1872"/>
      <c r="AS22" s="1872"/>
      <c r="AT22" s="1872"/>
      <c r="AU22" s="1872"/>
      <c r="AV22" s="1872"/>
      <c r="AW22" s="1872"/>
      <c r="AX22" s="1872"/>
      <c r="AY22" s="1872"/>
      <c r="AZ22" s="1872"/>
      <c r="BA22" s="1872"/>
      <c r="BB22" s="1872"/>
      <c r="BC22" s="1872"/>
      <c r="BD22" s="1872"/>
      <c r="BE22" s="1872"/>
    </row>
    <row r="23" spans="1:57" ht="12" customHeight="1" thickBot="1" x14ac:dyDescent="0.25">
      <c r="A23" s="2315"/>
      <c r="B23" s="1032"/>
      <c r="C23" s="3197" t="s">
        <v>1825</v>
      </c>
      <c r="D23" s="3198"/>
      <c r="E23" s="3198"/>
      <c r="F23" s="3198"/>
      <c r="G23" s="3199"/>
      <c r="H23" s="2649"/>
      <c r="I23" s="4021" t="s">
        <v>1826</v>
      </c>
      <c r="J23" s="4022"/>
      <c r="K23" s="4022"/>
      <c r="L23" s="4022"/>
      <c r="M23" s="4022"/>
      <c r="N23" s="4022"/>
      <c r="O23" s="4022"/>
      <c r="P23" s="4022"/>
      <c r="Q23" s="4023"/>
      <c r="R23" s="614"/>
      <c r="S23" s="2314"/>
      <c r="T23" s="1470"/>
      <c r="U23" s="1032"/>
      <c r="V23" s="5563" t="s">
        <v>1830</v>
      </c>
      <c r="W23" s="5564"/>
      <c r="X23" s="1833"/>
      <c r="Y23" s="2972" t="s">
        <v>1396</v>
      </c>
      <c r="Z23" s="1833"/>
      <c r="AA23" s="5493" t="s">
        <v>1831</v>
      </c>
      <c r="AB23" s="5493"/>
      <c r="AC23" s="2976"/>
      <c r="AD23" s="2977" t="s">
        <v>1832</v>
      </c>
      <c r="AE23" s="2978"/>
      <c r="AF23" s="1474" t="s">
        <v>1396</v>
      </c>
      <c r="AG23" s="5598" t="str">
        <f>IF(W24="Escudo","Bono de Parada:",IF(W24="Proyectiles","FUE del arma:",""))</f>
        <v/>
      </c>
      <c r="AH23" s="5599"/>
      <c r="AI23" s="5599"/>
      <c r="AJ23" s="1800"/>
      <c r="AK23" s="790"/>
      <c r="AL23" s="2329"/>
      <c r="AM23" s="1872" t="s">
        <v>9782</v>
      </c>
      <c r="AN23" s="1872"/>
      <c r="AO23" s="1872"/>
      <c r="AP23" s="1872"/>
      <c r="AQ23" s="1872"/>
      <c r="AR23" s="1872"/>
      <c r="AS23" s="1872"/>
      <c r="AT23" s="1872"/>
      <c r="AU23" s="1872"/>
      <c r="AV23" s="1872"/>
      <c r="AW23" s="1872"/>
      <c r="AX23" s="1872"/>
      <c r="AY23" s="1872"/>
      <c r="AZ23" s="1872"/>
      <c r="BA23" s="1872"/>
      <c r="BB23" s="1872"/>
      <c r="BC23" s="1872"/>
      <c r="BD23" s="1872"/>
      <c r="BE23" s="1872"/>
    </row>
    <row r="24" spans="1:57" ht="12" customHeight="1" x14ac:dyDescent="0.2">
      <c r="A24" s="2315"/>
      <c r="B24" s="1032"/>
      <c r="C24" s="5442" t="s">
        <v>1530</v>
      </c>
      <c r="D24" s="5443"/>
      <c r="E24" s="5443"/>
      <c r="F24" s="5444"/>
      <c r="G24" s="2833" t="s">
        <v>1493</v>
      </c>
      <c r="H24" s="2649"/>
      <c r="I24" s="5045" t="s">
        <v>1378</v>
      </c>
      <c r="J24" s="5515"/>
      <c r="K24" s="5515"/>
      <c r="L24" s="5515"/>
      <c r="M24" s="5515"/>
      <c r="N24" s="5515"/>
      <c r="O24" s="5516"/>
      <c r="P24" s="2286" t="s">
        <v>1379</v>
      </c>
      <c r="Q24" s="2287" t="s">
        <v>1380</v>
      </c>
      <c r="R24" s="614"/>
      <c r="S24" s="2314"/>
      <c r="T24" s="1470"/>
      <c r="U24" s="1032"/>
      <c r="V24" s="1564" t="s">
        <v>1833</v>
      </c>
      <c r="W24" s="5578"/>
      <c r="X24" s="5579"/>
      <c r="Y24" s="2973" t="s">
        <v>1570</v>
      </c>
      <c r="Z24" s="1833"/>
      <c r="AA24" s="2979" t="s">
        <v>1572</v>
      </c>
      <c r="AB24" s="1836" t="s">
        <v>1573</v>
      </c>
      <c r="AC24" s="1836" t="s">
        <v>1561</v>
      </c>
      <c r="AD24" s="2979" t="s">
        <v>1574</v>
      </c>
      <c r="AE24" s="2883" t="s">
        <v>1562</v>
      </c>
      <c r="AF24" s="2290" t="s">
        <v>2598</v>
      </c>
      <c r="AG24" s="5575" t="str">
        <f>IF(W24="Escudo","Bono de Esquiva:",IF(W24="Proyectiles","Turnos de recarga:",""))</f>
        <v/>
      </c>
      <c r="AH24" s="5576"/>
      <c r="AI24" s="5576"/>
      <c r="AJ24" s="1800"/>
      <c r="AK24" s="790"/>
      <c r="AL24" s="2329"/>
      <c r="AM24" s="1872" t="s">
        <v>8829</v>
      </c>
      <c r="AN24" s="1872"/>
      <c r="AO24" s="1872" t="s">
        <v>1932</v>
      </c>
      <c r="AP24" s="1872"/>
      <c r="AQ24" s="1872" t="s">
        <v>8839</v>
      </c>
      <c r="AR24" s="1872"/>
      <c r="AS24" s="1872"/>
      <c r="AT24" s="1872"/>
      <c r="AU24" s="1872"/>
      <c r="AV24" s="1872"/>
      <c r="AW24" s="1872"/>
      <c r="AX24" s="1872"/>
      <c r="AY24" s="1872"/>
      <c r="AZ24" s="1872"/>
      <c r="BA24" s="1872"/>
      <c r="BB24" s="1872"/>
      <c r="BC24" s="1872"/>
      <c r="BD24" s="1872"/>
      <c r="BE24" s="1872"/>
    </row>
    <row r="25" spans="1:57" ht="12" customHeight="1" thickBot="1" x14ac:dyDescent="0.25">
      <c r="A25" s="2315"/>
      <c r="B25" s="1032"/>
      <c r="C25" s="5451"/>
      <c r="D25" s="5452"/>
      <c r="E25" s="5452"/>
      <c r="F25" s="5453"/>
      <c r="G25" s="1801"/>
      <c r="H25" s="2649"/>
      <c r="I25" s="5517"/>
      <c r="J25" s="5518"/>
      <c r="K25" s="5518"/>
      <c r="L25" s="5518"/>
      <c r="M25" s="5518"/>
      <c r="N25" s="5518"/>
      <c r="O25" s="5519"/>
      <c r="P25" s="1803"/>
      <c r="Q25" s="1604"/>
      <c r="R25" s="614"/>
      <c r="S25" s="2314"/>
      <c r="T25" s="2315"/>
      <c r="U25" s="1032"/>
      <c r="V25" s="2881" t="s">
        <v>1834</v>
      </c>
      <c r="W25" s="5573"/>
      <c r="X25" s="5574"/>
      <c r="Y25" s="2974" t="s">
        <v>10296</v>
      </c>
      <c r="Z25" s="2980"/>
      <c r="AA25" s="1835"/>
      <c r="AB25" s="2884"/>
      <c r="AC25" s="2882"/>
      <c r="AD25" s="2879"/>
      <c r="AE25" s="2981"/>
      <c r="AF25" s="2449"/>
      <c r="AG25" s="5577" t="str">
        <f>IF(W24="Proyectiles","Alcance:","")</f>
        <v/>
      </c>
      <c r="AH25" s="5577"/>
      <c r="AI25" s="5577"/>
      <c r="AJ25" s="1799"/>
      <c r="AK25" s="790"/>
      <c r="AL25" s="2329"/>
      <c r="AM25" s="2939" t="s">
        <v>2643</v>
      </c>
      <c r="AN25" s="1872"/>
      <c r="AO25" s="2939" t="s">
        <v>2649</v>
      </c>
      <c r="AP25" s="1872"/>
      <c r="AQ25" s="1872" t="s">
        <v>8836</v>
      </c>
      <c r="AR25" s="1872"/>
      <c r="AS25" s="1872"/>
      <c r="AT25" s="1872"/>
      <c r="AU25" s="1872"/>
      <c r="AV25" s="1872"/>
      <c r="AW25" s="1872"/>
      <c r="AX25" s="1872"/>
      <c r="AY25" s="1872"/>
      <c r="AZ25" s="1872"/>
      <c r="BA25" s="1872"/>
      <c r="BB25" s="1872"/>
      <c r="BC25" s="1872"/>
      <c r="BD25" s="1872"/>
      <c r="BE25" s="1872"/>
    </row>
    <row r="26" spans="1:57" ht="12" customHeight="1" x14ac:dyDescent="0.2">
      <c r="A26" s="2315"/>
      <c r="B26" s="1032"/>
      <c r="C26" s="5448"/>
      <c r="D26" s="5449"/>
      <c r="E26" s="5449"/>
      <c r="F26" s="5450"/>
      <c r="G26" s="1807"/>
      <c r="H26" s="2649"/>
      <c r="I26" s="5376"/>
      <c r="J26" s="5377"/>
      <c r="K26" s="5377"/>
      <c r="L26" s="5377"/>
      <c r="M26" s="5377"/>
      <c r="N26" s="5377"/>
      <c r="O26" s="5378"/>
      <c r="P26" s="1808"/>
      <c r="Q26" s="1809"/>
      <c r="R26" s="614"/>
      <c r="S26" s="2314"/>
      <c r="T26" s="2315"/>
      <c r="U26" s="1032"/>
      <c r="V26" s="5565" t="s">
        <v>1326</v>
      </c>
      <c r="W26" s="5566"/>
      <c r="X26" s="5560"/>
      <c r="Y26" s="5561"/>
      <c r="Z26" s="5561"/>
      <c r="AA26" s="5562"/>
      <c r="AB26" s="2982" t="s">
        <v>8871</v>
      </c>
      <c r="AC26" s="5600"/>
      <c r="AD26" s="5601"/>
      <c r="AE26" s="5601"/>
      <c r="AF26" s="5601"/>
      <c r="AG26" s="5601"/>
      <c r="AH26" s="5601"/>
      <c r="AI26" s="5601"/>
      <c r="AJ26" s="5602"/>
      <c r="AK26" s="790"/>
      <c r="AL26" s="2329"/>
      <c r="AM26" s="2939" t="s">
        <v>2645</v>
      </c>
      <c r="AN26" s="1872"/>
      <c r="AO26" s="2939" t="s">
        <v>8830</v>
      </c>
      <c r="AP26" s="1872"/>
      <c r="AQ26" s="1872" t="s">
        <v>8838</v>
      </c>
      <c r="AR26" s="1872"/>
      <c r="AS26" s="1872"/>
      <c r="AT26" s="1872"/>
      <c r="AU26" s="1872"/>
      <c r="AV26" s="1872"/>
      <c r="AW26" s="1872"/>
      <c r="AX26" s="1872"/>
      <c r="AY26" s="1872"/>
      <c r="AZ26" s="1872"/>
      <c r="BA26" s="1872"/>
      <c r="BB26" s="1872"/>
      <c r="BC26" s="1872"/>
      <c r="BD26" s="1872"/>
      <c r="BE26" s="1872"/>
    </row>
    <row r="27" spans="1:57" ht="12" customHeight="1" x14ac:dyDescent="0.2">
      <c r="A27" s="2315"/>
      <c r="B27" s="1032"/>
      <c r="C27" s="5445"/>
      <c r="D27" s="5446"/>
      <c r="E27" s="5446"/>
      <c r="F27" s="5447"/>
      <c r="G27" s="1802"/>
      <c r="H27" s="2649"/>
      <c r="I27" s="5373"/>
      <c r="J27" s="5374"/>
      <c r="K27" s="5374"/>
      <c r="L27" s="5374"/>
      <c r="M27" s="5374"/>
      <c r="N27" s="5374"/>
      <c r="O27" s="5375"/>
      <c r="P27" s="1803"/>
      <c r="Q27" s="1604"/>
      <c r="R27" s="614"/>
      <c r="S27" s="2314"/>
      <c r="T27" s="2315"/>
      <c r="U27" s="1032"/>
      <c r="V27" s="5563" t="s">
        <v>1830</v>
      </c>
      <c r="W27" s="5564"/>
      <c r="X27" s="1833"/>
      <c r="Y27" s="2972" t="s">
        <v>1396</v>
      </c>
      <c r="Z27" s="1833"/>
      <c r="AA27" s="5493" t="s">
        <v>1831</v>
      </c>
      <c r="AB27" s="5493"/>
      <c r="AC27" s="2983"/>
      <c r="AD27" s="2984" t="s">
        <v>1832</v>
      </c>
      <c r="AE27" s="2978"/>
      <c r="AF27" s="1474" t="s">
        <v>1396</v>
      </c>
      <c r="AG27" s="5598" t="str">
        <f>IF(W28="Escudo","Bono de Parada:",IF(W28="Proyectiles","FUE del arma:",""))</f>
        <v/>
      </c>
      <c r="AH27" s="5599"/>
      <c r="AI27" s="5599"/>
      <c r="AJ27" s="1800"/>
      <c r="AK27" s="790"/>
      <c r="AL27" s="2329"/>
      <c r="AM27" s="2939" t="s">
        <v>2647</v>
      </c>
      <c r="AN27" s="1872"/>
      <c r="AO27" s="2939" t="s">
        <v>2647</v>
      </c>
      <c r="AP27" s="1872"/>
      <c r="AQ27" s="1872" t="s">
        <v>8837</v>
      </c>
      <c r="AR27" s="1872"/>
      <c r="AS27" s="1872"/>
      <c r="AT27" s="1872"/>
      <c r="AU27" s="1872"/>
      <c r="AV27" s="1872"/>
      <c r="AW27" s="1872"/>
      <c r="AX27" s="1872"/>
      <c r="AY27" s="1872"/>
      <c r="AZ27" s="1872"/>
      <c r="BA27" s="1872"/>
      <c r="BB27" s="1872"/>
      <c r="BC27" s="1872"/>
      <c r="BD27" s="1872"/>
      <c r="BE27" s="1872"/>
    </row>
    <row r="28" spans="1:57" ht="12" customHeight="1" thickBot="1" x14ac:dyDescent="0.25">
      <c r="A28" s="2315"/>
      <c r="B28" s="1032"/>
      <c r="C28" s="5483"/>
      <c r="D28" s="5484"/>
      <c r="E28" s="5484"/>
      <c r="F28" s="5485"/>
      <c r="G28" s="2834"/>
      <c r="H28" s="2649"/>
      <c r="I28" s="5376"/>
      <c r="J28" s="5377"/>
      <c r="K28" s="5377"/>
      <c r="L28" s="5377"/>
      <c r="M28" s="5377"/>
      <c r="N28" s="5377"/>
      <c r="O28" s="5378"/>
      <c r="P28" s="1808"/>
      <c r="Q28" s="1809"/>
      <c r="R28" s="614"/>
      <c r="S28" s="2314"/>
      <c r="T28" s="2315"/>
      <c r="U28" s="1032"/>
      <c r="V28" s="1564" t="s">
        <v>1833</v>
      </c>
      <c r="W28" s="5578"/>
      <c r="X28" s="5579"/>
      <c r="Y28" s="2973" t="s">
        <v>1570</v>
      </c>
      <c r="Z28" s="1833"/>
      <c r="AA28" s="2979" t="s">
        <v>1572</v>
      </c>
      <c r="AB28" s="2979" t="s">
        <v>1573</v>
      </c>
      <c r="AC28" s="2979" t="s">
        <v>1561</v>
      </c>
      <c r="AD28" s="2979" t="s">
        <v>1574</v>
      </c>
      <c r="AE28" s="2883" t="s">
        <v>1562</v>
      </c>
      <c r="AF28" s="2290" t="s">
        <v>2598</v>
      </c>
      <c r="AG28" s="5575" t="str">
        <f>IF(W28="Escudo","Bono de Esquiva:",IF(W28="Proyectiles","Turnos de recarga:",""))</f>
        <v/>
      </c>
      <c r="AH28" s="5576"/>
      <c r="AI28" s="5576"/>
      <c r="AJ28" s="1800"/>
      <c r="AK28" s="790"/>
      <c r="AL28" s="2329"/>
      <c r="AM28" s="2939" t="s">
        <v>2649</v>
      </c>
      <c r="AN28" s="1872"/>
      <c r="AO28" s="2939" t="s">
        <v>8831</v>
      </c>
      <c r="AP28" s="1872"/>
      <c r="AQ28" s="1872">
        <f>IF(P45="Afín",1,IF(P45="Opuesta",-1,0))</f>
        <v>0</v>
      </c>
      <c r="AR28" s="1872"/>
      <c r="AS28" s="1872"/>
      <c r="AT28" s="1872"/>
      <c r="AU28" s="1872"/>
      <c r="AV28" s="1872"/>
      <c r="AW28" s="1872"/>
      <c r="AX28" s="1872"/>
      <c r="AY28" s="1872"/>
      <c r="AZ28" s="1872"/>
      <c r="BA28" s="1872"/>
      <c r="BB28" s="1872"/>
      <c r="BC28" s="1872"/>
      <c r="BD28" s="1872"/>
      <c r="BE28" s="1872"/>
    </row>
    <row r="29" spans="1:57" ht="12" customHeight="1" thickBot="1" x14ac:dyDescent="0.25">
      <c r="A29" s="2315"/>
      <c r="B29" s="1032"/>
      <c r="C29" s="5459" t="s">
        <v>8996</v>
      </c>
      <c r="D29" s="5460"/>
      <c r="E29" s="5460"/>
      <c r="F29" s="5460"/>
      <c r="G29" s="2023" t="s">
        <v>1384</v>
      </c>
      <c r="H29" s="2649"/>
      <c r="I29" s="5552"/>
      <c r="J29" s="5553"/>
      <c r="K29" s="5553"/>
      <c r="L29" s="5553"/>
      <c r="M29" s="5553"/>
      <c r="N29" s="5553"/>
      <c r="O29" s="5554"/>
      <c r="P29" s="1804"/>
      <c r="Q29" s="1805"/>
      <c r="R29" s="614"/>
      <c r="S29" s="2314"/>
      <c r="T29" s="2315"/>
      <c r="U29" s="1032"/>
      <c r="V29" s="2881" t="s">
        <v>1834</v>
      </c>
      <c r="W29" s="5573"/>
      <c r="X29" s="5574"/>
      <c r="Y29" s="2974" t="s">
        <v>10296</v>
      </c>
      <c r="Z29" s="2980"/>
      <c r="AA29" s="1835"/>
      <c r="AB29" s="1834"/>
      <c r="AC29" s="2879"/>
      <c r="AD29" s="1834"/>
      <c r="AE29" s="2878"/>
      <c r="AF29" s="2449"/>
      <c r="AG29" s="5577" t="str">
        <f>IF(W28="Proyectiles","Alcance:","")</f>
        <v/>
      </c>
      <c r="AH29" s="5577"/>
      <c r="AI29" s="5577"/>
      <c r="AJ29" s="1799"/>
      <c r="AK29" s="790"/>
      <c r="AL29" s="2329"/>
      <c r="AM29" s="2939" t="s">
        <v>2651</v>
      </c>
      <c r="AN29" s="2938"/>
      <c r="AO29" s="2939" t="s">
        <v>2643</v>
      </c>
      <c r="AP29" s="2938"/>
      <c r="AQ29" s="2938"/>
      <c r="AR29" s="2938"/>
      <c r="AS29" s="1872"/>
      <c r="AT29" s="1872"/>
      <c r="AU29" s="1872"/>
      <c r="AV29" s="1872"/>
      <c r="AW29" s="1872"/>
      <c r="AX29" s="1872"/>
      <c r="AY29" s="1872"/>
      <c r="AZ29" s="1872"/>
      <c r="BA29" s="1872"/>
      <c r="BB29" s="1872"/>
      <c r="BC29" s="1872"/>
      <c r="BD29" s="1872"/>
      <c r="BE29" s="1872"/>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39" t="s">
        <v>2653</v>
      </c>
      <c r="AN30" s="2938"/>
      <c r="AO30" s="2939" t="s">
        <v>8832</v>
      </c>
      <c r="AP30" s="2938"/>
      <c r="AQ30" s="2938"/>
      <c r="AR30" s="2938"/>
      <c r="AS30" s="1872"/>
      <c r="AT30" s="1872"/>
      <c r="AU30" s="1872"/>
      <c r="AV30" s="1872"/>
      <c r="AW30" s="1872"/>
      <c r="AX30" s="1872"/>
      <c r="AY30" s="1872"/>
      <c r="AZ30" s="1872"/>
      <c r="BA30" s="1872"/>
      <c r="BB30" s="1872"/>
      <c r="BC30" s="1872"/>
      <c r="BD30" s="1872"/>
      <c r="BE30" s="1872"/>
    </row>
    <row r="31" spans="1:57" ht="12" customHeight="1" thickBot="1" x14ac:dyDescent="0.25">
      <c r="A31" s="2315"/>
      <c r="B31" s="1032"/>
      <c r="C31" s="4305" t="s">
        <v>1922</v>
      </c>
      <c r="D31" s="4307"/>
      <c r="E31" s="1464" t="s">
        <v>7304</v>
      </c>
      <c r="F31" s="5418"/>
      <c r="G31" s="5419"/>
      <c r="H31" s="2649"/>
      <c r="I31" s="4021" t="s">
        <v>1828</v>
      </c>
      <c r="J31" s="4022"/>
      <c r="K31" s="4022"/>
      <c r="L31" s="4022"/>
      <c r="M31" s="4022"/>
      <c r="N31" s="4022"/>
      <c r="O31" s="4022"/>
      <c r="P31" s="4022"/>
      <c r="Q31" s="4023"/>
      <c r="R31" s="614"/>
      <c r="S31" s="2314"/>
      <c r="T31" s="2315"/>
      <c r="U31" s="1032"/>
      <c r="V31" s="5273" t="s">
        <v>1837</v>
      </c>
      <c r="W31" s="5559" t="s">
        <v>1326</v>
      </c>
      <c r="X31" s="5559"/>
      <c r="Y31" s="5555"/>
      <c r="Z31" s="5556"/>
      <c r="AA31" s="5556"/>
      <c r="AB31" s="5556"/>
      <c r="AC31" s="5556"/>
      <c r="AD31" s="5559" t="s">
        <v>1326</v>
      </c>
      <c r="AE31" s="5559"/>
      <c r="AF31" s="5555"/>
      <c r="AG31" s="5556"/>
      <c r="AH31" s="5556"/>
      <c r="AI31" s="5556"/>
      <c r="AJ31" s="5610"/>
      <c r="AK31" s="790"/>
      <c r="AL31" s="2329"/>
      <c r="AM31" s="2939" t="s">
        <v>2655</v>
      </c>
      <c r="AN31" s="2940"/>
      <c r="AO31" s="2939" t="s">
        <v>2653</v>
      </c>
      <c r="AP31" s="2938"/>
      <c r="AQ31" s="2938"/>
      <c r="AR31" s="2938"/>
      <c r="AS31" s="1872"/>
      <c r="AT31" s="1872"/>
      <c r="AU31" s="1872"/>
      <c r="AV31" s="1872"/>
      <c r="AW31" s="1872"/>
      <c r="AX31" s="1872"/>
      <c r="AY31" s="1872"/>
      <c r="AZ31" s="1872"/>
      <c r="BA31" s="1872"/>
      <c r="BB31" s="1872"/>
      <c r="BC31" s="1872"/>
      <c r="BD31" s="1872"/>
      <c r="BE31" s="1872"/>
    </row>
    <row r="32" spans="1:57" ht="12" customHeight="1" thickBot="1" x14ac:dyDescent="0.25">
      <c r="A32" s="2315"/>
      <c r="B32" s="1032"/>
      <c r="C32" s="4897"/>
      <c r="D32" s="4899"/>
      <c r="E32" s="1812" t="s">
        <v>7305</v>
      </c>
      <c r="F32" s="5420"/>
      <c r="G32" s="5421"/>
      <c r="H32" s="2649"/>
      <c r="I32" s="5045" t="s">
        <v>1445</v>
      </c>
      <c r="J32" s="5515"/>
      <c r="K32" s="5515"/>
      <c r="L32" s="5515"/>
      <c r="M32" s="5515"/>
      <c r="N32" s="5515"/>
      <c r="O32" s="5516"/>
      <c r="P32" s="41" t="s">
        <v>1379</v>
      </c>
      <c r="Q32" s="16" t="s">
        <v>1380</v>
      </c>
      <c r="R32" s="614"/>
      <c r="S32" s="2314"/>
      <c r="T32" s="2315"/>
      <c r="U32" s="1032"/>
      <c r="V32" s="5274"/>
      <c r="W32" s="3587" t="s">
        <v>1838</v>
      </c>
      <c r="X32" s="3587"/>
      <c r="Y32" s="5557" t="str">
        <f>IF($Y$38="Cabeza","Pen.Percepción","Pen. Natural")</f>
        <v>Pen. Natural</v>
      </c>
      <c r="Z32" s="5557"/>
      <c r="AA32" s="5558" t="s">
        <v>1839</v>
      </c>
      <c r="AB32" s="5558"/>
      <c r="AC32" s="5558"/>
      <c r="AD32" s="3587" t="s">
        <v>1838</v>
      </c>
      <c r="AE32" s="3587"/>
      <c r="AF32" s="5557" t="str">
        <f>IF($AF$38="Cabeza","Pen.Percepción","Pen. Natural")</f>
        <v>Pen. Natural</v>
      </c>
      <c r="AG32" s="5557"/>
      <c r="AH32" s="5558" t="s">
        <v>1839</v>
      </c>
      <c r="AI32" s="5558"/>
      <c r="AJ32" s="5603"/>
      <c r="AK32" s="790"/>
      <c r="AL32" s="2329"/>
      <c r="AM32" s="2939" t="s">
        <v>2657</v>
      </c>
      <c r="AN32" s="2938"/>
      <c r="AO32" s="2939" t="s">
        <v>8833</v>
      </c>
      <c r="AP32" s="2938"/>
      <c r="AQ32" s="2938"/>
      <c r="AR32" s="2938"/>
      <c r="AS32" s="1872"/>
      <c r="AT32" s="1872"/>
      <c r="AU32" s="1872"/>
      <c r="AV32" s="1872"/>
      <c r="AW32" s="1872"/>
      <c r="AX32" s="1872"/>
      <c r="AY32" s="1872"/>
      <c r="AZ32" s="1872"/>
      <c r="BA32" s="1872"/>
      <c r="BB32" s="1872"/>
      <c r="BC32" s="1872"/>
      <c r="BD32" s="1872"/>
      <c r="BE32" s="1872"/>
    </row>
    <row r="33" spans="1:57" ht="12" customHeight="1" thickBot="1" x14ac:dyDescent="0.25">
      <c r="A33" s="2315"/>
      <c r="B33" s="1032"/>
      <c r="C33" s="2649"/>
      <c r="D33" s="2649"/>
      <c r="E33" s="2649"/>
      <c r="F33" s="2649"/>
      <c r="G33" s="2649"/>
      <c r="H33" s="2649"/>
      <c r="I33" s="5373"/>
      <c r="J33" s="5374"/>
      <c r="K33" s="5374"/>
      <c r="L33" s="5374"/>
      <c r="M33" s="5374"/>
      <c r="N33" s="5374"/>
      <c r="O33" s="5375"/>
      <c r="P33" s="1806"/>
      <c r="Q33" s="1604"/>
      <c r="R33" s="614"/>
      <c r="S33" s="2314"/>
      <c r="T33" s="2315"/>
      <c r="U33" s="1032"/>
      <c r="V33" s="5274"/>
      <c r="W33" s="5620"/>
      <c r="X33" s="5609"/>
      <c r="Y33" s="5606"/>
      <c r="Z33" s="5606"/>
      <c r="AA33" s="5597"/>
      <c r="AB33" s="5597"/>
      <c r="AC33" s="5597"/>
      <c r="AD33" s="5609"/>
      <c r="AE33" s="5609"/>
      <c r="AF33" s="5606"/>
      <c r="AG33" s="5606"/>
      <c r="AH33" s="5597"/>
      <c r="AI33" s="5597"/>
      <c r="AJ33" s="5619"/>
      <c r="AK33" s="790"/>
      <c r="AL33" s="2329"/>
      <c r="AM33" s="1872"/>
      <c r="AN33" s="1872"/>
      <c r="AO33" s="1872"/>
      <c r="AP33" s="1872"/>
      <c r="AQ33" s="1872"/>
      <c r="AR33" s="1872"/>
      <c r="AS33" s="1872"/>
      <c r="AT33" s="1872"/>
      <c r="AU33" s="1872"/>
      <c r="AV33" s="1872"/>
      <c r="AW33" s="1872"/>
      <c r="AX33" s="1872"/>
      <c r="AY33" s="1872"/>
      <c r="AZ33" s="1872"/>
      <c r="BA33" s="1872"/>
      <c r="BB33" s="1872"/>
      <c r="BC33" s="1872"/>
      <c r="BD33" s="1872"/>
      <c r="BE33" s="1872"/>
    </row>
    <row r="34" spans="1:57" ht="12" customHeight="1" thickBot="1" x14ac:dyDescent="0.25">
      <c r="A34" s="2315"/>
      <c r="B34" s="1032"/>
      <c r="C34" s="3197" t="s">
        <v>8844</v>
      </c>
      <c r="D34" s="3198"/>
      <c r="E34" s="3198"/>
      <c r="F34" s="3198"/>
      <c r="G34" s="3199"/>
      <c r="H34" s="2649"/>
      <c r="I34" s="5376"/>
      <c r="J34" s="5377"/>
      <c r="K34" s="5377"/>
      <c r="L34" s="5377"/>
      <c r="M34" s="5377"/>
      <c r="N34" s="5377"/>
      <c r="O34" s="5378"/>
      <c r="P34" s="2289"/>
      <c r="Q34" s="1809"/>
      <c r="R34" s="614"/>
      <c r="S34" s="2314"/>
      <c r="T34" s="2315"/>
      <c r="U34" s="1032"/>
      <c r="V34" s="5274"/>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1872" t="s">
        <v>9783</v>
      </c>
      <c r="AN34" s="1872"/>
      <c r="AO34" s="1872" t="s">
        <v>1402</v>
      </c>
      <c r="AP34" s="1872" t="s">
        <v>1373</v>
      </c>
      <c r="AQ34" s="1872"/>
      <c r="AR34" s="1872" t="s">
        <v>9790</v>
      </c>
      <c r="AS34" s="1872"/>
      <c r="AT34" s="1872"/>
      <c r="AU34" s="1872"/>
      <c r="AV34" s="1872"/>
      <c r="AW34" s="1872"/>
      <c r="AX34" s="1872"/>
      <c r="AY34" s="1872"/>
      <c r="AZ34" s="1872"/>
      <c r="BA34" s="1872"/>
      <c r="BB34" s="1872"/>
      <c r="BC34" s="1872"/>
      <c r="BD34" s="1872"/>
      <c r="BE34" s="1872"/>
    </row>
    <row r="35" spans="1:57" ht="12" customHeight="1" x14ac:dyDescent="0.2">
      <c r="A35" s="2315"/>
      <c r="B35" s="1032"/>
      <c r="C35" s="5379"/>
      <c r="D35" s="5380"/>
      <c r="E35" s="5380"/>
      <c r="F35" s="5380"/>
      <c r="G35" s="5381"/>
      <c r="H35" s="2649"/>
      <c r="I35" s="5373"/>
      <c r="J35" s="5374"/>
      <c r="K35" s="5374"/>
      <c r="L35" s="5374"/>
      <c r="M35" s="5374"/>
      <c r="N35" s="5374"/>
      <c r="O35" s="5375"/>
      <c r="P35" s="2291"/>
      <c r="Q35" s="1604"/>
      <c r="R35" s="614"/>
      <c r="S35" s="2314"/>
      <c r="T35" s="2315"/>
      <c r="U35" s="1032"/>
      <c r="V35" s="5274"/>
      <c r="W35" s="5586"/>
      <c r="X35" s="5587"/>
      <c r="Y35" s="5617"/>
      <c r="Z35" s="5607"/>
      <c r="AA35" s="5587"/>
      <c r="AB35" s="5615"/>
      <c r="AC35" s="5371"/>
      <c r="AD35" s="5595"/>
      <c r="AE35" s="5582"/>
      <c r="AF35" s="5582"/>
      <c r="AG35" s="5582"/>
      <c r="AH35" s="5582"/>
      <c r="AI35" s="5613"/>
      <c r="AJ35" s="5589"/>
      <c r="AK35" s="790"/>
      <c r="AL35" s="2329"/>
      <c r="AM35" s="1872" t="s">
        <v>1376</v>
      </c>
      <c r="AN35" s="2939" t="s">
        <v>7064</v>
      </c>
      <c r="AO35" s="1872" t="s">
        <v>2854</v>
      </c>
      <c r="AP35" s="1872" t="s">
        <v>1235</v>
      </c>
      <c r="AQ35" s="1872"/>
      <c r="AR35" s="1872" t="s">
        <v>1235</v>
      </c>
      <c r="AS35" s="1872"/>
      <c r="AT35" s="1872"/>
      <c r="AU35" s="1872"/>
      <c r="AV35" s="1872"/>
      <c r="AW35" s="1872"/>
      <c r="AX35" s="1872"/>
      <c r="AY35" s="1872"/>
      <c r="AZ35" s="1872"/>
      <c r="BA35" s="1872"/>
      <c r="BB35" s="1872"/>
      <c r="BC35" s="1872"/>
      <c r="BD35" s="1872"/>
      <c r="BE35" s="1872"/>
    </row>
    <row r="36" spans="1:57" ht="12" customHeight="1" x14ac:dyDescent="0.2">
      <c r="A36" s="2315"/>
      <c r="B36" s="1032"/>
      <c r="C36" s="5382"/>
      <c r="D36" s="5383"/>
      <c r="E36" s="5383"/>
      <c r="F36" s="5383"/>
      <c r="G36" s="5384"/>
      <c r="H36" s="2649"/>
      <c r="I36" s="5376"/>
      <c r="J36" s="5377"/>
      <c r="K36" s="5377"/>
      <c r="L36" s="5377"/>
      <c r="M36" s="5377"/>
      <c r="N36" s="5377"/>
      <c r="O36" s="5378"/>
      <c r="P36" s="2289"/>
      <c r="Q36" s="1809"/>
      <c r="R36" s="614"/>
      <c r="S36" s="2314"/>
      <c r="T36" s="2315"/>
      <c r="U36" s="1032"/>
      <c r="V36" s="5274"/>
      <c r="W36" s="5586"/>
      <c r="X36" s="5588"/>
      <c r="Y36" s="5618"/>
      <c r="Z36" s="5608"/>
      <c r="AA36" s="5588"/>
      <c r="AB36" s="5616"/>
      <c r="AC36" s="5372"/>
      <c r="AD36" s="5596"/>
      <c r="AE36" s="5583"/>
      <c r="AF36" s="5583"/>
      <c r="AG36" s="5583"/>
      <c r="AH36" s="5583"/>
      <c r="AI36" s="5614"/>
      <c r="AJ36" s="5590"/>
      <c r="AK36" s="790"/>
      <c r="AL36" s="2329"/>
      <c r="AM36" s="1872" t="s">
        <v>1501</v>
      </c>
      <c r="AN36" s="2939" t="s">
        <v>2904</v>
      </c>
      <c r="AO36" s="1872" t="s">
        <v>2857</v>
      </c>
      <c r="AP36" s="1872" t="s">
        <v>1569</v>
      </c>
      <c r="AQ36" s="1872"/>
      <c r="AR36" s="1872" t="s">
        <v>1569</v>
      </c>
      <c r="AS36" s="1872"/>
      <c r="AT36" s="1872"/>
      <c r="AU36" s="1872"/>
      <c r="AV36" s="1872"/>
      <c r="AW36" s="1872"/>
      <c r="AX36" s="1872"/>
      <c r="AY36" s="1872"/>
      <c r="AZ36" s="1872"/>
      <c r="BA36" s="1872"/>
      <c r="BB36" s="1872"/>
      <c r="BC36" s="1872"/>
      <c r="BD36" s="1872"/>
      <c r="BE36" s="1872"/>
    </row>
    <row r="37" spans="1:57" ht="12" customHeight="1" thickBot="1" x14ac:dyDescent="0.25">
      <c r="A37" s="2315"/>
      <c r="B37" s="1032"/>
      <c r="C37" s="5397"/>
      <c r="D37" s="5398"/>
      <c r="E37" s="5398"/>
      <c r="F37" s="5398"/>
      <c r="G37" s="5399"/>
      <c r="H37" s="2649"/>
      <c r="I37" s="5373"/>
      <c r="J37" s="5374"/>
      <c r="K37" s="5374"/>
      <c r="L37" s="5374"/>
      <c r="M37" s="5374"/>
      <c r="N37" s="5374"/>
      <c r="O37" s="5375"/>
      <c r="P37" s="2291"/>
      <c r="Q37" s="1604"/>
      <c r="R37" s="614"/>
      <c r="S37" s="2314"/>
      <c r="T37" s="2315"/>
      <c r="U37" s="1032"/>
      <c r="V37" s="5274"/>
      <c r="W37" s="3272" t="s">
        <v>1840</v>
      </c>
      <c r="X37" s="3272"/>
      <c r="Y37" s="3186"/>
      <c r="Z37" s="5584"/>
      <c r="AA37" s="3272" t="s">
        <v>1841</v>
      </c>
      <c r="AB37" s="3272"/>
      <c r="AC37" s="1837"/>
      <c r="AD37" s="3272" t="s">
        <v>1840</v>
      </c>
      <c r="AE37" s="3272"/>
      <c r="AF37" s="3186"/>
      <c r="AG37" s="5584"/>
      <c r="AH37" s="3272" t="s">
        <v>1841</v>
      </c>
      <c r="AI37" s="3272"/>
      <c r="AJ37" s="2558"/>
      <c r="AK37" s="790"/>
      <c r="AL37" s="2329"/>
      <c r="AM37" s="1872" t="s">
        <v>1381</v>
      </c>
      <c r="AN37" s="2939" t="s">
        <v>2865</v>
      </c>
      <c r="AO37" s="1872"/>
      <c r="AP37" s="1872" t="s">
        <v>2923</v>
      </c>
      <c r="AQ37" s="1872"/>
      <c r="AR37" s="1872" t="s">
        <v>2923</v>
      </c>
      <c r="AS37" s="2938"/>
      <c r="AT37" s="1872"/>
      <c r="AU37" s="1872"/>
      <c r="AV37" s="1872"/>
      <c r="AW37" s="1872"/>
      <c r="AX37" s="1872"/>
      <c r="AY37" s="1872"/>
      <c r="AZ37" s="1872"/>
      <c r="BA37" s="1872"/>
      <c r="BB37" s="1872"/>
      <c r="BC37" s="1872"/>
      <c r="BD37" s="1872"/>
      <c r="BE37" s="1872"/>
    </row>
    <row r="38" spans="1:57" ht="12" customHeight="1" thickBot="1" x14ac:dyDescent="0.25">
      <c r="A38" s="2315"/>
      <c r="B38" s="1032"/>
      <c r="C38" s="2649"/>
      <c r="D38" s="2649"/>
      <c r="E38" s="2649"/>
      <c r="F38" s="2649"/>
      <c r="G38" s="2649"/>
      <c r="H38" s="2649"/>
      <c r="I38" s="5376"/>
      <c r="J38" s="5377"/>
      <c r="K38" s="5377"/>
      <c r="L38" s="5377"/>
      <c r="M38" s="5377"/>
      <c r="N38" s="5377"/>
      <c r="O38" s="5378"/>
      <c r="P38" s="2289"/>
      <c r="Q38" s="1809"/>
      <c r="R38" s="614"/>
      <c r="S38" s="2314"/>
      <c r="T38" s="2315"/>
      <c r="U38" s="1032"/>
      <c r="V38" s="5275"/>
      <c r="W38" s="5395" t="s">
        <v>1842</v>
      </c>
      <c r="X38" s="5395"/>
      <c r="Y38" s="5593"/>
      <c r="Z38" s="5594"/>
      <c r="AA38" s="5585" t="s">
        <v>1843</v>
      </c>
      <c r="AB38" s="5585"/>
      <c r="AC38" s="2559"/>
      <c r="AD38" s="5395" t="s">
        <v>1842</v>
      </c>
      <c r="AE38" s="5395"/>
      <c r="AF38" s="5593"/>
      <c r="AG38" s="5594"/>
      <c r="AH38" s="5585" t="s">
        <v>1843</v>
      </c>
      <c r="AI38" s="5585"/>
      <c r="AJ38" s="2308"/>
      <c r="AK38" s="790"/>
      <c r="AL38" s="2329"/>
      <c r="AM38" s="2938" t="s">
        <v>1386</v>
      </c>
      <c r="AN38" s="2939" t="s">
        <v>2866</v>
      </c>
      <c r="AO38" s="1872"/>
      <c r="AP38" s="2938" t="s">
        <v>3169</v>
      </c>
      <c r="AQ38" s="2938"/>
      <c r="AR38" s="2938" t="s">
        <v>3213</v>
      </c>
      <c r="AS38" s="2941"/>
      <c r="AT38" s="1872"/>
      <c r="AU38" s="1872"/>
      <c r="AV38" s="1872"/>
      <c r="AW38" s="1872"/>
      <c r="AX38" s="1872"/>
      <c r="AY38" s="1872"/>
      <c r="AZ38" s="1872"/>
      <c r="BA38" s="1872"/>
      <c r="BB38" s="1872"/>
      <c r="BC38" s="1872"/>
      <c r="BD38" s="1872"/>
      <c r="BE38" s="1872"/>
    </row>
    <row r="39" spans="1:57" ht="12" customHeight="1" thickBot="1" x14ac:dyDescent="0.25">
      <c r="A39" s="2315"/>
      <c r="B39" s="1032"/>
      <c r="C39" s="3197" t="s">
        <v>1931</v>
      </c>
      <c r="D39" s="3198"/>
      <c r="E39" s="3198"/>
      <c r="F39" s="3198"/>
      <c r="G39" s="3199"/>
      <c r="H39" s="2649"/>
      <c r="I39" s="5373"/>
      <c r="J39" s="5374"/>
      <c r="K39" s="5374"/>
      <c r="L39" s="5374"/>
      <c r="M39" s="5374"/>
      <c r="N39" s="5374"/>
      <c r="O39" s="5375"/>
      <c r="P39" s="2291"/>
      <c r="Q39" s="1604"/>
      <c r="R39" s="614"/>
      <c r="S39" s="2314"/>
      <c r="T39" s="2315"/>
      <c r="U39" s="1032"/>
      <c r="AJ39" s="2313"/>
      <c r="AK39" s="790"/>
      <c r="AL39" s="2329"/>
      <c r="AM39" s="2938" t="s">
        <v>1394</v>
      </c>
      <c r="AN39" s="2939" t="s">
        <v>3171</v>
      </c>
      <c r="AO39" s="2938"/>
      <c r="AP39" s="2938" t="s">
        <v>1213</v>
      </c>
      <c r="AQ39" s="2938"/>
      <c r="AR39" s="2938"/>
      <c r="AS39" s="2941"/>
      <c r="AT39" s="1872"/>
      <c r="AU39" s="1872"/>
      <c r="AV39" s="1872"/>
      <c r="AW39" s="1872"/>
      <c r="AX39" s="1872"/>
      <c r="AY39" s="1872"/>
      <c r="AZ39" s="1872"/>
      <c r="BA39" s="1872"/>
      <c r="BB39" s="1872"/>
      <c r="BC39" s="1872"/>
      <c r="BD39" s="1872"/>
      <c r="BE39" s="1872"/>
    </row>
    <row r="40" spans="1:57" ht="12" customHeight="1" thickBot="1" x14ac:dyDescent="0.25">
      <c r="A40" s="2315"/>
      <c r="B40" s="1032"/>
      <c r="C40" s="5388" t="s">
        <v>8843</v>
      </c>
      <c r="D40" s="5389"/>
      <c r="E40" s="5389"/>
      <c r="F40" s="5389"/>
      <c r="G40" s="1855"/>
      <c r="H40" s="2649"/>
      <c r="I40" s="5376"/>
      <c r="J40" s="5377"/>
      <c r="K40" s="5377"/>
      <c r="L40" s="5377"/>
      <c r="M40" s="5377"/>
      <c r="N40" s="5377"/>
      <c r="O40" s="5378"/>
      <c r="P40" s="2289"/>
      <c r="Q40" s="1809"/>
      <c r="R40" s="614"/>
      <c r="S40" s="2314"/>
      <c r="T40" s="2315"/>
      <c r="U40" s="1032"/>
      <c r="V40" s="3324" t="s">
        <v>1847</v>
      </c>
      <c r="W40" s="3324"/>
      <c r="X40" s="3324"/>
      <c r="Y40" s="3324"/>
      <c r="Z40" s="3324"/>
      <c r="AA40" s="3324"/>
      <c r="AB40" s="3324"/>
      <c r="AC40" s="3324"/>
      <c r="AD40" s="3324"/>
      <c r="AE40" s="3324"/>
      <c r="AF40" s="3324"/>
      <c r="AG40" s="3324"/>
      <c r="AH40" s="3324"/>
      <c r="AI40" s="3324"/>
      <c r="AJ40" s="5581"/>
      <c r="AK40" s="790"/>
      <c r="AL40" s="2329"/>
      <c r="AM40" s="1872" t="s">
        <v>1395</v>
      </c>
      <c r="AN40" s="2939" t="s">
        <v>7065</v>
      </c>
      <c r="AO40" s="2938"/>
      <c r="AP40" s="2938"/>
      <c r="AQ40" s="1872"/>
      <c r="AR40" s="1872"/>
      <c r="AS40" s="2924"/>
      <c r="AT40" s="1872"/>
      <c r="AU40" s="1872"/>
      <c r="AV40" s="1872"/>
      <c r="AW40" s="1872"/>
      <c r="AX40" s="1872"/>
      <c r="AY40" s="1872"/>
      <c r="AZ40" s="1872"/>
      <c r="BA40" s="1872"/>
      <c r="BB40" s="1872"/>
      <c r="BC40" s="1872"/>
      <c r="BD40" s="1872"/>
      <c r="BE40" s="1872"/>
    </row>
    <row r="41" spans="1:57" ht="12" customHeight="1" thickBot="1" x14ac:dyDescent="0.25">
      <c r="A41" s="2315"/>
      <c r="B41" s="1032"/>
      <c r="C41" s="5390" t="s">
        <v>8841</v>
      </c>
      <c r="D41" s="5391"/>
      <c r="E41" s="5391"/>
      <c r="F41" s="5391"/>
      <c r="G41" s="1856" t="s">
        <v>1384</v>
      </c>
      <c r="H41" s="2649"/>
      <c r="I41" s="5373"/>
      <c r="J41" s="5374"/>
      <c r="K41" s="5374"/>
      <c r="L41" s="5374"/>
      <c r="M41" s="5374"/>
      <c r="N41" s="5374"/>
      <c r="O41" s="5375"/>
      <c r="P41" s="2291"/>
      <c r="Q41" s="1604"/>
      <c r="R41" s="614"/>
      <c r="S41" s="2314"/>
      <c r="T41" s="2315"/>
      <c r="U41" s="1032"/>
      <c r="V41" s="5657" t="s">
        <v>1848</v>
      </c>
      <c r="W41" s="5657"/>
      <c r="X41" s="5657"/>
      <c r="Y41" s="5592"/>
      <c r="Z41" s="5592"/>
      <c r="AA41" s="5592"/>
      <c r="AB41" s="5580"/>
      <c r="AC41" s="5580"/>
      <c r="AD41" s="5580"/>
      <c r="AE41" s="5580"/>
      <c r="AF41" s="5580"/>
      <c r="AG41" s="5580"/>
      <c r="AH41" s="5611"/>
      <c r="AI41" s="5611"/>
      <c r="AJ41" s="5612"/>
      <c r="AK41" s="790"/>
      <c r="AL41" s="2329"/>
      <c r="AM41" s="1872"/>
      <c r="AN41" s="1872"/>
      <c r="AO41" s="1872"/>
      <c r="AP41" s="1872"/>
      <c r="AQ41" s="1872"/>
      <c r="AR41" s="1872"/>
      <c r="AS41" s="1872"/>
      <c r="AT41" s="1872"/>
      <c r="AU41" s="1872"/>
      <c r="AV41" s="1872"/>
      <c r="AW41" s="1872"/>
      <c r="AX41" s="1872"/>
      <c r="AY41" s="1872"/>
      <c r="AZ41" s="1872"/>
      <c r="BA41" s="1872"/>
      <c r="BB41" s="1872"/>
      <c r="BC41" s="1872"/>
      <c r="BD41" s="1872"/>
      <c r="BE41" s="1872"/>
    </row>
    <row r="42" spans="1:57" ht="12" customHeight="1" thickBot="1" x14ac:dyDescent="0.25">
      <c r="A42" s="2315"/>
      <c r="B42" s="1032"/>
      <c r="C42" s="5390" t="s">
        <v>8842</v>
      </c>
      <c r="D42" s="5391"/>
      <c r="E42" s="5391"/>
      <c r="F42" s="5391"/>
      <c r="G42" s="1856" t="s">
        <v>1384</v>
      </c>
      <c r="H42" s="2649"/>
      <c r="I42" s="5660"/>
      <c r="J42" s="5661"/>
      <c r="K42" s="5661"/>
      <c r="L42" s="5661"/>
      <c r="M42" s="5661"/>
      <c r="N42" s="5661"/>
      <c r="O42" s="5662"/>
      <c r="P42" s="1811"/>
      <c r="Q42" s="1810"/>
      <c r="R42" s="614"/>
      <c r="S42" s="2314"/>
      <c r="T42" s="2315"/>
      <c r="U42" s="1032"/>
      <c r="V42" s="5657"/>
      <c r="W42" s="5657"/>
      <c r="X42" s="5657"/>
      <c r="Y42" s="5592"/>
      <c r="Z42" s="5592"/>
      <c r="AA42" s="5592"/>
      <c r="AB42" s="5580"/>
      <c r="AC42" s="5580"/>
      <c r="AD42" s="5580"/>
      <c r="AE42" s="5580"/>
      <c r="AF42" s="5580"/>
      <c r="AG42" s="5580"/>
      <c r="AH42" s="5611"/>
      <c r="AI42" s="5611"/>
      <c r="AJ42" s="5612"/>
      <c r="AK42" s="790"/>
      <c r="AL42" s="2329"/>
      <c r="AM42" s="1872"/>
      <c r="AN42" s="1872"/>
      <c r="AO42" s="1872"/>
      <c r="AP42" s="1872"/>
      <c r="AQ42" s="1872"/>
      <c r="AR42" s="1872"/>
      <c r="AS42" s="1872"/>
      <c r="AT42" s="1872"/>
      <c r="AU42" s="1872"/>
      <c r="AV42" s="1872"/>
      <c r="AW42" s="1872"/>
      <c r="AX42" s="1872"/>
      <c r="AY42" s="1872"/>
      <c r="AZ42" s="1872"/>
      <c r="BA42" s="1872"/>
      <c r="BB42" s="1872"/>
      <c r="BC42" s="1872"/>
      <c r="BD42" s="1872"/>
      <c r="BE42" s="1872"/>
    </row>
    <row r="43" spans="1:57" ht="12" customHeight="1" thickBot="1" x14ac:dyDescent="0.25">
      <c r="A43" s="2315"/>
      <c r="B43" s="1032"/>
      <c r="C43" s="5392" t="s">
        <v>8846</v>
      </c>
      <c r="D43" s="5393"/>
      <c r="E43" s="5393"/>
      <c r="F43" s="5393"/>
      <c r="G43" s="1857" t="s">
        <v>1384</v>
      </c>
      <c r="H43" s="2649"/>
      <c r="I43" s="2649"/>
      <c r="J43" s="2649"/>
      <c r="K43" s="2649"/>
      <c r="L43" s="2649"/>
      <c r="M43" s="2649"/>
      <c r="N43" s="2649"/>
      <c r="O43" s="2649"/>
      <c r="P43" s="2649"/>
      <c r="Q43" s="2649"/>
      <c r="R43" s="614"/>
      <c r="S43" s="2314"/>
      <c r="T43" s="2315"/>
      <c r="U43" s="1032"/>
      <c r="V43" s="3579" t="s">
        <v>1851</v>
      </c>
      <c r="W43" s="3579"/>
      <c r="X43" s="3579"/>
      <c r="Y43" s="5687"/>
      <c r="Z43" s="5687"/>
      <c r="AA43" s="5687"/>
      <c r="AB43" s="5394"/>
      <c r="AC43" s="5394"/>
      <c r="AD43" s="5394"/>
      <c r="AE43" s="5394"/>
      <c r="AF43" s="5394"/>
      <c r="AG43" s="5394"/>
      <c r="AH43" s="5682"/>
      <c r="AI43" s="5682"/>
      <c r="AJ43" s="5683"/>
      <c r="AK43" s="790"/>
      <c r="AL43" s="2329"/>
      <c r="AM43" s="1872"/>
      <c r="AN43" s="1872"/>
      <c r="AO43" s="1872"/>
      <c r="AP43" s="1872"/>
      <c r="AQ43" s="1872"/>
      <c r="AR43" s="1872"/>
      <c r="AS43" s="1872"/>
      <c r="AT43" s="1872"/>
      <c r="AU43" s="1872"/>
      <c r="AV43" s="1872"/>
      <c r="AW43" s="1872"/>
      <c r="AX43" s="1872"/>
      <c r="AY43" s="1872"/>
      <c r="AZ43" s="1872"/>
      <c r="BA43" s="1872"/>
      <c r="BB43" s="1872"/>
      <c r="BC43" s="1872"/>
      <c r="BD43" s="1872"/>
      <c r="BE43" s="1872"/>
    </row>
    <row r="44" spans="1:57" ht="12" customHeight="1" thickBot="1" x14ac:dyDescent="0.25">
      <c r="A44" s="2315"/>
      <c r="B44" s="1032"/>
      <c r="C44" s="2649"/>
      <c r="D44" s="2649"/>
      <c r="E44" s="2649"/>
      <c r="F44" s="2649"/>
      <c r="G44" s="2649"/>
      <c r="H44" s="2649"/>
      <c r="I44" s="5368" t="s">
        <v>1932</v>
      </c>
      <c r="J44" s="5370" t="s">
        <v>8840</v>
      </c>
      <c r="K44" s="5370"/>
      <c r="L44" s="5370"/>
      <c r="M44" s="5370"/>
      <c r="N44" s="1813"/>
      <c r="O44" s="1813"/>
      <c r="P44" s="1813"/>
      <c r="Q44" s="1814"/>
      <c r="R44" s="614"/>
      <c r="S44" s="2314"/>
      <c r="T44" s="2315"/>
      <c r="U44" s="1032"/>
      <c r="V44" s="5604" t="s">
        <v>1852</v>
      </c>
      <c r="W44" s="5604"/>
      <c r="X44" s="5604"/>
      <c r="Y44" s="5605"/>
      <c r="Z44" s="5605"/>
      <c r="AA44" s="5605"/>
      <c r="AB44" s="5630"/>
      <c r="AC44" s="5630"/>
      <c r="AD44" s="5630"/>
      <c r="AE44" s="5630"/>
      <c r="AF44" s="5630"/>
      <c r="AG44" s="5630"/>
      <c r="AH44" s="5360"/>
      <c r="AI44" s="5360"/>
      <c r="AJ44" s="5361"/>
      <c r="AK44" s="790"/>
      <c r="AL44" s="2329"/>
      <c r="AM44" s="1872"/>
      <c r="AN44" s="1872"/>
      <c r="AO44" s="1872"/>
      <c r="AP44" s="1872"/>
      <c r="AQ44" s="1872"/>
      <c r="AR44" s="1872"/>
      <c r="AS44" s="1872"/>
      <c r="AT44" s="1872"/>
      <c r="AU44" s="1872"/>
      <c r="AV44" s="1872"/>
      <c r="AW44" s="1872"/>
      <c r="AX44" s="1872"/>
      <c r="AY44" s="1872"/>
      <c r="AZ44" s="1872"/>
      <c r="BA44" s="1872"/>
      <c r="BB44" s="1872"/>
      <c r="BC44" s="1872"/>
      <c r="BD44" s="1872"/>
      <c r="BE44" s="1872"/>
    </row>
    <row r="45" spans="1:57" ht="12" customHeight="1" thickBot="1" x14ac:dyDescent="0.25">
      <c r="A45" s="2315"/>
      <c r="B45" s="1032"/>
      <c r="C45" s="4305" t="s">
        <v>8845</v>
      </c>
      <c r="D45" s="4307"/>
      <c r="E45" s="5351" t="s">
        <v>9533</v>
      </c>
      <c r="F45" s="5352"/>
      <c r="G45" s="5353"/>
      <c r="H45" s="2649"/>
      <c r="I45" s="5369"/>
      <c r="J45" s="5357" t="s">
        <v>8835</v>
      </c>
      <c r="K45" s="5357"/>
      <c r="L45" s="1728" t="s">
        <v>1384</v>
      </c>
      <c r="M45" s="5221" t="s">
        <v>8834</v>
      </c>
      <c r="N45" s="5221"/>
      <c r="O45" s="5221"/>
      <c r="P45" s="5349" t="s">
        <v>8838</v>
      </c>
      <c r="Q45" s="5350"/>
      <c r="R45" s="614"/>
      <c r="S45" s="2314"/>
      <c r="T45" s="2315"/>
      <c r="U45" s="1032"/>
      <c r="V45" s="5641" t="s">
        <v>1853</v>
      </c>
      <c r="W45" s="5641"/>
      <c r="X45" s="5641"/>
      <c r="Y45" s="5684"/>
      <c r="Z45" s="5684"/>
      <c r="AA45" s="5684"/>
      <c r="AB45" s="5629"/>
      <c r="AC45" s="5629"/>
      <c r="AD45" s="5629"/>
      <c r="AE45" s="5629"/>
      <c r="AF45" s="5629"/>
      <c r="AG45" s="5629"/>
      <c r="AH45" s="5685"/>
      <c r="AI45" s="5685"/>
      <c r="AJ45" s="5686"/>
      <c r="AK45" s="790"/>
      <c r="AL45" s="2329"/>
      <c r="AM45" s="1872"/>
      <c r="AN45" s="1872"/>
      <c r="AO45" s="1872"/>
      <c r="AP45" s="1872"/>
      <c r="AQ45" s="1872"/>
      <c r="AR45" s="1872"/>
      <c r="AS45" s="1872"/>
      <c r="AT45" s="1872"/>
      <c r="AU45" s="2938"/>
      <c r="AV45" s="1872"/>
      <c r="AW45" s="1872"/>
      <c r="AX45" s="1872"/>
      <c r="AY45" s="1872"/>
      <c r="AZ45" s="1872"/>
      <c r="BA45" s="1872"/>
      <c r="BB45" s="1872"/>
      <c r="BC45" s="1872"/>
      <c r="BD45" s="1872"/>
      <c r="BE45" s="1872"/>
    </row>
    <row r="46" spans="1:57" ht="12" customHeight="1" thickBot="1" x14ac:dyDescent="0.25">
      <c r="A46" s="2315"/>
      <c r="B46" s="1032"/>
      <c r="C46" s="4897"/>
      <c r="D46" s="4899"/>
      <c r="E46" s="5354"/>
      <c r="F46" s="5355"/>
      <c r="G46" s="5356"/>
      <c r="H46" s="2649"/>
      <c r="I46" s="5385" t="str">
        <f>IF(IFERROR(VALUE(LEFT(N44,2)),0)+IFERROR(VALUE(LEFT(O44,2)),0)+IFERROR(VALUE(LEFT(P44,2)),0)+IFERROR(VALUE(LEFT(Q44,2)),0)&gt;3,"Exceso de bonos de transformación",IF($AQ$28=-1,"Sin poderes raciales",""))</f>
        <v/>
      </c>
      <c r="J46" s="5386"/>
      <c r="K46" s="5386"/>
      <c r="L46" s="5386"/>
      <c r="M46" s="5386"/>
      <c r="N46" s="5386"/>
      <c r="O46" s="5386"/>
      <c r="P46" s="5386"/>
      <c r="Q46" s="5387"/>
      <c r="R46" s="614"/>
      <c r="S46" s="2314"/>
      <c r="T46" s="2315"/>
      <c r="U46" s="1032"/>
      <c r="V46" s="5604" t="s">
        <v>1854</v>
      </c>
      <c r="W46" s="5604"/>
      <c r="X46" s="5604"/>
      <c r="Y46" s="5605"/>
      <c r="Z46" s="5605"/>
      <c r="AA46" s="5605"/>
      <c r="AB46" s="5630"/>
      <c r="AC46" s="5630"/>
      <c r="AD46" s="5630"/>
      <c r="AE46" s="5630"/>
      <c r="AF46" s="5630"/>
      <c r="AG46" s="5630"/>
      <c r="AH46" s="5360"/>
      <c r="AI46" s="5360"/>
      <c r="AJ46" s="5361"/>
      <c r="AK46" s="790"/>
      <c r="AL46" s="2329"/>
      <c r="AM46" s="1872"/>
      <c r="AN46" s="1872" t="s">
        <v>9805</v>
      </c>
      <c r="AO46" s="1872"/>
      <c r="AP46" s="1872"/>
      <c r="AQ46" s="1872"/>
      <c r="AR46" s="1872"/>
      <c r="AS46" s="1872"/>
      <c r="AT46" s="1872"/>
      <c r="AU46" s="2938"/>
      <c r="AV46" s="1872"/>
      <c r="AW46" s="1872"/>
      <c r="AX46" s="1872"/>
      <c r="AY46" s="1872"/>
      <c r="AZ46" s="1872"/>
      <c r="BA46" s="1872"/>
      <c r="BB46" s="1872"/>
      <c r="BC46" s="1872"/>
      <c r="BD46" s="1872"/>
      <c r="BE46" s="1872"/>
    </row>
    <row r="47" spans="1:57" ht="12" customHeight="1" thickBot="1" x14ac:dyDescent="0.25">
      <c r="A47" s="2315"/>
      <c r="B47" s="1032"/>
      <c r="C47" s="5348" t="s">
        <v>8667</v>
      </c>
      <c r="D47" s="5348"/>
      <c r="E47" s="5348" t="s">
        <v>1384</v>
      </c>
      <c r="F47" s="5348"/>
      <c r="G47" s="5348"/>
      <c r="H47" s="2649"/>
      <c r="I47" s="2649"/>
      <c r="J47" s="2649"/>
      <c r="K47" s="2649"/>
      <c r="L47" s="2649"/>
      <c r="M47" s="2649"/>
      <c r="N47" s="2649"/>
      <c r="O47" s="2649"/>
      <c r="P47" s="2649"/>
      <c r="Q47" s="2649"/>
      <c r="R47" s="614"/>
      <c r="S47" s="2314"/>
      <c r="T47" s="2315"/>
      <c r="U47" s="1032"/>
      <c r="V47" s="5362" t="s">
        <v>1855</v>
      </c>
      <c r="W47" s="5363"/>
      <c r="X47" s="5364"/>
      <c r="Y47" s="5365"/>
      <c r="Z47" s="5366"/>
      <c r="AA47" s="5631"/>
      <c r="AB47" s="5365"/>
      <c r="AC47" s="5366"/>
      <c r="AD47" s="5631"/>
      <c r="AE47" s="5365"/>
      <c r="AF47" s="5366"/>
      <c r="AG47" s="5631"/>
      <c r="AH47" s="5365"/>
      <c r="AI47" s="5366"/>
      <c r="AJ47" s="5367"/>
      <c r="AK47" s="790"/>
      <c r="AL47" s="2329"/>
      <c r="AM47" s="1872"/>
      <c r="AN47" s="1872" t="s">
        <v>1237</v>
      </c>
      <c r="AO47" s="1872" t="s">
        <v>1402</v>
      </c>
      <c r="AP47" s="1872" t="s">
        <v>1373</v>
      </c>
      <c r="AQ47" s="1872" t="s">
        <v>9801</v>
      </c>
      <c r="AR47" s="1872" t="s">
        <v>9797</v>
      </c>
      <c r="AS47" s="1872" t="s">
        <v>9798</v>
      </c>
      <c r="AT47" s="2938" t="s">
        <v>9799</v>
      </c>
      <c r="AU47" s="1872" t="s">
        <v>9800</v>
      </c>
      <c r="AV47" s="1872" t="s">
        <v>9026</v>
      </c>
      <c r="AW47" s="1872" t="s">
        <v>1846</v>
      </c>
      <c r="AX47" s="1872" t="s">
        <v>1503</v>
      </c>
      <c r="AY47" s="1872" t="s">
        <v>9777</v>
      </c>
      <c r="AZ47" s="1872" t="s">
        <v>2863</v>
      </c>
      <c r="BA47" s="1872" t="s">
        <v>2864</v>
      </c>
      <c r="BB47" s="1872" t="s">
        <v>2855</v>
      </c>
      <c r="BC47" s="1872" t="s">
        <v>9804</v>
      </c>
      <c r="BD47" s="1872" t="s">
        <v>9803</v>
      </c>
      <c r="BE47" s="1872" t="s">
        <v>9802</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1872"/>
      <c r="AN48" s="1893">
        <f>D53</f>
        <v>0</v>
      </c>
      <c r="AO48" s="1893">
        <f>D54</f>
        <v>0</v>
      </c>
      <c r="AP48" s="1893">
        <f>D55</f>
        <v>0</v>
      </c>
      <c r="AQ48" s="1893">
        <f>H54</f>
        <v>0</v>
      </c>
      <c r="AR48" s="1893" t="str">
        <f>J55&amp;" "&amp;K55</f>
        <v xml:space="preserve"> </v>
      </c>
      <c r="AS48" s="1893" t="str">
        <f>L55&amp;" "&amp;M55</f>
        <v xml:space="preserve"> </v>
      </c>
      <c r="AT48" s="1893" t="str">
        <f>N55&amp;" "&amp;O55</f>
        <v xml:space="preserve"> </v>
      </c>
      <c r="AU48" s="1893" t="str">
        <f>P55&amp;" "&amp;Q55</f>
        <v xml:space="preserve"> </v>
      </c>
      <c r="AV48" s="1893">
        <f t="shared" ref="AV48:BB48" si="1">K53</f>
        <v>0</v>
      </c>
      <c r="AW48" s="1893">
        <f t="shared" si="1"/>
        <v>0</v>
      </c>
      <c r="AX48" s="1893">
        <f t="shared" si="1"/>
        <v>0</v>
      </c>
      <c r="AY48" s="1893">
        <f t="shared" si="1"/>
        <v>0</v>
      </c>
      <c r="AZ48" s="1893">
        <f t="shared" si="1"/>
        <v>0</v>
      </c>
      <c r="BA48" s="1893">
        <f t="shared" si="1"/>
        <v>0</v>
      </c>
      <c r="BB48" s="1893">
        <f t="shared" si="1"/>
        <v>0</v>
      </c>
      <c r="BC48" s="1893">
        <f>L54</f>
        <v>0</v>
      </c>
      <c r="BD48" s="1893">
        <f>N54</f>
        <v>0</v>
      </c>
      <c r="BE48" s="1893">
        <f>P54</f>
        <v>0</v>
      </c>
    </row>
    <row r="49" spans="1:57" ht="12" customHeight="1" thickBot="1" x14ac:dyDescent="0.25">
      <c r="A49" s="2315"/>
      <c r="B49" s="1032"/>
      <c r="C49" s="5205" t="s">
        <v>9776</v>
      </c>
      <c r="D49" s="5206"/>
      <c r="E49" s="5206"/>
      <c r="F49" s="5206"/>
      <c r="G49" s="5206"/>
      <c r="H49" s="5206"/>
      <c r="I49" s="5206"/>
      <c r="J49" s="5206"/>
      <c r="K49" s="5206"/>
      <c r="L49" s="5206"/>
      <c r="M49" s="5206"/>
      <c r="N49" s="5206"/>
      <c r="O49" s="5206"/>
      <c r="P49" s="5206"/>
      <c r="Q49" s="5207"/>
      <c r="R49" s="614"/>
      <c r="S49" s="2314"/>
      <c r="T49" s="2315"/>
      <c r="U49" s="1032"/>
      <c r="AK49" s="790"/>
      <c r="AL49" s="2329"/>
      <c r="AM49" s="1872"/>
      <c r="AN49" s="1893">
        <f>D57</f>
        <v>0</v>
      </c>
      <c r="AO49" s="1893">
        <f>D58</f>
        <v>0</v>
      </c>
      <c r="AP49" s="1893">
        <f>D59</f>
        <v>0</v>
      </c>
      <c r="AQ49" s="1893">
        <f>H58</f>
        <v>0</v>
      </c>
      <c r="AR49" s="1893" t="str">
        <f>J59&amp;" "&amp;K59</f>
        <v xml:space="preserve"> </v>
      </c>
      <c r="AS49" s="1893" t="str">
        <f>L59&amp;" "&amp;M59</f>
        <v xml:space="preserve"> </v>
      </c>
      <c r="AT49" s="1893" t="str">
        <f>N59&amp;" "&amp;O59</f>
        <v xml:space="preserve"> </v>
      </c>
      <c r="AU49" s="1893" t="str">
        <f>P59&amp;" "&amp;Q59</f>
        <v xml:space="preserve"> </v>
      </c>
      <c r="AV49" s="1893">
        <f t="shared" ref="AV49:BB49" si="2">K57</f>
        <v>0</v>
      </c>
      <c r="AW49" s="1893">
        <f t="shared" si="2"/>
        <v>0</v>
      </c>
      <c r="AX49" s="1893">
        <f t="shared" si="2"/>
        <v>0</v>
      </c>
      <c r="AY49" s="1893">
        <f t="shared" si="2"/>
        <v>0</v>
      </c>
      <c r="AZ49" s="1893">
        <f t="shared" si="2"/>
        <v>0</v>
      </c>
      <c r="BA49" s="1893">
        <f t="shared" si="2"/>
        <v>0</v>
      </c>
      <c r="BB49" s="1893">
        <f t="shared" si="2"/>
        <v>0</v>
      </c>
      <c r="BC49" s="1893">
        <f>L58</f>
        <v>0</v>
      </c>
      <c r="BD49" s="1893">
        <f>N58</f>
        <v>0</v>
      </c>
      <c r="BE49" s="1893">
        <f>P58</f>
        <v>0</v>
      </c>
    </row>
    <row r="50" spans="1:57" ht="12" customHeight="1" thickBot="1" x14ac:dyDescent="0.25">
      <c r="A50" s="2315"/>
      <c r="B50" s="1032"/>
      <c r="C50" s="3966"/>
      <c r="D50" s="3967"/>
      <c r="E50" s="3967"/>
      <c r="F50" s="3967"/>
      <c r="G50" s="3967"/>
      <c r="H50" s="3967"/>
      <c r="I50" s="3967"/>
      <c r="J50" s="3967"/>
      <c r="K50" s="3967"/>
      <c r="L50" s="3967"/>
      <c r="M50" s="3967"/>
      <c r="N50" s="3967"/>
      <c r="O50" s="3967"/>
      <c r="P50" s="3967"/>
      <c r="Q50" s="3968"/>
      <c r="R50" s="614"/>
      <c r="S50" s="2314"/>
      <c r="T50" s="2315"/>
      <c r="U50" s="1032"/>
      <c r="V50" s="5205" t="s">
        <v>7309</v>
      </c>
      <c r="W50" s="5206"/>
      <c r="X50" s="5206"/>
      <c r="Y50" s="5206"/>
      <c r="Z50" s="5206"/>
      <c r="AA50" s="5206"/>
      <c r="AB50" s="5206"/>
      <c r="AC50" s="5206"/>
      <c r="AD50" s="5206"/>
      <c r="AE50" s="5206"/>
      <c r="AF50" s="5206"/>
      <c r="AG50" s="5206"/>
      <c r="AH50" s="5206"/>
      <c r="AI50" s="5206"/>
      <c r="AJ50" s="5207"/>
      <c r="AK50" s="790"/>
      <c r="AL50" s="2329"/>
      <c r="AM50" s="1872"/>
      <c r="AN50" s="1893">
        <f>D61</f>
        <v>0</v>
      </c>
      <c r="AO50" s="1893">
        <f>D62</f>
        <v>0</v>
      </c>
      <c r="AP50" s="1893">
        <f>D63</f>
        <v>0</v>
      </c>
      <c r="AQ50" s="1893">
        <f>H62</f>
        <v>0</v>
      </c>
      <c r="AR50" s="1893" t="str">
        <f>J63&amp;" "&amp;K63</f>
        <v xml:space="preserve"> </v>
      </c>
      <c r="AS50" s="1893" t="str">
        <f>L63&amp;" "&amp;M63</f>
        <v xml:space="preserve"> </v>
      </c>
      <c r="AT50" s="1893" t="str">
        <f>N63&amp;" "&amp;O63</f>
        <v xml:space="preserve"> </v>
      </c>
      <c r="AU50" s="1893" t="str">
        <f>P63&amp;" "&amp;Q63</f>
        <v xml:space="preserve"> </v>
      </c>
      <c r="AV50" s="1893">
        <f t="shared" ref="AV50:BB50" si="3">K61</f>
        <v>0</v>
      </c>
      <c r="AW50" s="1893">
        <f t="shared" si="3"/>
        <v>0</v>
      </c>
      <c r="AX50" s="1893">
        <f t="shared" si="3"/>
        <v>0</v>
      </c>
      <c r="AY50" s="1893">
        <f t="shared" si="3"/>
        <v>0</v>
      </c>
      <c r="AZ50" s="1893">
        <f t="shared" si="3"/>
        <v>0</v>
      </c>
      <c r="BA50" s="1893">
        <f t="shared" si="3"/>
        <v>0</v>
      </c>
      <c r="BB50" s="1893">
        <f t="shared" si="3"/>
        <v>0</v>
      </c>
      <c r="BC50" s="1893">
        <f>L62</f>
        <v>0</v>
      </c>
      <c r="BD50" s="1893">
        <f>N62</f>
        <v>0</v>
      </c>
      <c r="BE50" s="1893">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966"/>
      <c r="W51" s="3967"/>
      <c r="X51" s="3967"/>
      <c r="Y51" s="3967"/>
      <c r="Z51" s="3967"/>
      <c r="AA51" s="3967"/>
      <c r="AB51" s="3967"/>
      <c r="AC51" s="3967"/>
      <c r="AD51" s="3967"/>
      <c r="AE51" s="3967"/>
      <c r="AF51" s="3967"/>
      <c r="AG51" s="3967"/>
      <c r="AH51" s="3967"/>
      <c r="AI51" s="3967"/>
      <c r="AJ51" s="3968"/>
      <c r="AK51" s="790"/>
      <c r="AL51" s="2329"/>
      <c r="AM51" s="1872"/>
      <c r="AN51" s="1893">
        <f>D65</f>
        <v>0</v>
      </c>
      <c r="AO51" s="1893">
        <f>D66</f>
        <v>0</v>
      </c>
      <c r="AP51" s="1893">
        <f>D67</f>
        <v>0</v>
      </c>
      <c r="AQ51" s="1893">
        <f>H66</f>
        <v>0</v>
      </c>
      <c r="AR51" s="1893" t="str">
        <f>J67&amp;" "&amp;K67</f>
        <v xml:space="preserve"> </v>
      </c>
      <c r="AS51" s="1893" t="str">
        <f>L67&amp;" "&amp;M67</f>
        <v xml:space="preserve"> </v>
      </c>
      <c r="AT51" s="1893" t="str">
        <f>N67&amp;" "&amp;O67</f>
        <v xml:space="preserve"> </v>
      </c>
      <c r="AU51" s="1893" t="str">
        <f>P67&amp;" "&amp;Q67</f>
        <v xml:space="preserve"> </v>
      </c>
      <c r="AV51" s="1893">
        <f t="shared" ref="AV51:BB51" si="4">K65</f>
        <v>0</v>
      </c>
      <c r="AW51" s="1893">
        <f t="shared" si="4"/>
        <v>0</v>
      </c>
      <c r="AX51" s="1893">
        <f t="shared" si="4"/>
        <v>0</v>
      </c>
      <c r="AY51" s="1893">
        <f t="shared" si="4"/>
        <v>0</v>
      </c>
      <c r="AZ51" s="1893">
        <f t="shared" si="4"/>
        <v>0</v>
      </c>
      <c r="BA51" s="1893">
        <f t="shared" si="4"/>
        <v>0</v>
      </c>
      <c r="BB51" s="1893">
        <f t="shared" si="4"/>
        <v>0</v>
      </c>
      <c r="BC51" s="1893">
        <f>L66</f>
        <v>0</v>
      </c>
      <c r="BD51" s="1893">
        <f>N66</f>
        <v>0</v>
      </c>
      <c r="BE51" s="1893">
        <f>P66</f>
        <v>0</v>
      </c>
    </row>
    <row r="52" spans="1:57" ht="12" customHeight="1" thickBot="1" x14ac:dyDescent="0.25">
      <c r="A52" s="2315"/>
      <c r="B52" s="1032"/>
      <c r="C52" s="3197" t="s">
        <v>9780</v>
      </c>
      <c r="D52" s="3198"/>
      <c r="E52" s="3198"/>
      <c r="F52" s="3198"/>
      <c r="G52" s="3198"/>
      <c r="H52" s="3198"/>
      <c r="I52" s="3198"/>
      <c r="J52" s="5291"/>
      <c r="K52" s="2292" t="s">
        <v>9026</v>
      </c>
      <c r="L52" s="2292" t="s">
        <v>1846</v>
      </c>
      <c r="M52" s="2292" t="s">
        <v>1503</v>
      </c>
      <c r="N52" s="2292" t="s">
        <v>9777</v>
      </c>
      <c r="O52" s="2292" t="s">
        <v>2863</v>
      </c>
      <c r="P52" s="2292" t="s">
        <v>2864</v>
      </c>
      <c r="Q52" s="2295" t="s">
        <v>2855</v>
      </c>
      <c r="R52" s="614"/>
      <c r="S52" s="2314"/>
      <c r="T52" s="2315"/>
      <c r="U52" s="1032"/>
      <c r="AK52" s="790"/>
      <c r="AL52" s="2329"/>
      <c r="AM52" s="1872"/>
      <c r="AN52" s="1893">
        <f>D69</f>
        <v>0</v>
      </c>
      <c r="AO52" s="1893">
        <f>D70</f>
        <v>0</v>
      </c>
      <c r="AP52" s="1893">
        <f>D71</f>
        <v>0</v>
      </c>
      <c r="AQ52" s="1893">
        <f>H69</f>
        <v>0</v>
      </c>
      <c r="AR52" s="1893" t="str">
        <f>J71&amp;" "&amp;K71</f>
        <v xml:space="preserve"> </v>
      </c>
      <c r="AS52" s="1893" t="str">
        <f>L71&amp;" "&amp;M71</f>
        <v xml:space="preserve"> </v>
      </c>
      <c r="AT52" s="1893" t="str">
        <f>N71&amp;" "&amp;O71</f>
        <v xml:space="preserve"> </v>
      </c>
      <c r="AU52" s="1893" t="str">
        <f>P71&amp;" "&amp;Q71</f>
        <v xml:space="preserve"> </v>
      </c>
      <c r="AV52" s="1893">
        <f t="shared" ref="AV52:BB52" si="5">K69</f>
        <v>0</v>
      </c>
      <c r="AW52" s="1893">
        <f t="shared" si="5"/>
        <v>0</v>
      </c>
      <c r="AX52" s="1893">
        <f t="shared" si="5"/>
        <v>0</v>
      </c>
      <c r="AY52" s="1893">
        <f t="shared" si="5"/>
        <v>0</v>
      </c>
      <c r="AZ52" s="1893">
        <f t="shared" si="5"/>
        <v>0</v>
      </c>
      <c r="BA52" s="1893">
        <f t="shared" si="5"/>
        <v>0</v>
      </c>
      <c r="BB52" s="1893">
        <f t="shared" si="5"/>
        <v>0</v>
      </c>
      <c r="BC52" s="1893">
        <f>L70</f>
        <v>0</v>
      </c>
      <c r="BD52" s="1893">
        <f>N70</f>
        <v>0</v>
      </c>
      <c r="BE52" s="1893">
        <f>P70</f>
        <v>0</v>
      </c>
    </row>
    <row r="53" spans="1:57" ht="12" customHeight="1" thickBot="1" x14ac:dyDescent="0.25">
      <c r="A53" s="2315"/>
      <c r="B53" s="1032"/>
      <c r="C53" s="2274" t="s">
        <v>9778</v>
      </c>
      <c r="D53" s="5208"/>
      <c r="E53" s="5209"/>
      <c r="F53" s="5209"/>
      <c r="G53" s="5209"/>
      <c r="H53" s="5209"/>
      <c r="I53" s="5209"/>
      <c r="J53" s="5210"/>
      <c r="K53" s="2835"/>
      <c r="L53" s="2823"/>
      <c r="M53" s="2276"/>
      <c r="N53" s="2835"/>
      <c r="O53" s="2823"/>
      <c r="P53" s="2823"/>
      <c r="Q53" s="2277"/>
      <c r="R53" s="614"/>
      <c r="S53" s="2314"/>
      <c r="T53" s="2315"/>
      <c r="U53" s="1032"/>
      <c r="V53" s="3324" t="s">
        <v>1835</v>
      </c>
      <c r="W53" s="3324"/>
      <c r="X53" s="3324"/>
      <c r="Y53" s="3324"/>
      <c r="Z53" s="3324"/>
      <c r="AA53" s="3324"/>
      <c r="AB53" s="3324"/>
      <c r="AC53" s="3324"/>
      <c r="AE53" s="3228" t="s">
        <v>1836</v>
      </c>
      <c r="AF53" s="3229"/>
      <c r="AG53" s="3229"/>
      <c r="AH53" s="3229"/>
      <c r="AI53" s="3229"/>
      <c r="AJ53" s="3302"/>
      <c r="AK53" s="790"/>
      <c r="AL53" s="2329"/>
      <c r="AM53" s="1872"/>
      <c r="AN53" s="5245"/>
      <c r="AO53" s="5245"/>
      <c r="AP53" s="5245"/>
      <c r="AQ53" s="1872"/>
      <c r="AR53" s="1872"/>
      <c r="AS53" s="2924"/>
      <c r="AT53" s="2924"/>
      <c r="AU53" s="2924"/>
      <c r="AV53" s="1872"/>
      <c r="AW53" s="1872"/>
      <c r="AX53" s="1872"/>
      <c r="AY53" s="1872"/>
      <c r="AZ53" s="1872"/>
      <c r="BA53" s="1872"/>
      <c r="BB53" s="1872"/>
      <c r="BC53" s="1872"/>
      <c r="BD53" s="1872"/>
      <c r="BE53" s="1872"/>
    </row>
    <row r="54" spans="1:57" ht="12" customHeight="1" x14ac:dyDescent="0.2">
      <c r="A54" s="2315"/>
      <c r="B54" s="1032"/>
      <c r="C54" s="2273" t="s">
        <v>1840</v>
      </c>
      <c r="D54" s="5211"/>
      <c r="E54" s="5212"/>
      <c r="F54" s="5213" t="s">
        <v>9779</v>
      </c>
      <c r="G54" s="5214"/>
      <c r="H54" s="2276"/>
      <c r="I54" s="2275"/>
      <c r="J54" s="2275"/>
      <c r="K54" s="2824" t="s">
        <v>9016</v>
      </c>
      <c r="L54" s="5215"/>
      <c r="M54" s="5216"/>
      <c r="N54" s="5215"/>
      <c r="O54" s="5216"/>
      <c r="P54" s="5215"/>
      <c r="Q54" s="5217"/>
      <c r="R54" s="614"/>
      <c r="S54" s="2314"/>
      <c r="T54" s="2315"/>
      <c r="U54" s="1032"/>
      <c r="V54" s="3221" t="s">
        <v>1444</v>
      </c>
      <c r="W54" s="3221"/>
      <c r="X54" s="3221"/>
      <c r="Y54" s="3221"/>
      <c r="Z54" s="3221"/>
      <c r="AA54" s="3221"/>
      <c r="AB54" s="719" t="s">
        <v>1722</v>
      </c>
      <c r="AC54" s="17" t="s">
        <v>1512</v>
      </c>
      <c r="AE54" s="1504" t="s">
        <v>1642</v>
      </c>
      <c r="AF54" s="5358" t="s">
        <v>1698</v>
      </c>
      <c r="AG54" s="4026"/>
      <c r="AH54" s="4026"/>
      <c r="AI54" s="4026"/>
      <c r="AJ54" s="1505" t="s">
        <v>1406</v>
      </c>
      <c r="AK54" s="790"/>
      <c r="AL54" s="2329"/>
      <c r="AM54" s="1872"/>
      <c r="AN54" s="2938"/>
      <c r="AO54" s="2938"/>
      <c r="AP54" s="2938"/>
      <c r="AQ54" s="1872"/>
      <c r="AR54" s="1872"/>
      <c r="AS54" s="2924"/>
      <c r="AT54" s="2924"/>
      <c r="AU54" s="2924"/>
      <c r="AV54" s="1872"/>
      <c r="AW54" s="1872"/>
      <c r="AX54" s="1872"/>
      <c r="AY54" s="1872"/>
      <c r="AZ54" s="1872"/>
      <c r="BA54" s="1872"/>
      <c r="BB54" s="1872"/>
      <c r="BC54" s="1872"/>
      <c r="BD54" s="1872"/>
      <c r="BE54" s="1872"/>
    </row>
    <row r="55" spans="1:57" ht="12" customHeight="1" thickBot="1" x14ac:dyDescent="0.25">
      <c r="A55" s="2315"/>
      <c r="B55" s="1032"/>
      <c r="C55" s="2822" t="s">
        <v>1366</v>
      </c>
      <c r="D55" s="5218"/>
      <c r="E55" s="5219"/>
      <c r="F55" s="5220" t="s">
        <v>9781</v>
      </c>
      <c r="G55" s="5221"/>
      <c r="H55" s="5221"/>
      <c r="I55" s="5222"/>
      <c r="J55" s="2278"/>
      <c r="K55" s="2344"/>
      <c r="L55" s="2278"/>
      <c r="M55" s="2344"/>
      <c r="N55" s="2278"/>
      <c r="O55" s="2278"/>
      <c r="P55" s="2278"/>
      <c r="Q55" s="2279"/>
      <c r="R55" s="614"/>
      <c r="S55" s="2314"/>
      <c r="T55" s="2315"/>
      <c r="U55" s="1032"/>
      <c r="V55" s="5359"/>
      <c r="W55" s="5359"/>
      <c r="X55" s="5359"/>
      <c r="Y55" s="5359"/>
      <c r="Z55" s="5359"/>
      <c r="AA55" s="5359"/>
      <c r="AB55" s="1581"/>
      <c r="AC55" s="2301"/>
      <c r="AE55" s="1506">
        <f>IF(Metamagia!X15=1,30,0)</f>
        <v>0</v>
      </c>
      <c r="AF55" s="4657"/>
      <c r="AG55" s="4658"/>
      <c r="AH55" s="4658"/>
      <c r="AI55" s="4659"/>
      <c r="AJ55" s="579" t="str">
        <f>IF(AF55=0,"",VLOOKUP(AF55,'Tablas Magia'!$D$6:$Z$680,3,FALSE))</f>
        <v/>
      </c>
      <c r="AK55" s="790"/>
      <c r="AL55" s="2329"/>
      <c r="AM55" s="1872"/>
      <c r="AN55" s="2938"/>
      <c r="AO55" s="2938"/>
      <c r="AP55" s="2938"/>
      <c r="AQ55" s="1872"/>
      <c r="AR55" s="1872"/>
      <c r="AS55" s="2924"/>
      <c r="AT55" s="2924"/>
      <c r="AU55" s="1872"/>
      <c r="AV55" s="1872"/>
      <c r="AW55" s="1872"/>
      <c r="AX55" s="1872"/>
      <c r="AY55" s="1872"/>
      <c r="AZ55" s="1872"/>
      <c r="BA55" s="1872"/>
      <c r="BB55" s="1872"/>
      <c r="BC55" s="1872"/>
      <c r="BD55" s="1872"/>
      <c r="BE55" s="1872"/>
    </row>
    <row r="56" spans="1:57" ht="12" customHeight="1" thickBot="1" x14ac:dyDescent="0.25">
      <c r="A56" s="2315"/>
      <c r="B56" s="1032"/>
      <c r="C56" s="3197" t="s">
        <v>9784</v>
      </c>
      <c r="D56" s="3198"/>
      <c r="E56" s="3198"/>
      <c r="F56" s="3198"/>
      <c r="G56" s="3198"/>
      <c r="H56" s="3198"/>
      <c r="I56" s="3198"/>
      <c r="J56" s="5291"/>
      <c r="K56" s="2292" t="s">
        <v>9026</v>
      </c>
      <c r="L56" s="2292" t="s">
        <v>1846</v>
      </c>
      <c r="M56" s="2292" t="s">
        <v>1503</v>
      </c>
      <c r="N56" s="2292" t="s">
        <v>9777</v>
      </c>
      <c r="O56" s="2292" t="s">
        <v>2863</v>
      </c>
      <c r="P56" s="2292" t="s">
        <v>2864</v>
      </c>
      <c r="Q56" s="2295" t="s">
        <v>2855</v>
      </c>
      <c r="R56" s="614"/>
      <c r="S56" s="2314"/>
      <c r="T56" s="2315"/>
      <c r="U56" s="1032"/>
      <c r="V56" s="5190"/>
      <c r="W56" s="5190"/>
      <c r="X56" s="5190"/>
      <c r="Y56" s="5190"/>
      <c r="Z56" s="5190"/>
      <c r="AA56" s="5190"/>
      <c r="AB56" s="1822"/>
      <c r="AC56" s="2302"/>
      <c r="AE56" s="1507">
        <f>IF(Metamagia!AD15=1,30,0)</f>
        <v>0</v>
      </c>
      <c r="AF56" s="5262"/>
      <c r="AG56" s="5263"/>
      <c r="AH56" s="5263"/>
      <c r="AI56" s="5264"/>
      <c r="AJ56" s="1508" t="str">
        <f>IF(AF56=0,"",VLOOKUP(AF56,'Tablas Magia'!$D$6:$Z$680,3,FALSE))</f>
        <v/>
      </c>
      <c r="AK56" s="790"/>
      <c r="AL56" s="2329"/>
      <c r="AM56" s="1872"/>
      <c r="AN56" s="1872"/>
      <c r="AO56" s="1872"/>
      <c r="AP56" s="1872"/>
      <c r="AQ56" s="1872"/>
      <c r="AR56" s="1872"/>
      <c r="AS56" s="1872"/>
      <c r="AT56" s="1872"/>
      <c r="AU56" s="1872"/>
      <c r="AV56" s="1872"/>
      <c r="AW56" s="1872"/>
      <c r="AX56" s="1872"/>
      <c r="AY56" s="1872"/>
      <c r="AZ56" s="1872"/>
      <c r="BA56" s="1872"/>
      <c r="BB56" s="1872"/>
      <c r="BC56" s="1872"/>
      <c r="BD56" s="1872"/>
      <c r="BE56" s="1872"/>
    </row>
    <row r="57" spans="1:57" ht="12" customHeight="1" x14ac:dyDescent="0.2">
      <c r="A57" s="2315"/>
      <c r="B57" s="1032"/>
      <c r="C57" s="2274" t="s">
        <v>9778</v>
      </c>
      <c r="D57" s="5208"/>
      <c r="E57" s="5209"/>
      <c r="F57" s="5209"/>
      <c r="G57" s="5209"/>
      <c r="H57" s="5209"/>
      <c r="I57" s="5209"/>
      <c r="J57" s="5210"/>
      <c r="K57" s="2835"/>
      <c r="L57" s="2823"/>
      <c r="M57" s="2276"/>
      <c r="N57" s="2835"/>
      <c r="O57" s="2823"/>
      <c r="P57" s="2823"/>
      <c r="Q57" s="2277"/>
      <c r="R57" s="614"/>
      <c r="S57" s="2314"/>
      <c r="T57" s="2315"/>
      <c r="U57" s="1032"/>
      <c r="V57" s="4681"/>
      <c r="W57" s="4681"/>
      <c r="X57" s="4681"/>
      <c r="Y57" s="4681"/>
      <c r="Z57" s="4681"/>
      <c r="AA57" s="4681"/>
      <c r="AB57" s="1581"/>
      <c r="AC57" s="2301"/>
      <c r="AE57" s="1509">
        <f>IF(Metamagia!R29=1,50,0)</f>
        <v>0</v>
      </c>
      <c r="AF57" s="4596"/>
      <c r="AG57" s="4597"/>
      <c r="AH57" s="4597"/>
      <c r="AI57" s="4598"/>
      <c r="AJ57" s="579" t="str">
        <f>IF(AF57=0,"",VLOOKUP(AF57,'Tablas Magia'!$D$6:$Z$680,3,FALSE))</f>
        <v/>
      </c>
      <c r="AK57" s="790"/>
      <c r="AL57" s="2329"/>
      <c r="AM57" s="1872"/>
      <c r="AN57" s="1872"/>
      <c r="AO57" s="1872"/>
      <c r="AP57" s="1872"/>
      <c r="AQ57" s="1872"/>
      <c r="AR57" s="1872"/>
      <c r="AS57" s="1872"/>
      <c r="AT57" s="1872"/>
      <c r="AU57" s="1872"/>
      <c r="AV57" s="1872"/>
      <c r="AW57" s="1872"/>
      <c r="AX57" s="1872"/>
      <c r="AY57" s="1872"/>
      <c r="AZ57" s="1872"/>
      <c r="BA57" s="1872"/>
      <c r="BB57" s="1872"/>
      <c r="BC57" s="1872"/>
      <c r="BD57" s="1872"/>
      <c r="BE57" s="1872"/>
    </row>
    <row r="58" spans="1:57" ht="12" customHeight="1" x14ac:dyDescent="0.2">
      <c r="A58" s="2315"/>
      <c r="B58" s="1032"/>
      <c r="C58" s="2273" t="s">
        <v>1840</v>
      </c>
      <c r="D58" s="5211"/>
      <c r="E58" s="5212"/>
      <c r="F58" s="5213" t="s">
        <v>9779</v>
      </c>
      <c r="G58" s="5214"/>
      <c r="H58" s="2276"/>
      <c r="I58" s="2275"/>
      <c r="J58" s="2275"/>
      <c r="K58" s="2824" t="s">
        <v>9016</v>
      </c>
      <c r="L58" s="5215"/>
      <c r="M58" s="5216"/>
      <c r="N58" s="5215"/>
      <c r="O58" s="5216"/>
      <c r="P58" s="5215"/>
      <c r="Q58" s="5217"/>
      <c r="R58" s="614"/>
      <c r="S58" s="2314"/>
      <c r="T58" s="2315"/>
      <c r="U58" s="1032"/>
      <c r="V58" s="5190"/>
      <c r="W58" s="5190"/>
      <c r="X58" s="5190"/>
      <c r="Y58" s="5190"/>
      <c r="Z58" s="5190"/>
      <c r="AA58" s="5190"/>
      <c r="AB58" s="1822"/>
      <c r="AC58" s="2302"/>
      <c r="AE58" s="935">
        <f>IF(Metamagia!AG24=1,60,0)</f>
        <v>0</v>
      </c>
      <c r="AF58" s="5262"/>
      <c r="AG58" s="5263"/>
      <c r="AH58" s="5263"/>
      <c r="AI58" s="5264"/>
      <c r="AJ58" s="1508" t="str">
        <f>IF(AF58=0,"",VLOOKUP(AF58,'Tablas Magia'!$D$6:$Z$680,3,FALSE))</f>
        <v/>
      </c>
      <c r="AK58" s="790"/>
      <c r="AL58" s="1471"/>
      <c r="AM58" s="1872"/>
      <c r="AN58" s="1872"/>
      <c r="AO58" s="1872"/>
      <c r="AP58" s="1872"/>
      <c r="AQ58" s="1872"/>
      <c r="AR58" s="1872"/>
      <c r="AS58" s="1872"/>
      <c r="AT58" s="1872"/>
      <c r="AU58" s="1872"/>
      <c r="AV58" s="1872"/>
      <c r="AW58" s="1872"/>
      <c r="AX58" s="1872"/>
      <c r="AY58" s="1872"/>
      <c r="AZ58" s="1872"/>
      <c r="BA58" s="1872"/>
      <c r="BB58" s="1872"/>
      <c r="BC58" s="1872"/>
      <c r="BD58" s="1872"/>
      <c r="BE58" s="1872"/>
    </row>
    <row r="59" spans="1:57" ht="12" customHeight="1" thickBot="1" x14ac:dyDescent="0.25">
      <c r="A59" s="2315"/>
      <c r="B59" s="1032"/>
      <c r="C59" s="2822" t="s">
        <v>1366</v>
      </c>
      <c r="D59" s="5218"/>
      <c r="E59" s="5219"/>
      <c r="F59" s="5220" t="s">
        <v>9781</v>
      </c>
      <c r="G59" s="5221"/>
      <c r="H59" s="5221"/>
      <c r="I59" s="5222"/>
      <c r="J59" s="2278"/>
      <c r="K59" s="2278"/>
      <c r="L59" s="2278"/>
      <c r="M59" s="2278"/>
      <c r="N59" s="2278"/>
      <c r="O59" s="2278"/>
      <c r="P59" s="2278"/>
      <c r="Q59" s="2279"/>
      <c r="R59" s="614"/>
      <c r="S59" s="2314"/>
      <c r="T59" s="2315"/>
      <c r="U59" s="1032"/>
      <c r="V59" s="4681"/>
      <c r="W59" s="4681"/>
      <c r="X59" s="4681"/>
      <c r="Y59" s="4681"/>
      <c r="Z59" s="4681"/>
      <c r="AA59" s="4681"/>
      <c r="AB59" s="1581"/>
      <c r="AC59" s="2301"/>
      <c r="AE59" s="1509">
        <f>IF(Metamagia!X24=1,60,0)</f>
        <v>0</v>
      </c>
      <c r="AF59" s="4596"/>
      <c r="AG59" s="4597"/>
      <c r="AH59" s="4597"/>
      <c r="AI59" s="4598"/>
      <c r="AJ59" s="579" t="str">
        <f>IF(AF59=0,"",VLOOKUP(AF59,'Tablas Magia'!$D$6:$Z$680,3,FALSE))</f>
        <v/>
      </c>
      <c r="AK59" s="790"/>
      <c r="AL59" s="1471"/>
      <c r="AM59" s="1872"/>
      <c r="AN59" s="1872"/>
      <c r="AO59" s="1872"/>
      <c r="AP59" s="1872"/>
      <c r="AQ59" s="1872"/>
      <c r="AR59" s="1872"/>
      <c r="AS59" s="1872"/>
      <c r="AT59" s="1872"/>
      <c r="AU59" s="1872"/>
      <c r="AV59" s="1872"/>
      <c r="AW59" s="1872"/>
      <c r="AX59" s="1872"/>
      <c r="AY59" s="1872"/>
      <c r="AZ59" s="1872"/>
      <c r="BA59" s="1872"/>
      <c r="BB59" s="1872"/>
      <c r="BC59" s="1872"/>
      <c r="BD59" s="1872"/>
      <c r="BE59" s="1872"/>
    </row>
    <row r="60" spans="1:57" ht="12" customHeight="1" thickBot="1" x14ac:dyDescent="0.25">
      <c r="A60" s="2315"/>
      <c r="B60" s="1032"/>
      <c r="C60" s="3197" t="s">
        <v>9785</v>
      </c>
      <c r="D60" s="3198"/>
      <c r="E60" s="3198"/>
      <c r="F60" s="3198"/>
      <c r="G60" s="3198"/>
      <c r="H60" s="3198"/>
      <c r="I60" s="3198"/>
      <c r="J60" s="5291"/>
      <c r="K60" s="2292" t="s">
        <v>9026</v>
      </c>
      <c r="L60" s="2292" t="s">
        <v>1846</v>
      </c>
      <c r="M60" s="2292" t="s">
        <v>1503</v>
      </c>
      <c r="N60" s="2292" t="s">
        <v>9777</v>
      </c>
      <c r="O60" s="2292" t="s">
        <v>2863</v>
      </c>
      <c r="P60" s="2292" t="s">
        <v>2864</v>
      </c>
      <c r="Q60" s="2295" t="s">
        <v>2855</v>
      </c>
      <c r="R60" s="614"/>
      <c r="S60" s="2314"/>
      <c r="T60" s="2315"/>
      <c r="U60" s="1032"/>
      <c r="V60" s="5190"/>
      <c r="W60" s="5190"/>
      <c r="X60" s="5190"/>
      <c r="Y60" s="5190"/>
      <c r="Z60" s="5190"/>
      <c r="AA60" s="5190"/>
      <c r="AB60" s="1822"/>
      <c r="AC60" s="2302"/>
      <c r="AE60" s="935">
        <f>IF(Metamagia!AG39=1,70,0)</f>
        <v>0</v>
      </c>
      <c r="AF60" s="5262"/>
      <c r="AG60" s="5263"/>
      <c r="AH60" s="5263"/>
      <c r="AI60" s="5264"/>
      <c r="AJ60" s="1508" t="str">
        <f>IF(AF60=0,"",VLOOKUP(AF60,'Tablas Magia'!$D$6:$Z$680,3,FALSE))</f>
        <v/>
      </c>
      <c r="AK60" s="790"/>
      <c r="AL60" s="1471"/>
      <c r="AM60" s="1872"/>
      <c r="AN60" s="1872"/>
      <c r="AO60" s="1872"/>
      <c r="AP60" s="1872"/>
      <c r="AQ60" s="1872"/>
      <c r="AR60" s="1872"/>
      <c r="AS60" s="1872"/>
      <c r="AT60" s="1872"/>
      <c r="AU60" s="1872"/>
      <c r="AV60" s="1872"/>
      <c r="AW60" s="1872"/>
      <c r="AX60" s="1872"/>
      <c r="AY60" s="1872"/>
      <c r="AZ60" s="1872"/>
      <c r="BA60" s="1872"/>
      <c r="BB60" s="1872"/>
      <c r="BC60" s="1872"/>
      <c r="BD60" s="1872"/>
      <c r="BE60" s="1872"/>
    </row>
    <row r="61" spans="1:57" ht="12" customHeight="1" thickBot="1" x14ac:dyDescent="0.25">
      <c r="A61" s="2315"/>
      <c r="B61" s="1032"/>
      <c r="C61" s="2274" t="s">
        <v>9778</v>
      </c>
      <c r="D61" s="5208"/>
      <c r="E61" s="5209"/>
      <c r="F61" s="5209"/>
      <c r="G61" s="5209"/>
      <c r="H61" s="5209"/>
      <c r="I61" s="5209"/>
      <c r="J61" s="5210"/>
      <c r="K61" s="2835"/>
      <c r="L61" s="2823"/>
      <c r="M61" s="2276"/>
      <c r="N61" s="2835"/>
      <c r="O61" s="2823"/>
      <c r="P61" s="2823"/>
      <c r="Q61" s="2277"/>
      <c r="R61" s="614"/>
      <c r="S61" s="2314"/>
      <c r="T61" s="2315"/>
      <c r="U61" s="1032"/>
      <c r="V61" s="5396"/>
      <c r="W61" s="5396"/>
      <c r="X61" s="5396"/>
      <c r="Y61" s="5396"/>
      <c r="Z61" s="5396"/>
      <c r="AA61" s="5396"/>
      <c r="AB61" s="2381"/>
      <c r="AC61" s="1821"/>
      <c r="AE61" s="1510">
        <f>IF(Metamagia!AA29=1,80,0)</f>
        <v>0</v>
      </c>
      <c r="AF61" s="4682"/>
      <c r="AG61" s="4683"/>
      <c r="AH61" s="4683"/>
      <c r="AI61" s="4684"/>
      <c r="AJ61" s="722" t="str">
        <f>IF(AF61=0,"",VLOOKUP(AF61,'Tablas Magia'!$D$6:$Z$680,3,FALSE))</f>
        <v/>
      </c>
      <c r="AK61" s="790"/>
      <c r="AL61" s="1471"/>
      <c r="AM61" s="1872"/>
      <c r="AN61" s="1872"/>
      <c r="AO61" s="1872"/>
      <c r="AP61" s="1872"/>
      <c r="AQ61" s="1872"/>
      <c r="AR61" s="1872"/>
      <c r="AS61" s="1872"/>
      <c r="AT61" s="1872"/>
      <c r="AU61" s="1872"/>
      <c r="AV61" s="1872"/>
      <c r="AW61" s="1872"/>
      <c r="AX61" s="1872"/>
      <c r="AY61" s="1872"/>
      <c r="AZ61" s="1872"/>
      <c r="BA61" s="1872"/>
      <c r="BB61" s="1872"/>
      <c r="BC61" s="1872"/>
      <c r="BD61" s="1872"/>
      <c r="BE61" s="1872"/>
    </row>
    <row r="62" spans="1:57" ht="12" customHeight="1" thickBot="1" x14ac:dyDescent="0.25">
      <c r="A62" s="2315"/>
      <c r="B62" s="1032"/>
      <c r="C62" s="2273" t="s">
        <v>1840</v>
      </c>
      <c r="D62" s="5211"/>
      <c r="E62" s="5212"/>
      <c r="F62" s="5213" t="s">
        <v>9779</v>
      </c>
      <c r="G62" s="5214"/>
      <c r="H62" s="2276"/>
      <c r="I62" s="2275"/>
      <c r="J62" s="2275"/>
      <c r="K62" s="2824" t="s">
        <v>9016</v>
      </c>
      <c r="L62" s="5215"/>
      <c r="M62" s="5216"/>
      <c r="N62" s="5215"/>
      <c r="O62" s="5216"/>
      <c r="P62" s="5215"/>
      <c r="Q62" s="5217"/>
      <c r="R62" s="614"/>
      <c r="S62" s="2314"/>
      <c r="T62" s="2315"/>
      <c r="U62" s="1032"/>
      <c r="AK62" s="790"/>
      <c r="AL62" s="1471"/>
      <c r="AM62" s="1872"/>
      <c r="AN62" s="1872"/>
      <c r="AO62" s="1872"/>
      <c r="AP62" s="1872"/>
      <c r="AQ62" s="1872"/>
      <c r="AR62" s="1872"/>
      <c r="AS62" s="1872"/>
      <c r="AT62" s="1872"/>
      <c r="AU62" s="1872"/>
      <c r="AV62" s="1872"/>
      <c r="AW62" s="1872"/>
      <c r="AX62" s="1872"/>
      <c r="AY62" s="1872"/>
      <c r="AZ62" s="1872"/>
      <c r="BA62" s="1872"/>
      <c r="BB62" s="1872"/>
      <c r="BC62" s="1872"/>
      <c r="BD62" s="1872"/>
      <c r="BE62" s="1872"/>
    </row>
    <row r="63" spans="1:57" ht="12" customHeight="1" thickBot="1" x14ac:dyDescent="0.25">
      <c r="A63" s="2315"/>
      <c r="B63" s="1032"/>
      <c r="C63" s="2822" t="s">
        <v>1366</v>
      </c>
      <c r="D63" s="5218"/>
      <c r="E63" s="5219"/>
      <c r="F63" s="5220" t="s">
        <v>9781</v>
      </c>
      <c r="G63" s="5221"/>
      <c r="H63" s="5221"/>
      <c r="I63" s="5222"/>
      <c r="J63" s="2278"/>
      <c r="K63" s="2278"/>
      <c r="L63" s="2278"/>
      <c r="M63" s="2278"/>
      <c r="N63" s="2278"/>
      <c r="O63" s="2278"/>
      <c r="P63" s="2278"/>
      <c r="Q63" s="2279"/>
      <c r="R63" s="614"/>
      <c r="S63" s="2314"/>
      <c r="T63" s="2315"/>
      <c r="U63" s="1032"/>
      <c r="V63" s="5273" t="s">
        <v>1844</v>
      </c>
      <c r="W63" s="5045" t="s">
        <v>1845</v>
      </c>
      <c r="X63" s="5045"/>
      <c r="Y63" s="5045"/>
      <c r="Z63" s="5045"/>
      <c r="AA63" s="5045"/>
      <c r="AB63" s="45" t="s">
        <v>1493</v>
      </c>
      <c r="AC63" s="93" t="s">
        <v>1846</v>
      </c>
      <c r="AD63" s="4781" t="s">
        <v>1553</v>
      </c>
      <c r="AE63" s="4781"/>
      <c r="AF63" s="4781"/>
      <c r="AG63" s="4781"/>
      <c r="AH63" s="4781"/>
      <c r="AI63" s="4781"/>
      <c r="AJ63" s="4781"/>
      <c r="AK63" s="790"/>
      <c r="AL63" s="1471"/>
      <c r="AM63" s="1872"/>
      <c r="AN63" s="1872"/>
      <c r="AO63" s="1872"/>
      <c r="AP63" s="1872"/>
      <c r="AQ63" s="1872"/>
      <c r="AR63" s="1872"/>
      <c r="AS63" s="1872"/>
      <c r="AT63" s="1872"/>
      <c r="AU63" s="1872"/>
      <c r="AV63" s="1872"/>
      <c r="AW63" s="1872"/>
      <c r="AX63" s="1872"/>
      <c r="AY63" s="1872"/>
      <c r="AZ63" s="1872"/>
      <c r="BA63" s="1872"/>
      <c r="BB63" s="1872"/>
      <c r="BC63" s="1872"/>
      <c r="BD63" s="1872"/>
      <c r="BE63" s="1872"/>
    </row>
    <row r="64" spans="1:57" ht="12" customHeight="1" thickBot="1" x14ac:dyDescent="0.25">
      <c r="A64" s="2315"/>
      <c r="B64" s="1032"/>
      <c r="C64" s="3197" t="s">
        <v>9786</v>
      </c>
      <c r="D64" s="3198"/>
      <c r="E64" s="3198"/>
      <c r="F64" s="3198"/>
      <c r="G64" s="3198"/>
      <c r="H64" s="3198"/>
      <c r="I64" s="3198"/>
      <c r="J64" s="5291"/>
      <c r="K64" s="2292" t="s">
        <v>9026</v>
      </c>
      <c r="L64" s="2292" t="s">
        <v>1846</v>
      </c>
      <c r="M64" s="2292" t="s">
        <v>1503</v>
      </c>
      <c r="N64" s="2292" t="s">
        <v>9777</v>
      </c>
      <c r="O64" s="2292" t="s">
        <v>2863</v>
      </c>
      <c r="P64" s="2292" t="s">
        <v>2864</v>
      </c>
      <c r="Q64" s="2295" t="s">
        <v>2855</v>
      </c>
      <c r="R64" s="614"/>
      <c r="S64" s="2314"/>
      <c r="T64" s="2315"/>
      <c r="U64" s="1032"/>
      <c r="V64" s="5274"/>
      <c r="W64" s="5268"/>
      <c r="X64" s="5268"/>
      <c r="Y64" s="5268"/>
      <c r="Z64" s="5268"/>
      <c r="AA64" s="5268"/>
      <c r="AB64" s="1815"/>
      <c r="AC64" s="1815"/>
      <c r="AD64" s="5269"/>
      <c r="AE64" s="5269"/>
      <c r="AF64" s="5269"/>
      <c r="AG64" s="5269"/>
      <c r="AH64" s="5269"/>
      <c r="AI64" s="5269"/>
      <c r="AJ64" s="5269"/>
      <c r="AK64" s="790"/>
      <c r="AL64" s="1471"/>
      <c r="AM64" s="1872"/>
      <c r="AN64" s="1872"/>
      <c r="AO64" s="1872"/>
      <c r="AP64" s="1872"/>
      <c r="AQ64" s="1872"/>
      <c r="AR64" s="1872"/>
      <c r="AS64" s="1872"/>
      <c r="AT64" s="1872"/>
      <c r="AU64" s="1872"/>
      <c r="AV64" s="1872"/>
      <c r="AW64" s="1872"/>
      <c r="AX64" s="1872"/>
      <c r="AY64" s="1872"/>
      <c r="AZ64" s="1872"/>
      <c r="BA64" s="1872"/>
      <c r="BB64" s="1872"/>
      <c r="BC64" s="1872"/>
      <c r="BD64" s="1872"/>
      <c r="BE64" s="1872"/>
    </row>
    <row r="65" spans="1:57" ht="12" customHeight="1" x14ac:dyDescent="0.2">
      <c r="A65" s="2315"/>
      <c r="B65" s="1032"/>
      <c r="C65" s="2274" t="s">
        <v>9778</v>
      </c>
      <c r="D65" s="5208"/>
      <c r="E65" s="5209"/>
      <c r="F65" s="5209"/>
      <c r="G65" s="5209"/>
      <c r="H65" s="5209"/>
      <c r="I65" s="5209"/>
      <c r="J65" s="5210"/>
      <c r="K65" s="2835"/>
      <c r="L65" s="2823"/>
      <c r="M65" s="2276"/>
      <c r="N65" s="2835"/>
      <c r="O65" s="2823"/>
      <c r="P65" s="2823"/>
      <c r="Q65" s="2277"/>
      <c r="R65" s="614"/>
      <c r="S65" s="2314"/>
      <c r="T65" s="2315"/>
      <c r="U65" s="1032"/>
      <c r="V65" s="5274"/>
      <c r="W65" s="5265" t="s">
        <v>1849</v>
      </c>
      <c r="X65" s="5266"/>
      <c r="Y65" s="5267"/>
      <c r="Z65" s="5267"/>
      <c r="AA65" s="5267"/>
      <c r="AB65" s="5267"/>
      <c r="AC65" s="5267"/>
      <c r="AD65" s="5267"/>
      <c r="AE65" s="5267"/>
      <c r="AF65" s="5267"/>
      <c r="AG65" s="5267"/>
      <c r="AH65" s="5267"/>
      <c r="AI65" s="5267"/>
      <c r="AJ65" s="5267"/>
      <c r="AK65" s="790"/>
      <c r="AL65" s="1471"/>
      <c r="AM65" s="1872"/>
      <c r="AN65" s="1872"/>
      <c r="AO65" s="1872"/>
      <c r="AP65" s="1872"/>
      <c r="AQ65" s="1872"/>
      <c r="AR65" s="1872"/>
      <c r="AS65" s="1872"/>
      <c r="AT65" s="1872"/>
      <c r="AU65" s="1872"/>
      <c r="AV65" s="1872"/>
      <c r="AW65" s="1872"/>
      <c r="AX65" s="1872"/>
      <c r="AY65" s="1872"/>
      <c r="AZ65" s="1872"/>
      <c r="BA65" s="1872"/>
      <c r="BB65" s="1872"/>
      <c r="BC65" s="1872"/>
      <c r="BD65" s="1872"/>
      <c r="BE65" s="1872"/>
    </row>
    <row r="66" spans="1:57" ht="12" customHeight="1" thickBot="1" x14ac:dyDescent="0.25">
      <c r="A66" s="2315"/>
      <c r="B66" s="1032"/>
      <c r="C66" s="2273" t="s">
        <v>1840</v>
      </c>
      <c r="D66" s="5211"/>
      <c r="E66" s="5212"/>
      <c r="F66" s="5213" t="s">
        <v>9779</v>
      </c>
      <c r="G66" s="5214"/>
      <c r="H66" s="2276"/>
      <c r="I66" s="2275"/>
      <c r="J66" s="2275"/>
      <c r="K66" s="2824" t="s">
        <v>9016</v>
      </c>
      <c r="L66" s="5215"/>
      <c r="M66" s="5216"/>
      <c r="N66" s="5215"/>
      <c r="O66" s="5216"/>
      <c r="P66" s="5215"/>
      <c r="Q66" s="5217"/>
      <c r="R66" s="614"/>
      <c r="S66" s="2314"/>
      <c r="T66" s="2315"/>
      <c r="U66" s="1032"/>
      <c r="V66" s="5274"/>
      <c r="W66" s="5270" t="s">
        <v>1850</v>
      </c>
      <c r="X66" s="5271"/>
      <c r="Y66" s="5272"/>
      <c r="Z66" s="5272"/>
      <c r="AA66" s="5272"/>
      <c r="AB66" s="5272"/>
      <c r="AC66" s="5272"/>
      <c r="AD66" s="5272"/>
      <c r="AE66" s="5272"/>
      <c r="AF66" s="5272"/>
      <c r="AG66" s="5272"/>
      <c r="AH66" s="5272"/>
      <c r="AI66" s="5272"/>
      <c r="AJ66" s="5272"/>
      <c r="AK66" s="790"/>
      <c r="AL66" s="1471"/>
      <c r="AM66" s="1872"/>
      <c r="AN66" s="1872"/>
      <c r="AO66" s="1872"/>
      <c r="AP66" s="1872"/>
      <c r="AQ66" s="1872"/>
      <c r="AR66" s="1872"/>
      <c r="AS66" s="1872"/>
      <c r="AT66" s="1872"/>
      <c r="AU66" s="1872"/>
      <c r="AV66" s="1872"/>
      <c r="AW66" s="1872"/>
      <c r="AX66" s="1872"/>
      <c r="AY66" s="1872"/>
      <c r="AZ66" s="1872"/>
      <c r="BA66" s="1872"/>
      <c r="BB66" s="1872"/>
      <c r="BC66" s="1872"/>
      <c r="BD66" s="1872"/>
      <c r="BE66" s="1872"/>
    </row>
    <row r="67" spans="1:57" ht="12" customHeight="1" thickBot="1" x14ac:dyDescent="0.25">
      <c r="A67" s="2315"/>
      <c r="B67" s="1032"/>
      <c r="C67" s="2822" t="s">
        <v>1366</v>
      </c>
      <c r="D67" s="5218"/>
      <c r="E67" s="5219"/>
      <c r="F67" s="5220" t="s">
        <v>9781</v>
      </c>
      <c r="G67" s="5221"/>
      <c r="H67" s="5221"/>
      <c r="I67" s="5222"/>
      <c r="J67" s="2278"/>
      <c r="K67" s="2278"/>
      <c r="L67" s="2278"/>
      <c r="M67" s="2278"/>
      <c r="N67" s="2278"/>
      <c r="O67" s="2278"/>
      <c r="P67" s="2278"/>
      <c r="Q67" s="2279"/>
      <c r="R67" s="614"/>
      <c r="S67" s="2314"/>
      <c r="T67" s="2315"/>
      <c r="U67" s="1032"/>
      <c r="V67" s="5274"/>
      <c r="W67" s="5045" t="s">
        <v>1845</v>
      </c>
      <c r="X67" s="5045"/>
      <c r="Y67" s="5045"/>
      <c r="Z67" s="5045"/>
      <c r="AA67" s="5045"/>
      <c r="AB67" s="45" t="s">
        <v>1493</v>
      </c>
      <c r="AC67" s="93" t="s">
        <v>1846</v>
      </c>
      <c r="AD67" s="4781" t="s">
        <v>1553</v>
      </c>
      <c r="AE67" s="4781"/>
      <c r="AF67" s="4781"/>
      <c r="AG67" s="4781"/>
      <c r="AH67" s="4781"/>
      <c r="AI67" s="4781"/>
      <c r="AJ67" s="4781"/>
      <c r="AK67" s="790"/>
      <c r="AL67" s="1471"/>
      <c r="AM67" s="1872"/>
      <c r="AN67" s="1872"/>
      <c r="AO67" s="1872"/>
      <c r="AP67" s="1872"/>
      <c r="AQ67" s="1872"/>
      <c r="AR67" s="1872"/>
      <c r="AS67" s="1872"/>
      <c r="AT67" s="1872"/>
      <c r="AU67" s="1872"/>
      <c r="AV67" s="1872"/>
      <c r="AW67" s="1872"/>
      <c r="AX67" s="1872"/>
      <c r="AY67" s="1872"/>
      <c r="AZ67" s="1872"/>
      <c r="BA67" s="1872"/>
      <c r="BB67" s="1872"/>
      <c r="BC67" s="1872"/>
      <c r="BD67" s="1872"/>
      <c r="BE67" s="1872"/>
    </row>
    <row r="68" spans="1:57" ht="12" customHeight="1" thickBot="1" x14ac:dyDescent="0.25">
      <c r="A68" s="2315"/>
      <c r="B68" s="1032"/>
      <c r="C68" s="3197" t="s">
        <v>9787</v>
      </c>
      <c r="D68" s="3198"/>
      <c r="E68" s="3198"/>
      <c r="F68" s="3198"/>
      <c r="G68" s="3198"/>
      <c r="H68" s="3198"/>
      <c r="I68" s="3198"/>
      <c r="J68" s="5291"/>
      <c r="K68" s="2292" t="s">
        <v>9026</v>
      </c>
      <c r="L68" s="2292" t="s">
        <v>1846</v>
      </c>
      <c r="M68" s="2292" t="s">
        <v>1503</v>
      </c>
      <c r="N68" s="2292" t="s">
        <v>9777</v>
      </c>
      <c r="O68" s="2292" t="s">
        <v>2863</v>
      </c>
      <c r="P68" s="2292" t="s">
        <v>2864</v>
      </c>
      <c r="Q68" s="2295" t="s">
        <v>2855</v>
      </c>
      <c r="R68" s="614"/>
      <c r="S68" s="2314"/>
      <c r="T68" s="2315"/>
      <c r="U68" s="1032"/>
      <c r="V68" s="5274"/>
      <c r="W68" s="5268"/>
      <c r="X68" s="5268"/>
      <c r="Y68" s="5268"/>
      <c r="Z68" s="5268"/>
      <c r="AA68" s="5268"/>
      <c r="AB68" s="1815"/>
      <c r="AC68" s="1815"/>
      <c r="AD68" s="5269"/>
      <c r="AE68" s="5269"/>
      <c r="AF68" s="5269"/>
      <c r="AG68" s="5269"/>
      <c r="AH68" s="5269"/>
      <c r="AI68" s="5269"/>
      <c r="AJ68" s="5269"/>
      <c r="AK68" s="1842"/>
      <c r="AL68" s="2329"/>
      <c r="AM68" s="1872"/>
      <c r="AN68" s="1872"/>
      <c r="AO68" s="1872"/>
      <c r="AP68" s="1872"/>
      <c r="AQ68" s="1872"/>
      <c r="AR68" s="1872"/>
      <c r="AS68" s="1872"/>
      <c r="AT68" s="1872"/>
      <c r="AU68" s="1872"/>
      <c r="AV68" s="1872"/>
      <c r="AW68" s="1872"/>
      <c r="AX68" s="1872"/>
      <c r="AY68" s="1872"/>
      <c r="AZ68" s="1872"/>
      <c r="BA68" s="1872"/>
      <c r="BB68" s="1872"/>
      <c r="BC68" s="1872"/>
      <c r="BD68" s="1872"/>
      <c r="BE68" s="1872"/>
    </row>
    <row r="69" spans="1:57" ht="12" customHeight="1" x14ac:dyDescent="0.2">
      <c r="A69" s="2315"/>
      <c r="B69" s="1032"/>
      <c r="C69" s="2274" t="s">
        <v>9778</v>
      </c>
      <c r="D69" s="5208"/>
      <c r="E69" s="5209"/>
      <c r="F69" s="5209"/>
      <c r="G69" s="5209"/>
      <c r="H69" s="5209"/>
      <c r="I69" s="5209"/>
      <c r="J69" s="5210"/>
      <c r="K69" s="2835"/>
      <c r="L69" s="2823"/>
      <c r="M69" s="2276"/>
      <c r="N69" s="2835"/>
      <c r="O69" s="2823"/>
      <c r="P69" s="2823"/>
      <c r="Q69" s="2277"/>
      <c r="R69" s="614"/>
      <c r="S69" s="2314"/>
      <c r="T69" s="2315"/>
      <c r="U69" s="1032"/>
      <c r="V69" s="5274"/>
      <c r="W69" s="5265" t="s">
        <v>1849</v>
      </c>
      <c r="X69" s="5266"/>
      <c r="Y69" s="5267"/>
      <c r="Z69" s="5267"/>
      <c r="AA69" s="5267"/>
      <c r="AB69" s="5267"/>
      <c r="AC69" s="5267"/>
      <c r="AD69" s="5267"/>
      <c r="AE69" s="5267"/>
      <c r="AF69" s="5267"/>
      <c r="AG69" s="5267"/>
      <c r="AH69" s="5267"/>
      <c r="AI69" s="5267"/>
      <c r="AJ69" s="5267"/>
      <c r="AK69" s="790"/>
      <c r="AL69" s="2329"/>
      <c r="AM69" s="1872"/>
      <c r="AN69" s="1872"/>
      <c r="AO69" s="1872"/>
      <c r="AP69" s="1872"/>
      <c r="AQ69" s="1872"/>
      <c r="AR69" s="1872"/>
      <c r="AS69" s="1872"/>
      <c r="AT69" s="1872"/>
      <c r="AU69" s="1872"/>
      <c r="AV69" s="1872"/>
      <c r="AW69" s="1872"/>
      <c r="AX69" s="1872"/>
      <c r="AY69" s="1872"/>
      <c r="AZ69" s="1872"/>
      <c r="BA69" s="1872"/>
      <c r="BB69" s="1872"/>
      <c r="BC69" s="1872"/>
      <c r="BD69" s="1872"/>
      <c r="BE69" s="1872"/>
    </row>
    <row r="70" spans="1:57" ht="12" customHeight="1" thickBot="1" x14ac:dyDescent="0.25">
      <c r="A70" s="2315"/>
      <c r="B70" s="1032"/>
      <c r="C70" s="2273" t="s">
        <v>1840</v>
      </c>
      <c r="D70" s="5211"/>
      <c r="E70" s="5212"/>
      <c r="F70" s="5213" t="s">
        <v>9779</v>
      </c>
      <c r="G70" s="5214"/>
      <c r="H70" s="2276"/>
      <c r="I70" s="2275"/>
      <c r="J70" s="2275"/>
      <c r="K70" s="2824" t="s">
        <v>9016</v>
      </c>
      <c r="L70" s="5215"/>
      <c r="M70" s="5216"/>
      <c r="N70" s="5215"/>
      <c r="O70" s="5216"/>
      <c r="P70" s="5215"/>
      <c r="Q70" s="5217"/>
      <c r="R70" s="614"/>
      <c r="S70" s="2314"/>
      <c r="T70" s="2315"/>
      <c r="U70" s="1032"/>
      <c r="V70" s="5275"/>
      <c r="W70" s="5270" t="s">
        <v>1850</v>
      </c>
      <c r="X70" s="5271"/>
      <c r="Y70" s="5272"/>
      <c r="Z70" s="5272"/>
      <c r="AA70" s="5272"/>
      <c r="AB70" s="5272"/>
      <c r="AC70" s="5272"/>
      <c r="AD70" s="5272"/>
      <c r="AE70" s="5272"/>
      <c r="AF70" s="5272"/>
      <c r="AG70" s="5272"/>
      <c r="AH70" s="5272"/>
      <c r="AI70" s="5272"/>
      <c r="AJ70" s="5272"/>
      <c r="AK70" s="790"/>
      <c r="AL70" s="2329"/>
      <c r="AM70" s="1872"/>
      <c r="AN70" s="1872"/>
      <c r="AO70" s="1872"/>
      <c r="AP70" s="1872"/>
      <c r="AQ70" s="1872"/>
      <c r="AR70" s="1872"/>
      <c r="AS70" s="1872"/>
      <c r="AT70" s="1872"/>
      <c r="AU70" s="1872"/>
      <c r="AV70" s="1872"/>
      <c r="AW70" s="1872"/>
      <c r="AX70" s="1872"/>
      <c r="AY70" s="1872"/>
      <c r="AZ70" s="1872"/>
      <c r="BA70" s="1872"/>
      <c r="BB70" s="1872"/>
      <c r="BC70" s="1872"/>
      <c r="BD70" s="1872"/>
      <c r="BE70" s="1872"/>
    </row>
    <row r="71" spans="1:57" ht="12" customHeight="1" thickBot="1" x14ac:dyDescent="0.25">
      <c r="A71" s="2315"/>
      <c r="B71" s="1032"/>
      <c r="C71" s="2822" t="s">
        <v>1366</v>
      </c>
      <c r="D71" s="5218"/>
      <c r="E71" s="5219"/>
      <c r="F71" s="5220" t="s">
        <v>9781</v>
      </c>
      <c r="G71" s="5221"/>
      <c r="H71" s="5221"/>
      <c r="I71" s="5222"/>
      <c r="J71" s="2278"/>
      <c r="K71" s="2278"/>
      <c r="L71" s="2278"/>
      <c r="M71" s="2278"/>
      <c r="N71" s="2278"/>
      <c r="O71" s="2278"/>
      <c r="P71" s="2278"/>
      <c r="Q71" s="2279"/>
      <c r="R71" s="614"/>
      <c r="S71" s="2314"/>
      <c r="T71" s="2315"/>
      <c r="U71" s="1032"/>
      <c r="AK71" s="790"/>
      <c r="AL71" s="2329"/>
      <c r="AM71" s="1872"/>
      <c r="AN71" s="1872"/>
      <c r="AO71" s="1872"/>
      <c r="AP71" s="1872"/>
      <c r="AQ71" s="1872"/>
      <c r="AR71" s="1872"/>
      <c r="AS71" s="1872"/>
      <c r="AT71" s="1872"/>
      <c r="AU71" s="1872"/>
      <c r="AV71" s="1872"/>
      <c r="AW71" s="1872"/>
      <c r="AX71" s="1872"/>
      <c r="AY71" s="1872"/>
      <c r="AZ71" s="1872"/>
      <c r="BA71" s="1872"/>
      <c r="BB71" s="1872"/>
      <c r="BC71" s="1872"/>
      <c r="BD71" s="1872"/>
      <c r="BE71" s="1872"/>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1872"/>
      <c r="AN72" s="1872"/>
      <c r="AO72" s="1872"/>
      <c r="AP72" s="1872"/>
      <c r="AQ72" s="1872"/>
      <c r="AR72" s="1872"/>
      <c r="AS72" s="1872"/>
      <c r="AT72" s="1872"/>
      <c r="AU72" s="1872"/>
      <c r="AV72" s="1872"/>
      <c r="AW72" s="1872"/>
      <c r="AX72" s="1872"/>
      <c r="AY72" s="1872"/>
      <c r="AZ72" s="1872"/>
      <c r="BA72" s="1872"/>
      <c r="BB72" s="1872"/>
      <c r="BC72" s="1872"/>
      <c r="BD72" s="1872"/>
      <c r="BE72" s="1872"/>
    </row>
    <row r="73" spans="1:57" ht="12" customHeight="1" x14ac:dyDescent="0.2">
      <c r="A73" s="2315"/>
      <c r="B73" s="1032"/>
      <c r="C73" s="4305" t="s">
        <v>9791</v>
      </c>
      <c r="D73" s="4306"/>
      <c r="E73" s="4307"/>
      <c r="F73" s="5300" t="s">
        <v>9789</v>
      </c>
      <c r="G73" s="5297"/>
      <c r="H73" s="5297"/>
      <c r="I73" s="5297"/>
      <c r="J73" s="5297"/>
      <c r="K73" s="5297"/>
      <c r="L73" s="5298"/>
      <c r="M73" s="5299" t="s">
        <v>9788</v>
      </c>
      <c r="N73" s="5298"/>
      <c r="O73" s="5299" t="s">
        <v>1373</v>
      </c>
      <c r="P73" s="5298"/>
      <c r="Q73" s="2296" t="s">
        <v>1406</v>
      </c>
      <c r="R73" s="614"/>
      <c r="S73" s="2314"/>
      <c r="T73" s="2315"/>
      <c r="U73" s="1032"/>
      <c r="V73" s="5205" t="s">
        <v>8791</v>
      </c>
      <c r="W73" s="5206"/>
      <c r="X73" s="5206"/>
      <c r="Y73" s="5206"/>
      <c r="Z73" s="5206"/>
      <c r="AA73" s="5206"/>
      <c r="AB73" s="5206"/>
      <c r="AC73" s="5206"/>
      <c r="AD73" s="5206"/>
      <c r="AE73" s="5206"/>
      <c r="AF73" s="5206"/>
      <c r="AG73" s="5206"/>
      <c r="AH73" s="5206"/>
      <c r="AI73" s="5206"/>
      <c r="AJ73" s="5207"/>
      <c r="AK73" s="790"/>
      <c r="AL73" s="2329"/>
      <c r="AM73" s="1872"/>
      <c r="AN73" s="1872"/>
      <c r="AO73" s="1872"/>
      <c r="AP73" s="1872"/>
      <c r="AQ73" s="1872"/>
      <c r="AR73" s="1872"/>
      <c r="AS73" s="1872"/>
      <c r="AT73" s="1872"/>
      <c r="AU73" s="1872"/>
      <c r="AV73" s="1872"/>
      <c r="AW73" s="1872"/>
      <c r="AX73" s="1872"/>
      <c r="AY73" s="1872"/>
      <c r="AZ73" s="1872"/>
      <c r="BA73" s="1872"/>
      <c r="BB73" s="1872"/>
      <c r="BC73" s="1872"/>
      <c r="BD73" s="1872"/>
      <c r="BE73" s="1872"/>
    </row>
    <row r="74" spans="1:57" ht="12" customHeight="1" thickBot="1" x14ac:dyDescent="0.25">
      <c r="A74" s="2315"/>
      <c r="B74" s="1032"/>
      <c r="C74" s="5439"/>
      <c r="D74" s="5440"/>
      <c r="E74" s="5441"/>
      <c r="F74" s="5257"/>
      <c r="G74" s="5258"/>
      <c r="H74" s="5258"/>
      <c r="I74" s="5258"/>
      <c r="J74" s="5258"/>
      <c r="K74" s="5258"/>
      <c r="L74" s="5259"/>
      <c r="M74" s="5437"/>
      <c r="N74" s="5438"/>
      <c r="O74" s="5437"/>
      <c r="P74" s="5438"/>
      <c r="Q74" s="2821"/>
      <c r="R74" s="614"/>
      <c r="S74" s="2314"/>
      <c r="T74" s="2315"/>
      <c r="U74" s="1032"/>
      <c r="V74" s="3966"/>
      <c r="W74" s="3967"/>
      <c r="X74" s="3967"/>
      <c r="Y74" s="3967"/>
      <c r="Z74" s="3967"/>
      <c r="AA74" s="3967"/>
      <c r="AB74" s="3967"/>
      <c r="AC74" s="3967"/>
      <c r="AD74" s="3967"/>
      <c r="AE74" s="3967"/>
      <c r="AF74" s="3967"/>
      <c r="AG74" s="3967"/>
      <c r="AH74" s="3967"/>
      <c r="AI74" s="3967"/>
      <c r="AJ74" s="3968"/>
      <c r="AK74" s="790"/>
      <c r="AL74" s="2329"/>
      <c r="AM74" s="1872"/>
      <c r="AN74" s="1872"/>
      <c r="AO74" s="1872"/>
      <c r="AP74" s="1872"/>
      <c r="AQ74" s="1872"/>
      <c r="AR74" s="1872"/>
      <c r="AS74" s="1872"/>
      <c r="AT74" s="1872"/>
      <c r="AU74" s="1872"/>
      <c r="AV74" s="1872"/>
      <c r="AW74" s="1872"/>
      <c r="AX74" s="1872"/>
      <c r="AY74" s="1872"/>
      <c r="AZ74" s="1872"/>
      <c r="BA74" s="1872"/>
      <c r="BB74" s="1872"/>
      <c r="BC74" s="1872"/>
      <c r="BD74" s="1872"/>
      <c r="BE74" s="1872"/>
    </row>
    <row r="75" spans="1:57" ht="12" customHeight="1" thickBot="1" x14ac:dyDescent="0.25">
      <c r="A75" s="2315"/>
      <c r="B75" s="1032"/>
      <c r="C75" s="5439"/>
      <c r="D75" s="5440"/>
      <c r="E75" s="5441"/>
      <c r="F75" s="5427"/>
      <c r="G75" s="5428"/>
      <c r="H75" s="5428"/>
      <c r="I75" s="5428"/>
      <c r="J75" s="5428"/>
      <c r="K75" s="5428"/>
      <c r="L75" s="5429"/>
      <c r="M75" s="5433"/>
      <c r="N75" s="5434"/>
      <c r="O75" s="5433"/>
      <c r="P75" s="5434"/>
      <c r="Q75" s="2820"/>
      <c r="R75" s="614"/>
      <c r="S75" s="2314"/>
      <c r="T75" s="2315"/>
      <c r="U75" s="1032"/>
      <c r="AC75" s="712"/>
      <c r="AK75" s="790"/>
      <c r="AL75" s="2329"/>
      <c r="AM75" s="1872"/>
      <c r="AN75" s="1872"/>
      <c r="AO75" s="1872"/>
      <c r="AP75" s="1872"/>
      <c r="AQ75" s="1872"/>
      <c r="AR75" s="1872"/>
      <c r="AS75" s="1872"/>
      <c r="AT75" s="1872"/>
      <c r="AU75" s="1872"/>
      <c r="AV75" s="1872"/>
      <c r="AW75" s="1872"/>
      <c r="AX75" s="1872"/>
      <c r="AY75" s="1872"/>
      <c r="AZ75" s="1872"/>
      <c r="BA75" s="1872"/>
      <c r="BB75" s="1872"/>
      <c r="BC75" s="1872"/>
      <c r="BD75" s="1872"/>
      <c r="BE75" s="1872"/>
    </row>
    <row r="76" spans="1:57" ht="12" customHeight="1" thickBot="1" x14ac:dyDescent="0.25">
      <c r="A76" s="2315"/>
      <c r="B76" s="1032"/>
      <c r="C76" s="4897"/>
      <c r="D76" s="4898"/>
      <c r="E76" s="4899"/>
      <c r="F76" s="5430"/>
      <c r="G76" s="5431"/>
      <c r="H76" s="5431"/>
      <c r="I76" s="5431"/>
      <c r="J76" s="5431"/>
      <c r="K76" s="5431"/>
      <c r="L76" s="5432"/>
      <c r="M76" s="5435"/>
      <c r="N76" s="5436"/>
      <c r="O76" s="5435"/>
      <c r="P76" s="5436"/>
      <c r="Q76" s="2404"/>
      <c r="R76" s="614"/>
      <c r="S76" s="2314"/>
      <c r="T76" s="2315"/>
      <c r="U76" s="1032"/>
      <c r="V76" s="5008" t="s">
        <v>9793</v>
      </c>
      <c r="W76" s="5009"/>
      <c r="X76" s="5009"/>
      <c r="Y76" s="5009"/>
      <c r="Z76" s="5009"/>
      <c r="AA76" s="5009"/>
      <c r="AB76" s="5253"/>
      <c r="AC76" s="2285"/>
      <c r="AD76" s="3197" t="s">
        <v>9792</v>
      </c>
      <c r="AE76" s="3198"/>
      <c r="AF76" s="3198"/>
      <c r="AG76" s="3198"/>
      <c r="AH76" s="3198"/>
      <c r="AI76" s="3198"/>
      <c r="AJ76" s="3199"/>
      <c r="AK76" s="790"/>
      <c r="AL76" s="2329"/>
      <c r="AM76" s="1872"/>
      <c r="AN76" s="1872"/>
      <c r="AO76" s="1872"/>
      <c r="AP76" s="1872"/>
      <c r="AQ76" s="1872"/>
      <c r="AR76" s="1872"/>
      <c r="AS76" s="1872"/>
      <c r="AT76" s="1872"/>
      <c r="AU76" s="1872"/>
      <c r="AV76" s="1872"/>
      <c r="AW76" s="1872"/>
      <c r="AX76" s="1872"/>
      <c r="AY76" s="1872"/>
      <c r="AZ76" s="1872"/>
      <c r="BA76" s="1872"/>
      <c r="BB76" s="1872"/>
      <c r="BC76" s="1872"/>
      <c r="BD76" s="1872"/>
      <c r="BE76" s="1872"/>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254" t="s">
        <v>1444</v>
      </c>
      <c r="W77" s="5255"/>
      <c r="X77" s="5255"/>
      <c r="Y77" s="5255"/>
      <c r="Z77" s="5255"/>
      <c r="AA77" s="5256"/>
      <c r="AB77" s="2391" t="s">
        <v>1493</v>
      </c>
      <c r="AC77" s="333"/>
      <c r="AD77" s="5246" t="s">
        <v>1444</v>
      </c>
      <c r="AE77" s="5247"/>
      <c r="AF77" s="5247"/>
      <c r="AG77" s="5247"/>
      <c r="AH77" s="5248"/>
      <c r="AI77" s="2392" t="s">
        <v>1033</v>
      </c>
      <c r="AJ77" s="2391" t="s">
        <v>1503</v>
      </c>
      <c r="AK77" s="790"/>
      <c r="AL77" s="2329"/>
      <c r="AM77" s="1872"/>
      <c r="AN77" s="1872"/>
      <c r="AO77" s="1872"/>
      <c r="AP77" s="1872"/>
      <c r="AQ77" s="1872"/>
      <c r="AR77" s="1872"/>
      <c r="AS77" s="1872"/>
      <c r="AT77" s="1872"/>
      <c r="AU77" s="1872"/>
      <c r="AV77" s="1872"/>
      <c r="AW77" s="1872"/>
      <c r="AX77" s="1872"/>
      <c r="AY77" s="1872"/>
      <c r="AZ77" s="1872"/>
      <c r="BA77" s="1872"/>
      <c r="BB77" s="1872"/>
      <c r="BC77" s="1872"/>
      <c r="BD77" s="1872"/>
      <c r="BE77" s="1872"/>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257"/>
      <c r="W78" s="5258"/>
      <c r="X78" s="5258"/>
      <c r="Y78" s="5258"/>
      <c r="Z78" s="5258"/>
      <c r="AA78" s="5259"/>
      <c r="AB78" s="2282"/>
      <c r="AC78" s="333"/>
      <c r="AD78" s="5652"/>
      <c r="AE78" s="5653"/>
      <c r="AF78" s="5653"/>
      <c r="AG78" s="5653"/>
      <c r="AH78" s="5653"/>
      <c r="AI78" s="2280"/>
      <c r="AJ78" s="2282"/>
      <c r="AK78" s="790"/>
      <c r="AL78" s="2329"/>
      <c r="AM78" s="1872"/>
      <c r="AN78" s="1872"/>
      <c r="AO78" s="1872"/>
      <c r="AP78" s="1872"/>
      <c r="AQ78" s="1872"/>
      <c r="AR78" s="1872"/>
      <c r="AS78" s="1872"/>
      <c r="AT78" s="1872"/>
      <c r="AU78" s="1872"/>
      <c r="AV78" s="1872"/>
      <c r="AW78" s="1872"/>
      <c r="AX78" s="1872"/>
      <c r="AY78" s="1872"/>
      <c r="AZ78" s="1872"/>
      <c r="BA78" s="1872"/>
      <c r="BB78" s="1872"/>
      <c r="BC78" s="1872"/>
      <c r="BD78" s="1872"/>
      <c r="BE78" s="1872"/>
    </row>
    <row r="79" spans="1:57" ht="12" customHeight="1" x14ac:dyDescent="0.2">
      <c r="A79" s="1012"/>
      <c r="B79" s="513"/>
      <c r="C79" s="5205" t="s">
        <v>7489</v>
      </c>
      <c r="D79" s="5206"/>
      <c r="E79" s="5206"/>
      <c r="F79" s="5206"/>
      <c r="G79" s="5206"/>
      <c r="H79" s="5206"/>
      <c r="I79" s="5206"/>
      <c r="J79" s="5206"/>
      <c r="K79" s="5206"/>
      <c r="L79" s="5206"/>
      <c r="M79" s="5206"/>
      <c r="N79" s="5206"/>
      <c r="O79" s="5206"/>
      <c r="P79" s="5206"/>
      <c r="Q79" s="5207"/>
      <c r="R79" s="614"/>
      <c r="S79" s="1012"/>
      <c r="T79" s="1012"/>
      <c r="U79" s="513"/>
      <c r="V79" s="5251"/>
      <c r="W79" s="5252"/>
      <c r="X79" s="5252"/>
      <c r="Y79" s="5252"/>
      <c r="Z79" s="5252"/>
      <c r="AA79" s="5260"/>
      <c r="AB79" s="2283"/>
      <c r="AC79" s="333"/>
      <c r="AD79" s="5251"/>
      <c r="AE79" s="5252"/>
      <c r="AF79" s="5252"/>
      <c r="AG79" s="5252"/>
      <c r="AH79" s="5252"/>
      <c r="AI79" s="2281"/>
      <c r="AJ79" s="2283"/>
      <c r="AK79" s="790"/>
      <c r="AL79" s="2329"/>
      <c r="AM79" s="1872"/>
      <c r="AN79" s="1872"/>
      <c r="AO79" s="1872"/>
      <c r="AP79" s="1872"/>
      <c r="AQ79" s="1872"/>
      <c r="AR79" s="1872"/>
      <c r="AS79" s="1872"/>
      <c r="AT79" s="1872"/>
      <c r="AU79" s="1872"/>
      <c r="AV79" s="1872"/>
      <c r="AW79" s="1872"/>
      <c r="AX79" s="1872"/>
      <c r="AY79" s="1872"/>
      <c r="AZ79" s="1872"/>
      <c r="BA79" s="1872"/>
      <c r="BB79" s="1872"/>
      <c r="BC79" s="1872"/>
      <c r="BD79" s="1872"/>
      <c r="BE79" s="1872"/>
    </row>
    <row r="80" spans="1:57" ht="12" customHeight="1" thickBot="1" x14ac:dyDescent="0.25">
      <c r="A80" s="1012"/>
      <c r="B80" s="513"/>
      <c r="C80" s="3966"/>
      <c r="D80" s="3967"/>
      <c r="E80" s="3967"/>
      <c r="F80" s="3967"/>
      <c r="G80" s="3967"/>
      <c r="H80" s="3967"/>
      <c r="I80" s="3967"/>
      <c r="J80" s="3967"/>
      <c r="K80" s="3967"/>
      <c r="L80" s="3967"/>
      <c r="M80" s="3967"/>
      <c r="N80" s="3967"/>
      <c r="O80" s="3967"/>
      <c r="P80" s="3967"/>
      <c r="Q80" s="3968"/>
      <c r="R80" s="1469"/>
      <c r="S80" s="1470"/>
      <c r="T80" s="1470"/>
      <c r="U80" s="1032"/>
      <c r="V80" s="5249"/>
      <c r="W80" s="5250"/>
      <c r="X80" s="5250"/>
      <c r="Y80" s="5250"/>
      <c r="Z80" s="5250"/>
      <c r="AA80" s="5261"/>
      <c r="AB80" s="2284"/>
      <c r="AC80" s="333"/>
      <c r="AD80" s="5249"/>
      <c r="AE80" s="5250"/>
      <c r="AF80" s="5250"/>
      <c r="AG80" s="5250"/>
      <c r="AH80" s="5250"/>
      <c r="AI80" s="2393"/>
      <c r="AJ80" s="2284"/>
      <c r="AK80" s="790"/>
      <c r="AL80" s="2329"/>
      <c r="AM80" s="1872"/>
      <c r="AN80" s="1872"/>
      <c r="AO80" s="1872"/>
      <c r="AP80" s="1872"/>
      <c r="AQ80" s="1872"/>
      <c r="AR80" s="1872"/>
      <c r="AS80" s="1872"/>
      <c r="AT80" s="1872"/>
      <c r="AU80" s="1872"/>
      <c r="AV80" s="1872"/>
      <c r="AW80" s="1872"/>
      <c r="AX80" s="1872"/>
      <c r="AY80" s="1872"/>
      <c r="AZ80" s="1872"/>
      <c r="BA80" s="1872"/>
      <c r="BB80" s="1872"/>
      <c r="BC80" s="1872"/>
      <c r="BD80" s="1872"/>
      <c r="BE80" s="1872"/>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1872"/>
      <c r="AN81" s="1872"/>
      <c r="AO81" s="1872"/>
      <c r="AP81" s="1872"/>
      <c r="AQ81" s="1872"/>
      <c r="AR81" s="1872"/>
      <c r="AS81" s="1872"/>
      <c r="AT81" s="1872"/>
      <c r="AU81" s="1872"/>
      <c r="AV81" s="1872"/>
      <c r="AW81" s="1872"/>
      <c r="AX81" s="1872"/>
      <c r="AY81" s="1872"/>
      <c r="AZ81" s="1872"/>
      <c r="BA81" s="1872"/>
      <c r="BB81" s="1872"/>
      <c r="BC81" s="1872"/>
      <c r="BD81" s="1872"/>
      <c r="BE81" s="1872"/>
    </row>
    <row r="82" spans="1:57" ht="12" customHeight="1" thickBot="1" x14ac:dyDescent="0.25">
      <c r="A82" s="1012"/>
      <c r="B82" s="513"/>
      <c r="C82" s="2649"/>
      <c r="D82" s="2998" t="s">
        <v>7503</v>
      </c>
      <c r="E82" s="3000"/>
      <c r="F82" s="5297" t="str">
        <f>"Poderes adquiridos: "&amp;IF(Tablas!$J$1835&gt;0,"Influjo Sobrenatural"&amp;IF(Tablas!$J$1840&gt;0,", Demiurgo",""),IF(Tablas!$J$1840&gt;0,"Demiurgo","Ninguno"))</f>
        <v>Poderes adquiridos: Ninguno</v>
      </c>
      <c r="G82" s="5297"/>
      <c r="H82" s="5297"/>
      <c r="I82" s="5297"/>
      <c r="J82" s="5297"/>
      <c r="K82" s="5297"/>
      <c r="L82" s="5297"/>
      <c r="M82" s="5298"/>
      <c r="N82" s="5319" t="s">
        <v>7490</v>
      </c>
      <c r="O82" s="5320"/>
      <c r="P82" s="5321"/>
      <c r="Q82" s="2649"/>
      <c r="R82" s="614"/>
      <c r="S82" s="1012"/>
      <c r="T82" s="1012"/>
      <c r="U82" s="513"/>
      <c r="V82" s="5635" t="s">
        <v>1922</v>
      </c>
      <c r="W82" s="5636"/>
      <c r="X82" s="5637"/>
      <c r="Y82" s="2394"/>
      <c r="Z82" s="5276" t="s">
        <v>8811</v>
      </c>
      <c r="AA82" s="5277"/>
      <c r="AB82" s="5278"/>
      <c r="AD82" s="5644" t="s">
        <v>7306</v>
      </c>
      <c r="AE82" s="5645"/>
      <c r="AF82" s="5646"/>
      <c r="AH82" s="5644" t="s">
        <v>7307</v>
      </c>
      <c r="AI82" s="5645"/>
      <c r="AJ82" s="5646"/>
      <c r="AK82" s="790"/>
      <c r="AL82" s="2329"/>
      <c r="AM82" s="1872"/>
      <c r="AN82" s="1872"/>
      <c r="AO82" s="1872"/>
      <c r="AP82" s="1872"/>
      <c r="AQ82" s="1872"/>
      <c r="AR82" s="1872"/>
      <c r="AS82" s="1872"/>
      <c r="AT82" s="1872"/>
      <c r="AU82" s="1872"/>
      <c r="AV82" s="1872"/>
      <c r="AW82" s="1872"/>
      <c r="AX82" s="1872"/>
      <c r="AY82" s="1872"/>
      <c r="AZ82" s="1872"/>
      <c r="BA82" s="1872"/>
      <c r="BB82" s="1872"/>
      <c r="BC82" s="1872"/>
      <c r="BD82" s="1872"/>
      <c r="BE82" s="1872"/>
    </row>
    <row r="83" spans="1:57" ht="12" customHeight="1" thickBot="1" x14ac:dyDescent="0.25">
      <c r="A83" s="1012"/>
      <c r="B83" s="513"/>
      <c r="C83" s="2649"/>
      <c r="D83" s="3018"/>
      <c r="E83" s="3020"/>
      <c r="F83" s="2836"/>
      <c r="G83" s="1819" t="s">
        <v>7488</v>
      </c>
      <c r="H83" s="1816"/>
      <c r="I83" s="1817"/>
      <c r="J83" s="1816"/>
      <c r="K83" s="1818"/>
      <c r="L83" s="1817"/>
      <c r="M83" s="2408"/>
      <c r="N83" s="1485" t="s">
        <v>1389</v>
      </c>
      <c r="O83" s="2837" t="s">
        <v>1394</v>
      </c>
      <c r="P83" s="2838" t="s">
        <v>1395</v>
      </c>
      <c r="Q83" s="2649"/>
      <c r="R83" s="1469"/>
      <c r="S83" s="1470"/>
      <c r="T83" s="1470"/>
      <c r="U83" s="1032"/>
      <c r="V83" s="5638"/>
      <c r="W83" s="5639"/>
      <c r="X83" s="5640"/>
      <c r="Y83" s="2394"/>
      <c r="Z83" s="5279"/>
      <c r="AA83" s="5280"/>
      <c r="AB83" s="5281"/>
      <c r="AD83" s="5650" t="s">
        <v>8810</v>
      </c>
      <c r="AE83" s="5651"/>
      <c r="AF83" s="1838"/>
      <c r="AH83" s="5647" t="s">
        <v>7298</v>
      </c>
      <c r="AI83" s="5648"/>
      <c r="AJ83" s="5649"/>
      <c r="AK83" s="790"/>
      <c r="AL83" s="1471"/>
      <c r="AM83" s="1872"/>
      <c r="AN83" s="1872"/>
      <c r="AO83" s="1872"/>
      <c r="AP83" s="1872"/>
      <c r="AQ83" s="1872"/>
      <c r="AR83" s="1872"/>
      <c r="AS83" s="1872"/>
      <c r="AT83" s="1872"/>
      <c r="AU83" s="1872"/>
      <c r="AV83" s="1872"/>
      <c r="AW83" s="1872"/>
      <c r="AX83" s="1872"/>
      <c r="AY83" s="1872"/>
      <c r="AZ83" s="1872"/>
      <c r="BA83" s="1872"/>
      <c r="BB83" s="1872"/>
      <c r="BC83" s="1872"/>
      <c r="BD83" s="1872"/>
      <c r="BE83" s="1872"/>
    </row>
    <row r="84" spans="1:57" ht="12" customHeight="1" thickBot="1" x14ac:dyDescent="0.25">
      <c r="A84" s="1012"/>
      <c r="B84" s="513"/>
      <c r="C84" s="2649"/>
      <c r="D84" s="3314"/>
      <c r="E84" s="3315"/>
      <c r="F84" s="1013"/>
      <c r="G84" s="1006" t="s">
        <v>7491</v>
      </c>
      <c r="H84" s="1820"/>
      <c r="I84" s="2405"/>
      <c r="J84" s="2406"/>
      <c r="K84" s="2406"/>
      <c r="L84" s="2406"/>
      <c r="M84" s="2407"/>
      <c r="N84" s="2304">
        <f>IF(Tablas!$J$1835&gt;0,2*SUMPRODUCT(--ISNUMBER(SEARCH(Personalización!N$83,Personalización!$H$84))))+IF(Tablas!$J$1840&gt;0,SUMPRODUCT(--ISNUMBER(SEARCH(Personalización!N$83,Personalización!$H$83:$L$83))))</f>
        <v>0</v>
      </c>
      <c r="O84" s="1014">
        <f>IF(Tablas!$J$1835&gt;0,2*SUMPRODUCT(--ISNUMBER(SEARCH(Personalización!O$83,Personalización!$H$84))))+IF(Tablas!$J$1840&gt;0,SUMPRODUCT(--ISNUMBER(SEARCH(Personalización!O$83,Personalización!$H$83:$L$83))))</f>
        <v>0</v>
      </c>
      <c r="P84" s="1015">
        <f>IF(Tablas!$J$1835&gt;0,2*SUMPRODUCT(--ISNUMBER(SEARCH(Personalización!P$83,Personalización!$H$84))))+IF(Tablas!$J$1840&gt;0,SUMPRODUCT(--ISNUMBER(SEARCH(Personalización!P$83,Personalización!$H$83:$L$83))))</f>
        <v>0</v>
      </c>
      <c r="Q84" s="2649"/>
      <c r="R84" s="1469"/>
      <c r="S84" s="1470"/>
      <c r="T84" s="1470"/>
      <c r="U84" s="1032"/>
      <c r="V84" s="5632"/>
      <c r="W84" s="5633"/>
      <c r="X84" s="5634"/>
      <c r="Y84" s="2395"/>
      <c r="Z84" s="4656" t="s">
        <v>8809</v>
      </c>
      <c r="AA84" s="5680"/>
      <c r="AB84" s="5681"/>
      <c r="AD84" s="5647" t="s">
        <v>6527</v>
      </c>
      <c r="AE84" s="5648"/>
      <c r="AF84" s="5649"/>
      <c r="AH84" s="5671"/>
      <c r="AI84" s="5672"/>
      <c r="AJ84" s="5673"/>
      <c r="AK84" s="790"/>
      <c r="AL84" s="2329"/>
      <c r="AM84" s="1872"/>
      <c r="AN84" s="1872"/>
      <c r="AO84" s="1872"/>
      <c r="AP84" s="1872"/>
      <c r="AQ84" s="1872"/>
      <c r="AR84" s="1872"/>
      <c r="AS84" s="1872"/>
      <c r="AT84" s="1872"/>
      <c r="AU84" s="1872"/>
      <c r="AV84" s="1872"/>
      <c r="AW84" s="1872"/>
      <c r="AX84" s="1872"/>
      <c r="AY84" s="1872"/>
      <c r="AZ84" s="1872"/>
      <c r="BA84" s="1872"/>
      <c r="BB84" s="1872"/>
      <c r="BC84" s="1872"/>
      <c r="BD84" s="1872"/>
      <c r="BE84" s="1872"/>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638"/>
      <c r="W85" s="5639"/>
      <c r="X85" s="5640"/>
      <c r="Y85" s="2395"/>
      <c r="Z85" s="5677"/>
      <c r="AA85" s="5678"/>
      <c r="AB85" s="5679"/>
      <c r="AD85" s="5665"/>
      <c r="AE85" s="5666"/>
      <c r="AF85" s="5667"/>
      <c r="AH85" s="5674"/>
      <c r="AI85" s="5675"/>
      <c r="AJ85" s="5676"/>
      <c r="AK85" s="790"/>
      <c r="AL85" s="2329"/>
      <c r="AM85" s="1872"/>
      <c r="AN85" s="1872"/>
      <c r="AO85" s="1872"/>
      <c r="AP85" s="1872"/>
      <c r="AQ85" s="1872"/>
      <c r="AR85" s="1872"/>
      <c r="AS85" s="1872"/>
      <c r="AT85" s="1872"/>
      <c r="AU85" s="1872"/>
      <c r="AV85" s="1872"/>
      <c r="AW85" s="1872"/>
      <c r="AX85" s="1872"/>
      <c r="AY85" s="1872"/>
      <c r="AZ85" s="1872"/>
      <c r="BA85" s="1872"/>
      <c r="BB85" s="1872"/>
      <c r="BC85" s="1872"/>
      <c r="BD85" s="1872"/>
      <c r="BE85" s="1872"/>
    </row>
    <row r="86" spans="1:57" ht="12" customHeight="1" thickBot="1" x14ac:dyDescent="0.25">
      <c r="A86" s="1012"/>
      <c r="B86" s="513"/>
      <c r="C86" s="5292" t="s">
        <v>7492</v>
      </c>
      <c r="D86" s="5296" t="s">
        <v>1326</v>
      </c>
      <c r="E86" s="5296"/>
      <c r="F86" s="5325"/>
      <c r="G86" s="5326"/>
      <c r="H86" s="5326"/>
      <c r="I86" s="5326"/>
      <c r="J86" s="5326"/>
      <c r="K86" s="5326"/>
      <c r="L86" s="5326"/>
      <c r="M86" s="5326"/>
      <c r="N86" s="5326"/>
      <c r="O86" s="5326"/>
      <c r="P86" s="5326"/>
      <c r="Q86" s="5327"/>
      <c r="R86" s="614"/>
      <c r="S86" s="1012"/>
      <c r="T86" s="1012"/>
      <c r="U86" s="513"/>
      <c r="V86" s="5632"/>
      <c r="W86" s="5633"/>
      <c r="X86" s="5634"/>
      <c r="Y86" s="2395"/>
      <c r="Z86" s="5454" t="s">
        <v>9810</v>
      </c>
      <c r="AA86" s="5455"/>
      <c r="AB86" s="2387"/>
      <c r="AD86" s="5668"/>
      <c r="AE86" s="5669"/>
      <c r="AF86" s="5670"/>
      <c r="AJ86" s="712"/>
      <c r="AK86" s="790"/>
      <c r="AL86" s="2329"/>
      <c r="AM86" s="1872"/>
      <c r="AN86" s="1872"/>
      <c r="AO86" s="1872"/>
      <c r="AP86" s="1872"/>
      <c r="AQ86" s="1872"/>
      <c r="AR86" s="1872"/>
      <c r="AS86" s="1872"/>
      <c r="AT86" s="1872"/>
      <c r="AU86" s="1872"/>
      <c r="AV86" s="1872"/>
      <c r="AW86" s="1872"/>
      <c r="AX86" s="1872"/>
      <c r="AY86" s="1872"/>
      <c r="AZ86" s="1872"/>
      <c r="BA86" s="1872"/>
      <c r="BB86" s="1872"/>
      <c r="BC86" s="1872"/>
      <c r="BD86" s="1872"/>
      <c r="BE86" s="1872"/>
    </row>
    <row r="87" spans="1:57" ht="12" customHeight="1" thickBot="1" x14ac:dyDescent="0.25">
      <c r="A87" s="1012"/>
      <c r="B87" s="513"/>
      <c r="C87" s="5293"/>
      <c r="D87" s="5337" t="s">
        <v>7500</v>
      </c>
      <c r="E87" s="3556"/>
      <c r="F87" s="3556"/>
      <c r="G87" s="2305" t="s">
        <v>1824</v>
      </c>
      <c r="H87" s="2819" t="s">
        <v>1493</v>
      </c>
      <c r="I87" s="5337" t="s">
        <v>1553</v>
      </c>
      <c r="J87" s="3556"/>
      <c r="K87" s="3556"/>
      <c r="L87" s="3556"/>
      <c r="M87" s="3556"/>
      <c r="N87" s="3556"/>
      <c r="O87" s="3556"/>
      <c r="P87" s="3556"/>
      <c r="Q87" s="5341"/>
      <c r="R87" s="614"/>
      <c r="S87" s="1012"/>
      <c r="T87" s="1012"/>
      <c r="U87" s="513"/>
      <c r="AK87" s="790"/>
      <c r="AL87" s="2329"/>
      <c r="AM87" s="1872"/>
      <c r="AN87" s="1872"/>
      <c r="AO87" s="1872"/>
      <c r="AP87" s="1872"/>
      <c r="AQ87" s="1872"/>
      <c r="AR87" s="1872"/>
      <c r="AS87" s="1872"/>
      <c r="AT87" s="1872"/>
      <c r="AU87" s="1872"/>
      <c r="AV87" s="1872"/>
      <c r="AW87" s="1872"/>
      <c r="AX87" s="1872"/>
      <c r="AY87" s="1872"/>
      <c r="AZ87" s="1872"/>
      <c r="BA87" s="1872"/>
      <c r="BB87" s="1872"/>
      <c r="BC87" s="1872"/>
      <c r="BD87" s="1872"/>
      <c r="BE87" s="1872"/>
    </row>
    <row r="88" spans="1:57" ht="12" customHeight="1" x14ac:dyDescent="0.2">
      <c r="A88" s="1012"/>
      <c r="B88" s="513"/>
      <c r="C88" s="5293"/>
      <c r="D88" s="5338"/>
      <c r="E88" s="5338"/>
      <c r="F88" s="5338"/>
      <c r="G88" s="1826"/>
      <c r="H88" s="1826"/>
      <c r="I88" s="5328"/>
      <c r="J88" s="5329"/>
      <c r="K88" s="5329"/>
      <c r="L88" s="5329"/>
      <c r="M88" s="5329"/>
      <c r="N88" s="5329"/>
      <c r="O88" s="5329"/>
      <c r="P88" s="5329"/>
      <c r="Q88" s="5330"/>
      <c r="R88" s="614"/>
      <c r="S88" s="1012"/>
      <c r="T88" s="1012"/>
      <c r="U88" s="513"/>
      <c r="V88" s="5276" t="s">
        <v>8792</v>
      </c>
      <c r="W88" s="5277"/>
      <c r="X88" s="5277"/>
      <c r="Y88" s="5277"/>
      <c r="Z88" s="5277"/>
      <c r="AA88" s="5277"/>
      <c r="AB88" s="5277"/>
      <c r="AC88" s="5277"/>
      <c r="AD88" s="5277"/>
      <c r="AE88" s="5277"/>
      <c r="AF88" s="5277"/>
      <c r="AG88" s="5277"/>
      <c r="AH88" s="5277"/>
      <c r="AI88" s="5277"/>
      <c r="AJ88" s="5278"/>
      <c r="AK88" s="790"/>
      <c r="AL88" s="2329"/>
      <c r="AM88" s="1872"/>
      <c r="AN88" s="1872"/>
      <c r="AO88" s="1872"/>
      <c r="AP88" s="1872"/>
      <c r="AQ88" s="1872"/>
      <c r="AR88" s="1872"/>
      <c r="AS88" s="1872"/>
      <c r="AT88" s="1872"/>
      <c r="AU88" s="1872"/>
      <c r="AV88" s="1872"/>
      <c r="AW88" s="1872"/>
      <c r="AX88" s="1872"/>
      <c r="AY88" s="1872"/>
      <c r="AZ88" s="1872"/>
      <c r="BA88" s="1872"/>
      <c r="BB88" s="1872"/>
      <c r="BC88" s="1872"/>
      <c r="BD88" s="1872"/>
      <c r="BE88" s="1872"/>
    </row>
    <row r="89" spans="1:57" ht="12" customHeight="1" thickBot="1" x14ac:dyDescent="0.25">
      <c r="A89" s="1012"/>
      <c r="B89" s="513"/>
      <c r="C89" s="5293"/>
      <c r="D89" s="5224"/>
      <c r="E89" s="5224"/>
      <c r="F89" s="5224"/>
      <c r="G89" s="1827"/>
      <c r="H89" s="1827"/>
      <c r="I89" s="5232"/>
      <c r="J89" s="5233"/>
      <c r="K89" s="5233"/>
      <c r="L89" s="5233"/>
      <c r="M89" s="5233"/>
      <c r="N89" s="5233"/>
      <c r="O89" s="5233"/>
      <c r="P89" s="5233"/>
      <c r="Q89" s="5234"/>
      <c r="R89" s="614"/>
      <c r="S89" s="1012"/>
      <c r="T89" s="1012"/>
      <c r="U89" s="513"/>
      <c r="V89" s="5654"/>
      <c r="W89" s="5655"/>
      <c r="X89" s="5655"/>
      <c r="Y89" s="5655"/>
      <c r="Z89" s="5655"/>
      <c r="AA89" s="5655"/>
      <c r="AB89" s="5655"/>
      <c r="AC89" s="5655"/>
      <c r="AD89" s="5655"/>
      <c r="AE89" s="5655"/>
      <c r="AF89" s="5655"/>
      <c r="AG89" s="5655"/>
      <c r="AH89" s="5655"/>
      <c r="AI89" s="5655"/>
      <c r="AJ89" s="5656"/>
      <c r="AK89" s="790"/>
      <c r="AL89" s="2329"/>
      <c r="AM89" s="1872"/>
      <c r="AN89" s="1872"/>
      <c r="AO89" s="1872"/>
      <c r="AP89" s="1872"/>
      <c r="AQ89" s="1872"/>
      <c r="AR89" s="1872"/>
      <c r="AS89" s="1872"/>
      <c r="AT89" s="1872"/>
      <c r="AU89" s="1872"/>
      <c r="AV89" s="1872"/>
      <c r="AW89" s="1872"/>
      <c r="AX89" s="1872"/>
      <c r="AY89" s="1872"/>
      <c r="AZ89" s="1872"/>
      <c r="BA89" s="1872"/>
      <c r="BB89" s="1872"/>
      <c r="BC89" s="1872"/>
      <c r="BD89" s="1872"/>
      <c r="BE89" s="1872"/>
    </row>
    <row r="90" spans="1:57" ht="12" customHeight="1" thickBot="1" x14ac:dyDescent="0.25">
      <c r="A90" s="1012"/>
      <c r="B90" s="513"/>
      <c r="C90" s="5293"/>
      <c r="D90" s="5224"/>
      <c r="E90" s="5224"/>
      <c r="F90" s="5224"/>
      <c r="G90" s="1827"/>
      <c r="H90" s="1827"/>
      <c r="I90" s="5232"/>
      <c r="J90" s="5233"/>
      <c r="K90" s="5233"/>
      <c r="L90" s="5233"/>
      <c r="M90" s="5233"/>
      <c r="N90" s="5233"/>
      <c r="O90" s="5233"/>
      <c r="P90" s="5233"/>
      <c r="Q90" s="5234"/>
      <c r="R90" s="614"/>
      <c r="S90" s="1012"/>
      <c r="T90" s="1012"/>
      <c r="U90" s="513"/>
      <c r="V90" s="5642" t="s">
        <v>1326</v>
      </c>
      <c r="W90" s="5643"/>
      <c r="X90" s="5716" t="s">
        <v>8800</v>
      </c>
      <c r="Y90" s="5716"/>
      <c r="Z90" s="5716"/>
      <c r="AA90" s="5716"/>
      <c r="AB90" s="5717"/>
      <c r="AC90" s="5658" t="s">
        <v>8816</v>
      </c>
      <c r="AD90" s="5659"/>
      <c r="AE90" s="5659"/>
      <c r="AF90" s="5627" t="s">
        <v>1732</v>
      </c>
      <c r="AG90" s="5628"/>
      <c r="AH90" s="5658" t="s">
        <v>8812</v>
      </c>
      <c r="AI90" s="5664"/>
      <c r="AJ90" s="2484"/>
      <c r="AK90" s="790"/>
      <c r="AL90" s="2329"/>
      <c r="AM90" s="1872"/>
      <c r="AN90" s="1872" t="s">
        <v>9517</v>
      </c>
      <c r="AO90" s="1872" t="s">
        <v>1396</v>
      </c>
      <c r="AP90" s="1872" t="s">
        <v>7420</v>
      </c>
      <c r="AQ90" s="1872" t="s">
        <v>8528</v>
      </c>
      <c r="AR90" s="1872" t="s">
        <v>1570</v>
      </c>
      <c r="AS90" s="1872"/>
      <c r="AT90" s="1872"/>
      <c r="AU90" s="1872"/>
      <c r="AV90" s="1872"/>
      <c r="AW90" s="1872"/>
      <c r="AX90" s="1872"/>
      <c r="AY90" s="1872"/>
      <c r="AZ90" s="1872"/>
      <c r="BA90" s="1872"/>
      <c r="BB90" s="1872"/>
      <c r="BC90" s="1872"/>
      <c r="BD90" s="1872"/>
      <c r="BE90" s="1872"/>
    </row>
    <row r="91" spans="1:57" ht="12" customHeight="1" x14ac:dyDescent="0.2">
      <c r="A91" s="1012"/>
      <c r="B91" s="513"/>
      <c r="C91" s="5293"/>
      <c r="D91" s="5223"/>
      <c r="E91" s="5224"/>
      <c r="F91" s="5225"/>
      <c r="G91" s="1823"/>
      <c r="H91" s="1829"/>
      <c r="I91" s="5232"/>
      <c r="J91" s="5233"/>
      <c r="K91" s="5233"/>
      <c r="L91" s="5233"/>
      <c r="M91" s="5233"/>
      <c r="N91" s="5233"/>
      <c r="O91" s="5233"/>
      <c r="P91" s="5233"/>
      <c r="Q91" s="5234"/>
      <c r="R91" s="614"/>
      <c r="S91" s="1012"/>
      <c r="T91" s="1012"/>
      <c r="U91" s="513"/>
      <c r="V91" s="5690" t="s">
        <v>8815</v>
      </c>
      <c r="W91" s="5691"/>
      <c r="X91" s="5692"/>
      <c r="Y91" s="5701" t="s">
        <v>1548</v>
      </c>
      <c r="Z91" s="5688">
        <f>IFERROR(VLOOKUP(V92,Tabla_CaracterísticasGéminis,2,0)+IF(COUNTIF(W99:Z104,"Metal")&gt;0,VLOOKUP(V92,Tabla_CaracterísticasGéminis,2,0),0)+IF(AF90="Grande",50,IF(AF90="Enorme",150,0)),0)</f>
        <v>0</v>
      </c>
      <c r="AA91" s="5728" t="s">
        <v>8823</v>
      </c>
      <c r="AB91" s="5729"/>
      <c r="AC91" s="5723"/>
      <c r="AD91" s="5724"/>
      <c r="AE91" s="5725"/>
      <c r="AF91" s="5728"/>
      <c r="AG91" s="5729"/>
      <c r="AH91" s="5723"/>
      <c r="AI91" s="5724"/>
      <c r="AJ91" s="5725"/>
      <c r="AK91" s="790"/>
      <c r="AL91" s="2329"/>
      <c r="AM91" s="1872"/>
      <c r="AN91" s="1872" t="b">
        <f>AA93&lt;&gt;"-"</f>
        <v>0</v>
      </c>
      <c r="AO91" s="1872" t="str">
        <f>IF(AN91,X90&amp;": "&amp;AD93&amp;" "&amp;AC91&amp;IF(AB97&gt;0," +"&amp;AB97,"")&amp;IF(AH91="",""," y "&amp;AH91&amp;IF(AG97&gt;0," +"&amp;AG97,"")),"")</f>
        <v/>
      </c>
      <c r="AP91" s="1872" t="str">
        <f>IF(AN91,X90&amp;": "&amp;AA93&amp;" "&amp;AC91&amp;IF(AB97&gt;0," +"&amp;AB97,"")&amp;IF(AH91="",""," y "&amp;AF93&amp;" "&amp;AH91&amp;IF(AG97&gt;0," +"&amp;AG97,"")),"")</f>
        <v/>
      </c>
      <c r="AQ91" s="1872" t="str">
        <f>IF(AN91,X90&amp;": "&amp;AB93&amp;" "&amp;AC91&amp;IF(AB97&gt;0," +"&amp;AB97,"")&amp;" ("&amp;AC93&amp;")"&amp;IF(AH91="",""," y "&amp;AG93&amp;" "&amp;AH91&amp;IF(AG97&gt;0," +"&amp;AG97,"")&amp;" ("&amp;AH93&amp;")"),"")</f>
        <v/>
      </c>
      <c r="AR91" s="1872" t="str">
        <f>IF(AN91,X90&amp;": "&amp;AE93&amp;" "&amp;AC91&amp;IF(AB97&gt;0," +"&amp;AB97,"")&amp;IF($AA96="-",""," ("&amp;$AA96&amp;IF($AB96="-",""," / "&amp;$AB96)&amp;")")&amp;IF(AH91="",""," y "&amp;AJ93&amp;" "&amp;AH91&amp;IF(AG97&gt;0," +"&amp;AG97,""))&amp;IF($AF96="-",""," ("&amp;$AF96&amp;IF($AG96="-",""," / "&amp;$AG96)&amp;")"),"")</f>
        <v/>
      </c>
      <c r="AS91" s="1872"/>
      <c r="AT91" s="1872"/>
      <c r="AU91" s="1872"/>
      <c r="AV91" s="1872"/>
      <c r="AW91" s="1872"/>
      <c r="AX91" s="1872"/>
      <c r="AY91" s="1872"/>
      <c r="AZ91" s="1872"/>
      <c r="BA91" s="1872"/>
      <c r="BB91" s="1872"/>
      <c r="BC91" s="1872"/>
      <c r="BD91" s="1872"/>
      <c r="BE91" s="1872"/>
    </row>
    <row r="92" spans="1:57" ht="12" customHeight="1" thickBot="1" x14ac:dyDescent="0.25">
      <c r="A92" s="1012"/>
      <c r="B92" s="513"/>
      <c r="C92" s="5293"/>
      <c r="D92" s="5226"/>
      <c r="E92" s="5227"/>
      <c r="F92" s="5228"/>
      <c r="G92" s="1830"/>
      <c r="H92" s="1823"/>
      <c r="I92" s="5331"/>
      <c r="J92" s="5332"/>
      <c r="K92" s="5332"/>
      <c r="L92" s="5332"/>
      <c r="M92" s="5332"/>
      <c r="N92" s="5332"/>
      <c r="O92" s="5332"/>
      <c r="P92" s="5332"/>
      <c r="Q92" s="5333"/>
      <c r="R92" s="614"/>
      <c r="S92" s="1012"/>
      <c r="T92" s="1012"/>
      <c r="U92" s="513"/>
      <c r="V92" s="5693"/>
      <c r="W92" s="5694"/>
      <c r="X92" s="5695"/>
      <c r="Y92" s="5702"/>
      <c r="Z92" s="5689"/>
      <c r="AA92" s="1481" t="s">
        <v>1568</v>
      </c>
      <c r="AB92" s="5283" t="s">
        <v>1569</v>
      </c>
      <c r="AC92" s="5284"/>
      <c r="AD92" s="2297" t="s">
        <v>1396</v>
      </c>
      <c r="AE92" s="1482" t="s">
        <v>1570</v>
      </c>
      <c r="AF92" s="1481" t="s">
        <v>1568</v>
      </c>
      <c r="AG92" s="5283" t="s">
        <v>1569</v>
      </c>
      <c r="AH92" s="5284"/>
      <c r="AI92" s="2297" t="s">
        <v>1396</v>
      </c>
      <c r="AJ92" s="1482" t="s">
        <v>1570</v>
      </c>
      <c r="AK92" s="790" t="e">
        <f>IF(Z98&lt;1,0,VLOOKUP(Z98,Tablas!$C$14:$D$33,2))</f>
        <v>#N/A</v>
      </c>
      <c r="AL92" s="2329"/>
      <c r="AM92" s="1872"/>
      <c r="AN92" s="1872"/>
      <c r="AO92" s="1872"/>
      <c r="AP92" s="1872"/>
      <c r="AQ92" s="1872"/>
      <c r="AR92" s="1872"/>
      <c r="AS92" s="1872"/>
      <c r="AT92" s="1872"/>
      <c r="AU92" s="1872"/>
      <c r="AV92" s="1872"/>
      <c r="AW92" s="1872"/>
      <c r="AX92" s="1872"/>
      <c r="AY92" s="1872"/>
      <c r="AZ92" s="1872"/>
      <c r="BA92" s="1872"/>
      <c r="BB92" s="1872"/>
      <c r="BC92" s="1872"/>
      <c r="BD92" s="1872"/>
      <c r="BE92" s="1872"/>
    </row>
    <row r="93" spans="1:57" ht="12" customHeight="1" x14ac:dyDescent="0.2">
      <c r="A93" s="1012"/>
      <c r="B93" s="513"/>
      <c r="C93" s="5293"/>
      <c r="D93" s="5226"/>
      <c r="E93" s="5227"/>
      <c r="F93" s="5228"/>
      <c r="G93" s="1830"/>
      <c r="H93" s="1829"/>
      <c r="I93" s="5331"/>
      <c r="J93" s="5332"/>
      <c r="K93" s="5332"/>
      <c r="L93" s="5332"/>
      <c r="M93" s="5332"/>
      <c r="N93" s="5332"/>
      <c r="O93" s="5332"/>
      <c r="P93" s="5332"/>
      <c r="Q93" s="5333"/>
      <c r="R93" s="614"/>
      <c r="S93" s="1012"/>
      <c r="T93" s="1012"/>
      <c r="U93" s="513"/>
      <c r="V93" s="5730" t="s">
        <v>8808</v>
      </c>
      <c r="W93" s="5731"/>
      <c r="X93" s="5696">
        <f>IFERROR(VLOOKUP(V92,Tabla_CaracterísticasGéminis,4,0),0)</f>
        <v>0</v>
      </c>
      <c r="Y93" s="5701" t="s">
        <v>8805</v>
      </c>
      <c r="Z93" s="5688">
        <f>IFERROR(VLOOKUP(V92,Tabla_CaracterísticasGéminis,3,0)+IF(COUNTIF(W99:Z104,"Metal")&gt;0,4,0),0)</f>
        <v>0</v>
      </c>
      <c r="AA93" s="5285" t="str">
        <f>IFERROR(IF(OR(AC91="",Tablas!$H$993=0),"-",IF(AC91="Armas naturales",Principal!$H$24,IF(VLOOKUP(AC91,Tabla_ArmasyEscudos,9,0)="Conocida",Principal!$H$24,"-"))+AC103+5*MIN(4,COUNTIF(W99:Z104,"Capacidad de combate"))-10*MAX(0,AR94-Z98)),"-")</f>
        <v>-</v>
      </c>
      <c r="AB93" s="5287" t="str">
        <f>IFERROR(IF(OR(AC91="",Tablas!$H$993=0),"-",IF(AC91="Armas naturales",Principal!$H$26,IF(AND(AC93="Par",VLOOKUP(AC91,Tabla_ArmasyEscudos,9,0)&lt;&gt;"Conocida"),"-",Principal!$H$26))+AC104+5*MIN(4,COUNTIF(W99:Z104,"Capacidad de combate"))-IF(AC93="Par",10*MAX(0,AR94-Z98),0)),"-")</f>
        <v>-</v>
      </c>
      <c r="AC93" s="5289" t="str">
        <f>IF(OR(AC91="",Tablas!$H$993=0),"",IF(Principal!$F$26="H. Esquiva:","Esq","Par"))</f>
        <v/>
      </c>
      <c r="AD93" s="5718" t="str">
        <f>IFERROR(IF(OR(AC91="",Tablas!$H$993=0),"-",IF(AC91="Armas naturales",Turno_Nat_final-20+AO102,Turno_Nat_final-20+IF(ISNA(AU95),AU94,IF(AU94=AU95,AU94-10,MIN(AU94,AU95))))+IF(COUNTIF(W99:Z104,"Metal")&gt;0,-40,0)),"-")</f>
        <v>-</v>
      </c>
      <c r="AE93" s="5726" t="str">
        <f>IFERROR(IF(OR(AC91="",Tablas!$H$993=0),"-",IF(AC91="Armas naturales",AO101+AK92+IF(COUNTIF(W99:Z104,"Armas naturales mejoradas")&gt;0,50,0),IF(ISNUMBER(FIND("Proyectiles",VLOOKUP(AC91,Tabla_ArmasyEscudos,8,0))),VLOOKUP(AD100,Tabla_ArmasyEscudos,2,0)+AD101*2+IF(AS94&gt;0,AT94,AK92),VLOOKUP(AC91,Tabla_ArmasyEscudos,2,0)+AB97*2+AK92+IF(AA91="A 2 Manos",AK92,0)))+AE104),"-")</f>
        <v>-</v>
      </c>
      <c r="AF93" s="5285" t="str">
        <f>IFERROR(IF(OR(AH91="",Tablas!$H$993=0),"-",IF(AH91="Armas naturales",Principal!$H$24,IF(VLOOKUP(AH91,Tabla_ArmasyEscudos,9,0)="Conocida",Principal!$H$24,"-"))+AH103+5*MIN(4,COUNTIF(W99:Z104,"Capacidad de combate"))-10*MAX(0,AR95-Z98)),"-")</f>
        <v>-</v>
      </c>
      <c r="AG93" s="5287" t="str">
        <f>IFERROR(IF(OR(AH91="",Tablas!$H$993=0),"-",IF(AH91="Armas naturales",Principal!$H$26,IF(AND(AH93="Par",VLOOKUP(AH91,Tabla_ArmasyEscudos,9,0)&lt;&gt;"Conocida"),"-",Principal!$H$26))+AH104+5*MIN(4,COUNTIF(W99:Z104,"Capacidad de combate"))-IF(AH93="Par",10*MAX(0,AR95-Z98),0)),"-")</f>
        <v>-</v>
      </c>
      <c r="AH93" s="5289" t="str">
        <f>IF(OR(AH91="",Tablas!$H$993=0),"",IF(Principal!$F$26="H. Esquiva","Esq","Par"))</f>
        <v/>
      </c>
      <c r="AI93" s="5718" t="s">
        <v>1582</v>
      </c>
      <c r="AJ93" s="5726" t="str">
        <f>IFERROR(IF(OR(AH91="",Tablas!$H$993=0),"-",IF(AH91="Armas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1872"/>
      <c r="AN93" s="1872" t="s">
        <v>8817</v>
      </c>
      <c r="AO93" s="1872"/>
      <c r="AP93" s="1872"/>
      <c r="AQ93" s="1872" t="s">
        <v>8825</v>
      </c>
      <c r="AR93" s="1872" t="s">
        <v>8827</v>
      </c>
      <c r="AS93" s="1872" t="s">
        <v>8826</v>
      </c>
      <c r="AT93" s="1872" t="s">
        <v>1370</v>
      </c>
      <c r="AU93" s="1872" t="s">
        <v>8828</v>
      </c>
      <c r="AV93" s="1872"/>
      <c r="AW93" s="1872"/>
      <c r="AX93" s="1872"/>
      <c r="AY93" s="1872"/>
      <c r="AZ93" s="1872"/>
      <c r="BA93" s="1872"/>
      <c r="BB93" s="1872"/>
      <c r="BC93" s="1872"/>
      <c r="BD93" s="1872"/>
      <c r="BE93" s="1872"/>
    </row>
    <row r="94" spans="1:57" ht="12" customHeight="1" thickBot="1" x14ac:dyDescent="0.25">
      <c r="A94" s="1012"/>
      <c r="B94" s="513"/>
      <c r="C94" s="5293"/>
      <c r="D94" s="5226"/>
      <c r="E94" s="5227"/>
      <c r="F94" s="5228"/>
      <c r="G94" s="1829"/>
      <c r="H94" s="1828"/>
      <c r="I94" s="5232"/>
      <c r="J94" s="5233"/>
      <c r="K94" s="5233"/>
      <c r="L94" s="5233"/>
      <c r="M94" s="5233"/>
      <c r="N94" s="5233"/>
      <c r="O94" s="5233"/>
      <c r="P94" s="5233"/>
      <c r="Q94" s="5234"/>
      <c r="R94" s="614"/>
      <c r="S94" s="1012"/>
      <c r="T94" s="1012"/>
      <c r="U94" s="513"/>
      <c r="V94" s="5732"/>
      <c r="W94" s="5733"/>
      <c r="X94" s="5697"/>
      <c r="Y94" s="5702"/>
      <c r="Z94" s="5689"/>
      <c r="AA94" s="5286"/>
      <c r="AB94" s="5288"/>
      <c r="AC94" s="5290"/>
      <c r="AD94" s="5719"/>
      <c r="AE94" s="5727"/>
      <c r="AF94" s="5286"/>
      <c r="AG94" s="5288"/>
      <c r="AH94" s="5290"/>
      <c r="AI94" s="5719"/>
      <c r="AJ94" s="5727"/>
      <c r="AK94" s="790"/>
      <c r="AL94" s="2329"/>
      <c r="AM94" s="1872"/>
      <c r="AN94" s="1872" t="str">
        <f>ADDRESS(ROW(AN95),COLUMN(AN95))&amp;":"&amp;IF(AN99="",ADDRESS(ROW(AN97),COLUMN(AN97)),ADDRESS(ROW(AN99),COLUMN(AN99)))</f>
        <v>$AN$95:$AN$97</v>
      </c>
      <c r="AO94" s="1872"/>
      <c r="AP94" s="1872">
        <f>AC91</f>
        <v>0</v>
      </c>
      <c r="AQ94" s="1872" t="str">
        <f>IF(OR(AA91="A 2 manos",AA91="Proy. 2M"),"2M","")</f>
        <v/>
      </c>
      <c r="AR94" s="1872">
        <f>IFERROR(VLOOKUP(AC91,Tabla_ArmasyEscudos,IF(AQ94="2M",5,4),0),0)</f>
        <v>0</v>
      </c>
      <c r="AS94" s="1872">
        <f>IFERROR(IF(VLOOKUP(AC91,Tabla_ArmasyEscudos,18,0)&gt;0,VLOOKUP(AC91,Tabla_ArmasyEscudos,18,0)+AB97/5,0),0)</f>
        <v>0</v>
      </c>
      <c r="AT94" s="1872">
        <f>IF(AS94&lt;1,0,VLOOKUP(AS94,Tablas!$C$14:$D$33,2))</f>
        <v>0</v>
      </c>
      <c r="AU94" s="1872" t="e">
        <f>VLOOKUP(AC91,Tabla_ArmasyEscudos,3,FALSE)+AE103</f>
        <v>#N/A</v>
      </c>
      <c r="AV94" s="1872"/>
      <c r="AW94" s="1872"/>
      <c r="AX94" s="1872"/>
      <c r="AY94" s="1872"/>
      <c r="AZ94" s="1872"/>
      <c r="BA94" s="1872"/>
      <c r="BB94" s="1872"/>
      <c r="BC94" s="1872"/>
      <c r="BD94" s="1872"/>
      <c r="BE94" s="1872"/>
    </row>
    <row r="95" spans="1:57" ht="12" customHeight="1" x14ac:dyDescent="0.2">
      <c r="A95" s="1012"/>
      <c r="B95" s="513"/>
      <c r="C95" s="5293"/>
      <c r="D95" s="5295"/>
      <c r="E95" s="5295"/>
      <c r="F95" s="5295"/>
      <c r="G95" s="1829"/>
      <c r="H95" s="1823"/>
      <c r="I95" s="5229"/>
      <c r="J95" s="5230"/>
      <c r="K95" s="5230"/>
      <c r="L95" s="5230"/>
      <c r="M95" s="5230"/>
      <c r="N95" s="5230"/>
      <c r="O95" s="5230"/>
      <c r="P95" s="5230"/>
      <c r="Q95" s="5231"/>
      <c r="R95" s="614"/>
      <c r="S95" s="1012"/>
      <c r="T95" s="1012"/>
      <c r="U95" s="513"/>
      <c r="V95" s="5712" t="s">
        <v>8813</v>
      </c>
      <c r="W95" s="2298"/>
      <c r="X95" s="2396" t="s">
        <v>1368</v>
      </c>
      <c r="Y95" s="2396" t="s">
        <v>8814</v>
      </c>
      <c r="Z95" s="2396" t="s">
        <v>1352</v>
      </c>
      <c r="AA95" s="2384" t="s">
        <v>8821</v>
      </c>
      <c r="AB95" s="2385" t="s">
        <v>8822</v>
      </c>
      <c r="AC95" s="2385" t="s">
        <v>1561</v>
      </c>
      <c r="AD95" s="2385" t="s">
        <v>1574</v>
      </c>
      <c r="AE95" s="1480" t="s">
        <v>1562</v>
      </c>
      <c r="AF95" s="2384" t="s">
        <v>8821</v>
      </c>
      <c r="AG95" s="2385" t="s">
        <v>8822</v>
      </c>
      <c r="AH95" s="2385" t="s">
        <v>1561</v>
      </c>
      <c r="AI95" s="2385" t="s">
        <v>1574</v>
      </c>
      <c r="AJ95" s="1480" t="s">
        <v>1562</v>
      </c>
      <c r="AK95" s="790"/>
      <c r="AL95" s="2329"/>
      <c r="AM95" s="1872"/>
      <c r="AN95" s="1872" t="s">
        <v>1971</v>
      </c>
      <c r="AO95" s="1872"/>
      <c r="AP95" s="1872">
        <f>AH91</f>
        <v>0</v>
      </c>
      <c r="AQ95" s="1872" t="str">
        <f>IF(OR(AF91="A 2 manos",AF91="Proy. 2M"),"2M","")</f>
        <v/>
      </c>
      <c r="AR95" s="1872">
        <f>IFERROR(VLOOKUP(AH91,Tabla_ArmasyEscudos,IF(AQ95="2M",5,4),0),0)</f>
        <v>0</v>
      </c>
      <c r="AS95" s="1872">
        <f>IFERROR(IF(VLOOKUP(AC93,Tabla_ArmasyEscudos,18,0)&gt;0,VLOOKUP(AC93,Tabla_ArmasyEscudos,18,0)+AG97/5,0),0)</f>
        <v>0</v>
      </c>
      <c r="AT95" s="1872">
        <f>IF(AS95&lt;1,0,VLOOKUP(AS95,Tablas!$C$14:$D$33,2))</f>
        <v>0</v>
      </c>
      <c r="AU95" s="1872" t="e">
        <f>VLOOKUP(AH91,Tabla_ArmasyEscudos,3,FALSE)+AJ103</f>
        <v>#N/A</v>
      </c>
      <c r="AV95" s="1872"/>
      <c r="AW95" s="1872"/>
      <c r="AX95" s="1872"/>
      <c r="AY95" s="1872"/>
      <c r="AZ95" s="1872"/>
      <c r="BA95" s="1872"/>
      <c r="BB95" s="1872"/>
      <c r="BC95" s="1872"/>
      <c r="BD95" s="1872"/>
      <c r="BE95" s="1872"/>
    </row>
    <row r="96" spans="1:57" ht="12" customHeight="1" x14ac:dyDescent="0.2">
      <c r="A96" s="1012"/>
      <c r="B96" s="513"/>
      <c r="C96" s="5293"/>
      <c r="D96" s="5223"/>
      <c r="E96" s="5224"/>
      <c r="F96" s="5225"/>
      <c r="G96" s="1823"/>
      <c r="H96" s="1829"/>
      <c r="I96" s="5232"/>
      <c r="J96" s="5233"/>
      <c r="K96" s="5233"/>
      <c r="L96" s="5233"/>
      <c r="M96" s="5233"/>
      <c r="N96" s="5233"/>
      <c r="O96" s="5233"/>
      <c r="P96" s="5233"/>
      <c r="Q96" s="5234"/>
      <c r="R96" s="614"/>
      <c r="S96" s="1012"/>
      <c r="T96" s="1012"/>
      <c r="U96" s="513"/>
      <c r="V96" s="5698"/>
      <c r="W96" s="1552" t="s">
        <v>1376</v>
      </c>
      <c r="X96" s="2385" t="str">
        <f>IF(Tablas!$H$993=0,"-",IF(Zen,DES,MIN(13,DES)))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IFERROR(IF(OR(AC91="",Tablas!$H$993=0),"-",IF(AC91="Armas naturales",AO103,VLOOKUP(AC91,Tabla_ArmasyEscudos,10,0)+10*AB97/5&amp;IFERROR("/"&amp;VLOOKUP(AD100,Tabla_ArmasyEscudos,10,0)+10*AD101/5,""))),"-")</f>
        <v>-</v>
      </c>
      <c r="AD96" s="2398" t="str">
        <f>IFERROR(IF(OR(AC91="",Tablas!$H$993=0),"-",IF(AC91="Armas naturales",AO104,VLOOKUP(AC91,Tabla_ArmasyEscudos,11,0)+2*AB97/5&amp;IFERROR("/"&amp;VLOOKUP(AD100,Tabla_ArmasyEscudos,11,0)+2*AD101/5,""))),"-")</f>
        <v>-</v>
      </c>
      <c r="AE96" s="2386" t="str">
        <f>IFERROR(IF(OR(AC91="",Tablas!$H$993=0),"-",IF(AC91="Armas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IFERROR(IF(OR(AH91="",Tablas!$H$993=0),"-",IF(AH91="Armas naturales",AT103,VLOOKUP(AH91,Tabla_ArmasyEscudos,10,0)+10*AG97/5&amp;IFERROR("/"&amp;VLOOKUP(AI100,Tabla_ArmasyEscudos,10,0)+10*AI101/5,""))),"-")</f>
        <v>-</v>
      </c>
      <c r="AI96" s="2398" t="str">
        <f>IFERROR(IF(OR(AH91="",Tablas!$H$993=0),"-",IF(AH91="Armas naturales",AT104,VLOOKUP(AH91,Tabla_ArmasyEscudos,11,0)+2*AG97/5&amp;IFERROR("/"&amp;VLOOKUP(AI100,Tabla_ArmasyEscudos,11,0)+2*AI101/5,""))),"-")</f>
        <v>-</v>
      </c>
      <c r="AJ96" s="2386" t="str">
        <f>IFERROR(IF(OR(AH91="",Tablas!$H$993=0),"-",IF(AH91="Armas naturales",Presencia_final,VLOOKUP(AH91,Tabla_ArmasyEscudos,12,0)+50*MAX(AG97/5,0)&amp;IFERROR("/"&amp;VLOOKUP(AI100,Tabla_ArmasyEscudos,12,0)+50*MAX(AI101/5,0),""))),"-")</f>
        <v>-</v>
      </c>
      <c r="AK96" s="790"/>
      <c r="AL96" s="2329"/>
      <c r="AM96" s="1872"/>
      <c r="AN96" s="1872" t="s">
        <v>1972</v>
      </c>
      <c r="AO96" s="1872"/>
      <c r="AP96" s="1872"/>
      <c r="AQ96" s="1872"/>
      <c r="AR96" s="1872"/>
      <c r="AS96" s="1872"/>
      <c r="AT96" s="1872"/>
      <c r="AU96" s="1872"/>
      <c r="AV96" s="1872"/>
      <c r="AW96" s="1872"/>
      <c r="AX96" s="1872"/>
      <c r="AY96" s="1872"/>
      <c r="AZ96" s="1872"/>
      <c r="BA96" s="1872"/>
      <c r="BB96" s="1872"/>
      <c r="BC96" s="1872"/>
      <c r="BD96" s="1872"/>
      <c r="BE96" s="1872"/>
    </row>
    <row r="97" spans="1:57" ht="12" customHeight="1" x14ac:dyDescent="0.2">
      <c r="A97" s="1012"/>
      <c r="B97" s="513"/>
      <c r="C97" s="5293"/>
      <c r="D97" s="5295"/>
      <c r="E97" s="5295"/>
      <c r="F97" s="5295"/>
      <c r="G97" s="1829"/>
      <c r="H97" s="1829"/>
      <c r="I97" s="5232"/>
      <c r="J97" s="5233"/>
      <c r="K97" s="5233"/>
      <c r="L97" s="5233"/>
      <c r="M97" s="5233"/>
      <c r="N97" s="5233"/>
      <c r="O97" s="5233"/>
      <c r="P97" s="5233"/>
      <c r="Q97" s="5234"/>
      <c r="R97" s="1486"/>
      <c r="S97" s="1012"/>
      <c r="T97" s="1012"/>
      <c r="U97" s="513"/>
      <c r="V97" s="5698"/>
      <c r="W97" s="1552" t="s">
        <v>1381</v>
      </c>
      <c r="X97" s="1840" t="str">
        <f>IF(Tablas!$H$993=0,"-",IF(Zen,DES,MIN(13,DES)))</f>
        <v>-</v>
      </c>
      <c r="Y97" s="2489"/>
      <c r="Z97" s="2399" t="str">
        <f>IFERROR(MIN(X97+Y97,IF(Zen,20,13)),"-")</f>
        <v>-</v>
      </c>
      <c r="AA97" s="1843" t="str">
        <f>IF(AND(AC91&lt;&gt;"",AC91&lt;&gt;"Armas naturales"),"Calidad:","")</f>
        <v/>
      </c>
      <c r="AB97" s="1844"/>
      <c r="AC97" s="5700" t="str">
        <f>IF(AA101="Calidad munición:",IF(AD101&lt;=0,"","TA defensor:"),IF(AB97&lt;=0,"","TA defensor:"))</f>
        <v/>
      </c>
      <c r="AD97" s="5700"/>
      <c r="AE97" s="2299" t="str">
        <f>IF(AC97="TA defensor:",IF(AA101="Calidad munición:",AD101/(-5),AB97/(-5)),"")</f>
        <v/>
      </c>
      <c r="AF97" s="1843" t="str">
        <f>IF(AND(AH91&lt;&gt;"",AH91&lt;&gt;"Armas naturales"),"Calidad:","")</f>
        <v/>
      </c>
      <c r="AG97" s="1845"/>
      <c r="AH97" s="5700" t="str">
        <f>IF(AF101="Calidad munición:",IF(AI101&lt;=0,"","TA defensor:"),IF(AG97&lt;=0,"","TA defensor:"))</f>
        <v/>
      </c>
      <c r="AI97" s="5700"/>
      <c r="AJ97" s="2299" t="str">
        <f>IF(AH97="TA defensor:",IF(AF101="Calidad munición:",AI101/(-5),AG97/(-5)),"")</f>
        <v/>
      </c>
      <c r="AK97" s="790"/>
      <c r="AL97" s="2329"/>
      <c r="AM97" s="1872"/>
      <c r="AN97" s="1872" t="s">
        <v>1732</v>
      </c>
      <c r="AO97" s="1872"/>
      <c r="AP97" s="1872"/>
      <c r="AQ97" s="1872"/>
      <c r="AR97" s="1872"/>
      <c r="AS97" s="1872"/>
      <c r="AT97" s="1872"/>
      <c r="AU97" s="1872"/>
      <c r="AV97" s="1872"/>
      <c r="AW97" s="1872"/>
      <c r="AX97" s="1872"/>
      <c r="AY97" s="1872"/>
      <c r="AZ97" s="1872"/>
      <c r="BA97" s="1872"/>
      <c r="BB97" s="1872"/>
      <c r="BC97" s="1872"/>
      <c r="BD97" s="1872"/>
      <c r="BE97" s="1872"/>
    </row>
    <row r="98" spans="1:57" ht="12" customHeight="1" thickBot="1" x14ac:dyDescent="0.25">
      <c r="A98" s="1012"/>
      <c r="B98" s="513"/>
      <c r="C98" s="5293"/>
      <c r="D98" s="5223"/>
      <c r="E98" s="5224"/>
      <c r="F98" s="5225"/>
      <c r="G98" s="1828"/>
      <c r="H98" s="1829"/>
      <c r="I98" s="5322"/>
      <c r="J98" s="5323"/>
      <c r="K98" s="5323"/>
      <c r="L98" s="5323"/>
      <c r="M98" s="5323"/>
      <c r="N98" s="5323"/>
      <c r="O98" s="5323"/>
      <c r="P98" s="5323"/>
      <c r="Q98" s="5324"/>
      <c r="R98" s="1486"/>
      <c r="S98" s="1012"/>
      <c r="T98" s="1012"/>
      <c r="U98" s="604"/>
      <c r="V98" s="5699"/>
      <c r="W98" s="1553" t="s">
        <v>1386</v>
      </c>
      <c r="X98" s="2300" t="str">
        <f>IF(Tablas!$H$993=0,"-",IF(Zen,FUE-2,MIN(11,FUE-2)))</f>
        <v>-</v>
      </c>
      <c r="Y98" s="2490"/>
      <c r="Z98" s="2383" t="str">
        <f>IFERROR(MIN(20,MIN(X98+Y98,IF(Zen,20,13))+IF(COUNTIF(W99:Z104,"Fuerza excepcional")&gt;0,IF(X98+6&lt;15,6,MAX(15-X98,0)),0)),"-")</f>
        <v>-</v>
      </c>
      <c r="AA98" s="5713" t="str">
        <f>IFERROR(IF(AC91="Armas naturales","",SUBSTITUTE(VLOOKUP(AC91,Tabla_ArmasyEscudos,19,FALSE),"XXX",MAX(0,VLOOKUP(AC91,Tabla_ArmasyEscudos,17,FALSE)+VLOOKUP(Z98,Tabla_AlcanceFUE,2)))),"")</f>
        <v/>
      </c>
      <c r="AB98" s="5714"/>
      <c r="AC98" s="5714"/>
      <c r="AD98" s="5714"/>
      <c r="AE98" s="5715"/>
      <c r="AF98" s="5713" t="str">
        <f>IFERROR(IF(AH91="Armas naturales","",SUBSTITUTE(VLOOKUP(AH91,Tabla_ArmasyEscudos,19,FALSE),"XXX",MAX(0,VLOOKUP(AH91,Tabla_ArmasyEscudos,17,FALSE)+VLOOKUP(Z98,Tabla_AlcanceFUE,2)))),"")</f>
        <v/>
      </c>
      <c r="AG98" s="5714"/>
      <c r="AH98" s="5714"/>
      <c r="AI98" s="5714"/>
      <c r="AJ98" s="5715"/>
      <c r="AK98" s="790"/>
      <c r="AL98" s="2329"/>
      <c r="AM98" s="1872"/>
      <c r="AN98" s="1872" t="str">
        <f>IF(COUNTIF(W99:Z104,"Tamaño excepcional")&gt;0,"Grande","")</f>
        <v/>
      </c>
      <c r="AO98" s="1872"/>
      <c r="AP98" s="1872"/>
      <c r="AQ98" s="1872"/>
      <c r="AR98" s="1872"/>
      <c r="AS98" s="1872"/>
      <c r="AT98" s="1872"/>
      <c r="AU98" s="1872"/>
      <c r="AV98" s="1872"/>
      <c r="AW98" s="1872"/>
      <c r="AX98" s="1872"/>
      <c r="AY98" s="1872"/>
      <c r="AZ98" s="1872"/>
      <c r="BA98" s="1872"/>
      <c r="BB98" s="1872"/>
      <c r="BC98" s="1872"/>
      <c r="BD98" s="1872"/>
      <c r="BE98" s="1872"/>
    </row>
    <row r="99" spans="1:57" ht="12" customHeight="1" x14ac:dyDescent="0.2">
      <c r="A99" s="1012"/>
      <c r="B99" s="513"/>
      <c r="C99" s="5293"/>
      <c r="D99" s="5295"/>
      <c r="E99" s="5295"/>
      <c r="F99" s="5295"/>
      <c r="G99" s="1823"/>
      <c r="H99" s="1829"/>
      <c r="I99" s="5232"/>
      <c r="J99" s="5233"/>
      <c r="K99" s="5233"/>
      <c r="L99" s="5233"/>
      <c r="M99" s="5233"/>
      <c r="N99" s="5233"/>
      <c r="O99" s="5233"/>
      <c r="P99" s="5233"/>
      <c r="Q99" s="5234"/>
      <c r="R99" s="614"/>
      <c r="S99" s="1012"/>
      <c r="T99" s="1012"/>
      <c r="U99" s="513"/>
      <c r="V99" s="5698" t="s">
        <v>8793</v>
      </c>
      <c r="W99" s="4100"/>
      <c r="X99" s="4100"/>
      <c r="Y99" s="4100"/>
      <c r="Z99" s="4100"/>
      <c r="AA99" s="5720" t="str">
        <f>IFERROR(VLOOKUP(AD100,Tabla_ArmasyEscudos,19,0),"")</f>
        <v/>
      </c>
      <c r="AB99" s="5721"/>
      <c r="AC99" s="5721"/>
      <c r="AD99" s="5721"/>
      <c r="AE99" s="5722"/>
      <c r="AF99" s="5720" t="str">
        <f>IFERROR(VLOOKUP(AI100,Tabla_ArmasyEscudos,19,0),"")</f>
        <v/>
      </c>
      <c r="AG99" s="5721"/>
      <c r="AH99" s="5721"/>
      <c r="AI99" s="5721"/>
      <c r="AJ99" s="5722"/>
      <c r="AK99" s="790"/>
      <c r="AL99" s="1471"/>
      <c r="AM99" s="1872"/>
      <c r="AN99" s="1872" t="str">
        <f>IF(COUNTIF(W99:Z104,"Tamaño excepcional")&gt;0,"Enorme","")</f>
        <v/>
      </c>
      <c r="AO99" s="1872"/>
      <c r="AP99" s="1872"/>
      <c r="AQ99" s="1872"/>
      <c r="AR99" s="1872"/>
      <c r="AS99" s="1872"/>
      <c r="AT99" s="1872"/>
      <c r="AU99" s="1872"/>
      <c r="AV99" s="1872"/>
      <c r="AW99" s="1872"/>
      <c r="AX99" s="1872"/>
      <c r="AY99" s="1872"/>
      <c r="AZ99" s="1872"/>
      <c r="BA99" s="1872"/>
      <c r="BB99" s="1872"/>
      <c r="BC99" s="1872"/>
      <c r="BD99" s="1872"/>
      <c r="BE99" s="1872"/>
    </row>
    <row r="100" spans="1:57" ht="12" customHeight="1" x14ac:dyDescent="0.2">
      <c r="A100" s="1012"/>
      <c r="B100" s="513"/>
      <c r="C100" s="5293"/>
      <c r="D100" s="5223"/>
      <c r="E100" s="5224"/>
      <c r="F100" s="5225"/>
      <c r="G100" s="1829"/>
      <c r="H100" s="1829"/>
      <c r="I100" s="5229"/>
      <c r="J100" s="5230"/>
      <c r="K100" s="5230"/>
      <c r="L100" s="5230"/>
      <c r="M100" s="5230"/>
      <c r="N100" s="5230"/>
      <c r="O100" s="5230"/>
      <c r="P100" s="5230"/>
      <c r="Q100" s="5231"/>
      <c r="R100" s="1469"/>
      <c r="S100" s="1470"/>
      <c r="T100" s="1470"/>
      <c r="U100" s="1032"/>
      <c r="V100" s="5698"/>
      <c r="W100" s="5709"/>
      <c r="X100" s="5710"/>
      <c r="Y100" s="5710"/>
      <c r="Z100" s="5711"/>
      <c r="AA100" s="4747" t="str">
        <f>IFERROR(IF(AC91="Armas naturales", "Armas naturales Crit. 1:",IF(ISNUMBER(FIND("Proyectiles",VLOOKUP(AC91,Tabla_ArmasyEscudos,8,0))),"Munición:","")),"")</f>
        <v/>
      </c>
      <c r="AB100" s="4678"/>
      <c r="AC100" s="4678"/>
      <c r="AD100" s="5703"/>
      <c r="AE100" s="5704"/>
      <c r="AF100" s="4747" t="str">
        <f>IFERROR(IF(AH91="Armas naturales", "Armas naturales Crit. 1:",IF(ISNUMBER(FIND("Proyectiles",VLOOKUP(AH91,Tabla_ArmasyEscudos,8,0))),"Munición:","")),"")</f>
        <v/>
      </c>
      <c r="AG100" s="4678"/>
      <c r="AH100" s="4678"/>
      <c r="AI100" s="5703"/>
      <c r="AJ100" s="5704"/>
      <c r="AK100" s="1842"/>
      <c r="AL100" s="2329"/>
      <c r="AM100" s="1872"/>
      <c r="AN100" s="5282" t="s">
        <v>1922</v>
      </c>
      <c r="AO100" s="5282"/>
      <c r="AP100" s="1872"/>
      <c r="AQ100" s="1872"/>
      <c r="AR100" s="1872"/>
      <c r="AS100" s="1872"/>
      <c r="AT100" s="1872"/>
      <c r="AU100" s="1872"/>
      <c r="AV100" s="1872"/>
      <c r="AW100" s="1872"/>
      <c r="AX100" s="1872"/>
      <c r="AY100" s="1872"/>
      <c r="AZ100" s="1872"/>
      <c r="BA100" s="1872"/>
      <c r="BB100" s="1872"/>
      <c r="BC100" s="1872"/>
      <c r="BD100" s="1872"/>
      <c r="BE100" s="1872"/>
    </row>
    <row r="101" spans="1:57" ht="12" customHeight="1" x14ac:dyDescent="0.2">
      <c r="A101" s="1012"/>
      <c r="B101" s="513"/>
      <c r="C101" s="5293"/>
      <c r="D101" s="5223"/>
      <c r="E101" s="5224"/>
      <c r="F101" s="5225"/>
      <c r="G101" s="1823"/>
      <c r="H101" s="1829"/>
      <c r="I101" s="5232"/>
      <c r="J101" s="5233"/>
      <c r="K101" s="5233"/>
      <c r="L101" s="5233"/>
      <c r="M101" s="5233"/>
      <c r="N101" s="5233"/>
      <c r="O101" s="5233"/>
      <c r="P101" s="5233"/>
      <c r="Q101" s="5234"/>
      <c r="R101" s="614"/>
      <c r="S101" s="1012"/>
      <c r="T101" s="1012"/>
      <c r="U101" s="513"/>
      <c r="V101" s="5698"/>
      <c r="W101" s="5709"/>
      <c r="X101" s="5710"/>
      <c r="Y101" s="5710"/>
      <c r="Z101" s="5711"/>
      <c r="AA101" s="5390" t="str">
        <f>IFERROR(IF(AC91="Armas naturales", "Armas naturales Crit. 2:",IF(ISNUMBER(FIND("Proyectiles",VLOOKUP(AC91,Tabla_ArmasyEscudos,8,0))),"Calidad Munición:","")),"")</f>
        <v/>
      </c>
      <c r="AB101" s="5734"/>
      <c r="AC101" s="5734"/>
      <c r="AD101" s="5705"/>
      <c r="AE101" s="5706"/>
      <c r="AF101" s="5390" t="str">
        <f>IFERROR(IF(AH91="Armas naturales", "Armas naturales Crit. 2:",IF(ISNUMBER(FIND("Proyectiles",VLOOKUP(AH91,Tabla_ArmasyEscudos,8,0))),"Calidad Munición:","")),"")</f>
        <v/>
      </c>
      <c r="AG101" s="5734"/>
      <c r="AH101" s="5734"/>
      <c r="AI101" s="5705"/>
      <c r="AJ101" s="5706"/>
      <c r="AK101" s="790"/>
      <c r="AL101" s="2329"/>
      <c r="AM101" s="1872"/>
      <c r="AN101" s="1872" t="s">
        <v>8819</v>
      </c>
      <c r="AO101" s="1872">
        <f>VLOOKUP(AF90,Tablas!$X$47:$AF$54,7,0)</f>
        <v>40</v>
      </c>
      <c r="AP101" s="1872"/>
      <c r="AQ101" s="1872"/>
      <c r="AR101" s="1872"/>
      <c r="AS101" s="1872"/>
      <c r="AT101" s="1872" t="s">
        <v>1459</v>
      </c>
      <c r="AU101" s="1872"/>
      <c r="AV101" s="1872"/>
      <c r="AW101" s="1872"/>
      <c r="AX101" s="1872"/>
      <c r="AY101" s="1872"/>
      <c r="AZ101" s="1872"/>
      <c r="BA101" s="1872"/>
      <c r="BB101" s="1872"/>
      <c r="BC101" s="1872"/>
      <c r="BD101" s="1872"/>
      <c r="BE101" s="1872"/>
    </row>
    <row r="102" spans="1:57" ht="12" customHeight="1" x14ac:dyDescent="0.2">
      <c r="A102" s="1012"/>
      <c r="B102" s="513"/>
      <c r="C102" s="5293"/>
      <c r="D102" s="5295"/>
      <c r="E102" s="5295"/>
      <c r="F102" s="5295"/>
      <c r="G102" s="1829"/>
      <c r="H102" s="1828"/>
      <c r="I102" s="5229"/>
      <c r="J102" s="5230"/>
      <c r="K102" s="5230"/>
      <c r="L102" s="5230"/>
      <c r="M102" s="5230"/>
      <c r="N102" s="5230"/>
      <c r="O102" s="5230"/>
      <c r="P102" s="5230"/>
      <c r="Q102" s="5231"/>
      <c r="R102" s="614"/>
      <c r="S102" s="1012"/>
      <c r="T102" s="1012"/>
      <c r="U102" s="513"/>
      <c r="V102" s="5698"/>
      <c r="W102" s="5709"/>
      <c r="X102" s="5710"/>
      <c r="Y102" s="5710"/>
      <c r="Z102" s="5711"/>
      <c r="AA102" s="1123" t="str">
        <f>IF(ISNUMBER(FIND("Proyectiles",VLOOKUP(AC91,Tabla_ArmasyEscudos,8,0))),"Rango:","")</f>
        <v/>
      </c>
      <c r="AB102" s="2400" t="str">
        <f>IFERROR(IF(AA102="Rango:",VLOOKUP(AC91,Tabla_ArmasyEscudos,17,0)+IF(AS94&gt;0,VLOOKUP(AS94,Tabla_AlcanceFUE,2,0),VLOOKUP(Z98,Tabla_AlcanceFUE,2,0))&amp;" m",""),"")</f>
        <v/>
      </c>
      <c r="AC102" s="5736" t="str">
        <f>IF(ISNUMBER(FIND("Proyectiles",VLOOKUP(AC91,Tabla_ArmasyEscudos,8,0))),"Recarga:","")</f>
        <v/>
      </c>
      <c r="AD102" s="5736"/>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736" t="str">
        <f>IF(ISNUMBER(FIND("Proyectiles",VLOOKUP(AH91,Tabla_ArmasyEscudos,8,0))),"Recarga:","")</f>
        <v/>
      </c>
      <c r="AI102" s="5736"/>
      <c r="AJ102" s="2382" t="str">
        <f>IFERROR(IF(AH102="Recarga:",VLOOKUP(AH91,Tabla_ArmasyEscudos,16,0),""),"")</f>
        <v/>
      </c>
      <c r="AK102" s="790"/>
      <c r="AL102" s="2329"/>
      <c r="AM102" s="1872"/>
      <c r="AN102" s="1872" t="s">
        <v>1396</v>
      </c>
      <c r="AO102" s="1872">
        <f>MIN(VLOOKUP(AF90,Tablas!$X$47:$AF$54,2,0),20)</f>
        <v>20</v>
      </c>
      <c r="AP102" s="1872"/>
      <c r="AQ102" s="1872"/>
      <c r="AR102" s="1872"/>
      <c r="AS102" s="1872"/>
      <c r="AT102" s="1872" t="s">
        <v>1459</v>
      </c>
      <c r="AU102" s="1872"/>
      <c r="AV102" s="1872"/>
      <c r="AW102" s="1872"/>
      <c r="AX102" s="1872"/>
      <c r="AY102" s="1872"/>
      <c r="AZ102" s="1872"/>
      <c r="BA102" s="1872"/>
      <c r="BB102" s="1872"/>
      <c r="BC102" s="1872"/>
      <c r="BD102" s="1872"/>
      <c r="BE102" s="1872"/>
    </row>
    <row r="103" spans="1:57" ht="12" customHeight="1" thickBot="1" x14ac:dyDescent="0.25">
      <c r="A103" s="1470"/>
      <c r="B103" s="513"/>
      <c r="C103" s="5294"/>
      <c r="D103" s="5342"/>
      <c r="E103" s="5343"/>
      <c r="F103" s="5344"/>
      <c r="G103" s="2825"/>
      <c r="H103" s="2825"/>
      <c r="I103" s="5345"/>
      <c r="J103" s="5346"/>
      <c r="K103" s="5346"/>
      <c r="L103" s="5346"/>
      <c r="M103" s="5346"/>
      <c r="N103" s="5346"/>
      <c r="O103" s="5346"/>
      <c r="P103" s="5346"/>
      <c r="Q103" s="5347"/>
      <c r="R103" s="614"/>
      <c r="S103" s="1012"/>
      <c r="T103" s="1012"/>
      <c r="U103" s="513"/>
      <c r="V103" s="5698"/>
      <c r="W103" s="5709"/>
      <c r="X103" s="5710"/>
      <c r="Y103" s="5710"/>
      <c r="Z103" s="5711"/>
      <c r="AA103" s="5707" t="s">
        <v>1001</v>
      </c>
      <c r="AB103" s="2303" t="s">
        <v>7420</v>
      </c>
      <c r="AC103" s="2456"/>
      <c r="AD103" s="2303" t="s">
        <v>1396</v>
      </c>
      <c r="AE103" s="2458"/>
      <c r="AF103" s="5707" t="s">
        <v>1001</v>
      </c>
      <c r="AG103" s="2303" t="s">
        <v>7420</v>
      </c>
      <c r="AH103" s="2460"/>
      <c r="AI103" s="2303" t="s">
        <v>1396</v>
      </c>
      <c r="AJ103" s="2458"/>
      <c r="AK103" s="790"/>
      <c r="AL103" s="2329"/>
      <c r="AM103" s="1872"/>
      <c r="AN103" s="1872" t="s">
        <v>1970</v>
      </c>
      <c r="AO103" s="1872">
        <f>VLOOKUP(AF90,Tablas!$X$47:$AF$54,9,0)</f>
        <v>12</v>
      </c>
      <c r="AP103" s="1872"/>
      <c r="AQ103" s="1872"/>
      <c r="AR103" s="1872"/>
      <c r="AS103" s="1872"/>
      <c r="AT103" s="1872" t="s">
        <v>1459</v>
      </c>
      <c r="AU103" s="1872"/>
      <c r="AV103" s="1872"/>
      <c r="AW103" s="1872"/>
      <c r="AX103" s="1872"/>
      <c r="AY103" s="1872"/>
      <c r="AZ103" s="1872"/>
      <c r="BA103" s="1872"/>
      <c r="BB103" s="1872"/>
      <c r="BC103" s="1872"/>
      <c r="BD103" s="1872"/>
      <c r="BE103" s="1872"/>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699"/>
      <c r="W104" s="5735"/>
      <c r="X104" s="5735"/>
      <c r="Y104" s="5735"/>
      <c r="Z104" s="5735"/>
      <c r="AA104" s="5708"/>
      <c r="AB104" s="1477" t="s">
        <v>8528</v>
      </c>
      <c r="AC104" s="2457"/>
      <c r="AD104" s="2401" t="s">
        <v>1570</v>
      </c>
      <c r="AE104" s="2459"/>
      <c r="AF104" s="5708"/>
      <c r="AG104" s="1477" t="s">
        <v>8528</v>
      </c>
      <c r="AH104" s="2461"/>
      <c r="AI104" s="2401" t="s">
        <v>1570</v>
      </c>
      <c r="AJ104" s="2459"/>
      <c r="AK104" s="790"/>
      <c r="AL104" s="2329"/>
      <c r="AM104" s="1872"/>
      <c r="AN104" s="1872" t="s">
        <v>1574</v>
      </c>
      <c r="AO104" s="1872">
        <f>VLOOKUP(AF90,Tablas!$X$47:$AF$54,8,0)</f>
        <v>0</v>
      </c>
      <c r="AP104" s="1872"/>
      <c r="AQ104" s="1872"/>
      <c r="AR104" s="1872"/>
      <c r="AS104" s="1872"/>
      <c r="AT104" s="1872" t="s">
        <v>1459</v>
      </c>
      <c r="AU104" s="1872"/>
      <c r="AV104" s="1872"/>
      <c r="AW104" s="1872"/>
      <c r="AX104" s="1872"/>
      <c r="AY104" s="1872"/>
      <c r="AZ104" s="1872"/>
      <c r="BA104" s="1872"/>
      <c r="BB104" s="1872"/>
      <c r="BC104" s="1872"/>
      <c r="BD104" s="1872"/>
      <c r="BE104" s="1872"/>
    </row>
    <row r="105" spans="1:57" ht="12" customHeight="1" thickBot="1" x14ac:dyDescent="0.25">
      <c r="A105" s="1012"/>
      <c r="B105" s="513"/>
      <c r="C105" s="2649"/>
      <c r="D105" s="2649"/>
      <c r="E105" s="5334" t="s">
        <v>6701</v>
      </c>
      <c r="F105" s="5335"/>
      <c r="G105" s="5335"/>
      <c r="H105" s="5335"/>
      <c r="I105" s="5335"/>
      <c r="J105" s="5335"/>
      <c r="K105" s="5336"/>
      <c r="L105" s="5339" t="s">
        <v>6703</v>
      </c>
      <c r="M105" s="5339"/>
      <c r="N105" s="5339"/>
      <c r="O105" s="5340"/>
      <c r="P105" s="2649"/>
      <c r="Q105" s="2649"/>
      <c r="R105" s="1469"/>
      <c r="S105" s="1470"/>
      <c r="T105" s="1470"/>
      <c r="U105" s="1032"/>
      <c r="AK105" s="790"/>
      <c r="AL105" s="2329"/>
      <c r="AM105" s="1872"/>
      <c r="AN105" s="1872"/>
      <c r="AO105" s="1872"/>
      <c r="AP105" s="1872"/>
      <c r="AQ105" s="1872"/>
      <c r="AR105" s="1872"/>
      <c r="AS105" s="1872"/>
      <c r="AT105" s="1872"/>
      <c r="AU105" s="1872"/>
      <c r="AV105" s="1872"/>
      <c r="AW105" s="1872"/>
      <c r="AX105" s="1872"/>
      <c r="AY105" s="1872"/>
      <c r="AZ105" s="1872"/>
      <c r="BA105" s="1872"/>
      <c r="BB105" s="1872"/>
      <c r="BC105" s="1872"/>
      <c r="BD105" s="1872"/>
      <c r="BE105" s="1872"/>
    </row>
    <row r="106" spans="1:57" ht="12" customHeight="1" thickBot="1" x14ac:dyDescent="0.25">
      <c r="A106" s="1012"/>
      <c r="B106" s="513"/>
      <c r="C106" s="2649"/>
      <c r="D106" s="2649"/>
      <c r="E106" s="5242"/>
      <c r="F106" s="5243"/>
      <c r="G106" s="5243"/>
      <c r="H106" s="5243"/>
      <c r="I106" s="5243"/>
      <c r="J106" s="5244"/>
      <c r="K106" s="1824"/>
      <c r="L106" s="5240"/>
      <c r="M106" s="5240"/>
      <c r="N106" s="5240"/>
      <c r="O106" s="5238"/>
      <c r="P106" s="2649"/>
      <c r="Q106" s="2649"/>
      <c r="R106" s="1469"/>
      <c r="S106" s="1470"/>
      <c r="T106" s="1470"/>
      <c r="U106" s="1032"/>
      <c r="V106" s="5642" t="s">
        <v>1326</v>
      </c>
      <c r="W106" s="5643"/>
      <c r="X106" s="5716" t="s">
        <v>8801</v>
      </c>
      <c r="Y106" s="5716"/>
      <c r="Z106" s="5716"/>
      <c r="AA106" s="5716"/>
      <c r="AB106" s="5717"/>
      <c r="AC106" s="5658" t="s">
        <v>8816</v>
      </c>
      <c r="AD106" s="5659"/>
      <c r="AE106" s="5659"/>
      <c r="AF106" s="5627" t="s">
        <v>1732</v>
      </c>
      <c r="AG106" s="5628"/>
      <c r="AH106" s="5658" t="s">
        <v>8812</v>
      </c>
      <c r="AI106" s="5664"/>
      <c r="AJ106" s="2484"/>
      <c r="AK106" s="790"/>
      <c r="AL106" s="2329"/>
      <c r="AM106" s="1872"/>
      <c r="AN106" s="1872" t="s">
        <v>9517</v>
      </c>
      <c r="AO106" s="1872" t="s">
        <v>1396</v>
      </c>
      <c r="AP106" s="1872" t="s">
        <v>7420</v>
      </c>
      <c r="AQ106" s="1872" t="s">
        <v>8528</v>
      </c>
      <c r="AR106" s="1872" t="s">
        <v>1570</v>
      </c>
      <c r="AS106" s="1872"/>
      <c r="AT106" s="1872"/>
      <c r="AU106" s="1872"/>
      <c r="AV106" s="1872"/>
      <c r="AW106" s="1872"/>
      <c r="AX106" s="1872"/>
      <c r="AY106" s="1872"/>
      <c r="AZ106" s="1872"/>
      <c r="BA106" s="1872"/>
      <c r="BB106" s="1872"/>
      <c r="BC106" s="1872"/>
      <c r="BD106" s="1872"/>
      <c r="BE106" s="1872"/>
    </row>
    <row r="107" spans="1:57" ht="12" customHeight="1" x14ac:dyDescent="0.2">
      <c r="A107" s="1012"/>
      <c r="B107" s="513"/>
      <c r="C107" s="2649"/>
      <c r="D107" s="2649"/>
      <c r="E107" s="5301"/>
      <c r="F107" s="5302"/>
      <c r="G107" s="5302"/>
      <c r="H107" s="5302"/>
      <c r="I107" s="5302"/>
      <c r="J107" s="5303"/>
      <c r="K107" s="1831"/>
      <c r="L107" s="5240"/>
      <c r="M107" s="5240"/>
      <c r="N107" s="5240"/>
      <c r="O107" s="5238"/>
      <c r="P107" s="2649"/>
      <c r="Q107" s="2649"/>
      <c r="R107" s="1469"/>
      <c r="S107" s="1470"/>
      <c r="T107" s="1470"/>
      <c r="U107" s="1032"/>
      <c r="V107" s="5690" t="s">
        <v>8815</v>
      </c>
      <c r="W107" s="5691"/>
      <c r="X107" s="5692"/>
      <c r="Y107" s="5701" t="s">
        <v>1548</v>
      </c>
      <c r="Z107" s="5688">
        <f>IFERROR(VLOOKUP(V108,Tabla_CaracterísticasGéminis,2,0)+IF(COUNTIF(W115:Z120,"Metal")&gt;0,VLOOKUP(V108,Tabla_CaracterísticasGéminis,2,0),0)+IF(AF106="Grande",50,IF(AF106="Enorme",150,0)),0)</f>
        <v>0</v>
      </c>
      <c r="AA107" s="5728" t="s">
        <v>8823</v>
      </c>
      <c r="AB107" s="5729"/>
      <c r="AC107" s="5723"/>
      <c r="AD107" s="5724"/>
      <c r="AE107" s="5725"/>
      <c r="AF107" s="5728"/>
      <c r="AG107" s="5729"/>
      <c r="AH107" s="5723"/>
      <c r="AI107" s="5724"/>
      <c r="AJ107" s="5725"/>
      <c r="AK107" s="790"/>
      <c r="AL107" s="2329"/>
      <c r="AM107" s="1872"/>
      <c r="AN107" s="1872" t="b">
        <f>AA109&lt;&gt;"-"</f>
        <v>0</v>
      </c>
      <c r="AO107" s="1872" t="str">
        <f>IF(AN107,X106&amp;": "&amp;AD109&amp;" "&amp;AC107&amp;IF(AB113&gt;0," +"&amp;AB113,"")&amp;IF(AH107="",""," y "&amp;AH107&amp;IF(AG113&gt;0," +"&amp;AG113,"")),"")</f>
        <v/>
      </c>
      <c r="AP107" s="1872" t="str">
        <f>IF(AN107,X106&amp;": "&amp;AA109&amp;" "&amp;AC107&amp;IF(AB113&gt;0," +"&amp;AB113,"")&amp;IF(AH107="",""," y "&amp;AF109&amp;" "&amp;AH107&amp;IF(AG113&gt;0," +"&amp;AG113,"")),"")</f>
        <v/>
      </c>
      <c r="AQ107" s="1872" t="str">
        <f>IF(AN107,X106&amp;": "&amp;AB109&amp;" "&amp;AC107&amp;IF(AB113&gt;0," +"&amp;AB113,"")&amp;" ("&amp;AC109&amp;")"&amp;IF(AH107="",""," y "&amp;AG109&amp;" "&amp;AH107&amp;IF(AG113&gt;0," +"&amp;AG113,"")&amp;" ("&amp;AH109&amp;")"),"")</f>
        <v/>
      </c>
      <c r="AR107" s="1872" t="str">
        <f>IF(AN107,X106&amp;": "&amp;AE109&amp;" "&amp;AC107&amp;IF(AB113&gt;0," +"&amp;AB113,"")&amp;IF($AA112="-",""," ("&amp;$AA112&amp;IF($AB112="-",""," / "&amp;$AB112)&amp;")")&amp;IF(AH107="",""," y "&amp;AJ109&amp;" "&amp;AH107&amp;IF(AG113&gt;0," +"&amp;AG113,""))&amp;IF($AF112="-",""," ("&amp;$AF112&amp;IF($AG112="-",""," / "&amp;$AG112)&amp;")"),"")</f>
        <v/>
      </c>
      <c r="AS107" s="1872"/>
      <c r="AT107" s="1872"/>
      <c r="AU107" s="1872"/>
      <c r="AV107" s="1872"/>
      <c r="AW107" s="1872"/>
      <c r="AX107" s="1872"/>
      <c r="AY107" s="1872"/>
      <c r="AZ107" s="1872"/>
      <c r="BA107" s="1872"/>
      <c r="BB107" s="1872"/>
      <c r="BC107" s="1872"/>
      <c r="BD107" s="1872"/>
      <c r="BE107" s="1872"/>
    </row>
    <row r="108" spans="1:57" ht="12" customHeight="1" thickBot="1" x14ac:dyDescent="0.25">
      <c r="A108" s="1012"/>
      <c r="B108" s="513"/>
      <c r="C108" s="2649"/>
      <c r="D108" s="2649"/>
      <c r="E108" s="5235"/>
      <c r="F108" s="5236"/>
      <c r="G108" s="5236"/>
      <c r="H108" s="5236"/>
      <c r="I108" s="5236"/>
      <c r="J108" s="5237"/>
      <c r="K108" s="1831"/>
      <c r="L108" s="5240"/>
      <c r="M108" s="5240"/>
      <c r="N108" s="5240"/>
      <c r="O108" s="5238"/>
      <c r="P108" s="2649"/>
      <c r="Q108" s="2649"/>
      <c r="R108" s="1469"/>
      <c r="S108" s="1470"/>
      <c r="T108" s="1470"/>
      <c r="U108" s="2311"/>
      <c r="V108" s="5693"/>
      <c r="W108" s="5694"/>
      <c r="X108" s="5695"/>
      <c r="Y108" s="5702"/>
      <c r="Z108" s="5689"/>
      <c r="AA108" s="1481" t="s">
        <v>1568</v>
      </c>
      <c r="AB108" s="5283" t="s">
        <v>1569</v>
      </c>
      <c r="AC108" s="5284"/>
      <c r="AD108" s="2297" t="s">
        <v>1396</v>
      </c>
      <c r="AE108" s="1482" t="s">
        <v>1570</v>
      </c>
      <c r="AF108" s="1481" t="s">
        <v>1568</v>
      </c>
      <c r="AG108" s="5283" t="s">
        <v>1569</v>
      </c>
      <c r="AH108" s="5284"/>
      <c r="AI108" s="2297" t="s">
        <v>1396</v>
      </c>
      <c r="AJ108" s="1482" t="s">
        <v>1570</v>
      </c>
      <c r="AK108" s="790" t="e">
        <f>IF(Z114&lt;1,0,VLOOKUP(Z114,Tablas!$C$14:$D$33,2))</f>
        <v>#N/A</v>
      </c>
      <c r="AL108" s="2329"/>
      <c r="AM108" s="1872"/>
      <c r="AN108" s="1872"/>
      <c r="AO108" s="1872"/>
      <c r="AP108" s="1872" t="str">
        <f>IF(AN107,X106&amp;": "&amp;AA109+#REF!&amp;" "&amp;AC107&amp;IF(AB113&gt;0," +"&amp;AB113,"")&amp;IF(AH107="",""," y "&amp;AF109+#REF!&amp;" "&amp;AH107&amp;IF(AG113&gt;0," +"&amp;AG113,"")),"")</f>
        <v/>
      </c>
      <c r="AQ108" s="1872"/>
      <c r="AR108" s="1872" t="str">
        <f>IF(AN107,X106&amp;": "&amp;FLOOR(AE109*1.5,5)&amp;" "&amp;AC107&amp;IF(AB113&gt;0," +"&amp;AB113,"")&amp;IF(AH107="",""," y "&amp;FLOOR(AJ109*1.5,5)&amp;" "&amp;AH107&amp;IF(AG113&gt;0," +"&amp;AG113,"")),"")</f>
        <v/>
      </c>
      <c r="AS108" s="1872"/>
      <c r="AT108" s="1872"/>
      <c r="AU108" s="1872"/>
      <c r="AV108" s="1872"/>
      <c r="AW108" s="1872"/>
      <c r="AX108" s="1872"/>
      <c r="AY108" s="1872"/>
      <c r="AZ108" s="1872"/>
      <c r="BA108" s="1872"/>
      <c r="BB108" s="1872"/>
      <c r="BC108" s="1872"/>
      <c r="BD108" s="1872"/>
      <c r="BE108" s="1872"/>
    </row>
    <row r="109" spans="1:57" ht="12" customHeight="1" x14ac:dyDescent="0.2">
      <c r="A109" s="1012"/>
      <c r="B109" s="604"/>
      <c r="C109" s="2649"/>
      <c r="D109" s="2649"/>
      <c r="E109" s="5304"/>
      <c r="F109" s="5305"/>
      <c r="G109" s="5305"/>
      <c r="H109" s="5305"/>
      <c r="I109" s="5305"/>
      <c r="J109" s="5306"/>
      <c r="K109" s="1825"/>
      <c r="L109" s="5240"/>
      <c r="M109" s="5240"/>
      <c r="N109" s="5240"/>
      <c r="O109" s="5238"/>
      <c r="P109" s="2649"/>
      <c r="Q109" s="2649"/>
      <c r="R109" s="2310"/>
      <c r="S109" s="1470"/>
      <c r="T109" s="1470"/>
      <c r="U109" s="2309"/>
      <c r="V109" s="5730" t="s">
        <v>8808</v>
      </c>
      <c r="W109" s="5731"/>
      <c r="X109" s="5696">
        <f>IFERROR(VLOOKUP(V108,Tabla_CaracterísticasGéminis,4,0),0)</f>
        <v>0</v>
      </c>
      <c r="Y109" s="5701" t="s">
        <v>8805</v>
      </c>
      <c r="Z109" s="5688">
        <f>IFERROR(VLOOKUP(V108,Tabla_CaracterísticasGéminis,3,0)+IF(COUNTIF(W115:Z120,"Metal")&gt;0,4,0),0)</f>
        <v>0</v>
      </c>
      <c r="AA109" s="5285" t="str">
        <f>IFERROR(IF(OR(AC107="",Tablas!$H$993=0),"-",IF(AC107="Armas naturales",Principal!$H$24,IF(VLOOKUP(AC107,Tabla_ArmasyEscudos,9,0)="Conocida",Principal!$H$24,"-"))+AC119+5*MIN(4,COUNTIF(W115:Z120,"Capacidad de combate"))-10*MAX(0,AR110-Z114)),"-")</f>
        <v>-</v>
      </c>
      <c r="AB109" s="5287" t="str">
        <f>IFERROR(IF(OR(AC107="",Tablas!$H$993=0),"-",IF(AC107="Armas naturales",Principal!$H$26,IF(AND(AC109="Par",VLOOKUP(AC107,Tabla_ArmasyEscudos,9,0)&lt;&gt;"Conocida"),"-",Principal!$H$26))+AC120+5*MIN(4,COUNTIF(W115:Z120,"Capacidad de combate"))-IF(AC109="Par",10*MAX(0,AR110-Z114),0)),"-")</f>
        <v>-</v>
      </c>
      <c r="AC109" s="5289" t="str">
        <f>IF(OR(AC107="",Tablas!$H$993=0),"",IF(Principal!$F$26="H. Esquiva:","Esq","Par"))</f>
        <v/>
      </c>
      <c r="AD109" s="5718" t="str">
        <f>IFERROR(IF(OR(AC107="",Tablas!$H$993=0),"-",IF(AC107="Armas naturales",Turno_Nat_final-20+AO118,Turno_Nat_final-20+IF(ISNA(AU111),AU110,IF(AU110=AU111,AU110-10,MIN(AU110,AU111))))+IF(COUNTIF(W115:Z120,"Metal")&gt;0,-40,0)),"-")</f>
        <v>-</v>
      </c>
      <c r="AE109" s="5726" t="str">
        <f>IFERROR(IF(OR(AC107="",Tablas!$H$993=0),"-",IF(AC107="Armas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85" t="str">
        <f>IFERROR(IF(OR(AH107="",Tablas!$H$993=0),"-",IF(AH107="Armas naturales",Principal!$H$24,IF(VLOOKUP(AH107,Tabla_ArmasyEscudos,9,0)="Conocida",Principal!$H$24,"-"))+AH119+5*MIN(4,COUNTIF(W115:Z120,"Capacidad de combate"))-10*MAX(0,AR111-Z114)),"-")</f>
        <v>-</v>
      </c>
      <c r="AG109" s="5287" t="str">
        <f>IFERROR(IF(OR(AH107="",Tablas!$H$993=0),"-",IF(AH107="Armas naturales",Principal!$H$26,IF(AND(AH109="Par",VLOOKUP(AH107,Tabla_ArmasyEscudos,9,0)&lt;&gt;"Conocida"),"-",Principal!$H$26))+AH120+5*MIN(4,COUNTIF(W115:Z120,"Capacidad de combate"))-IF(AH109="Par",10*MAX(0,AR111-Z114),0)),"-")</f>
        <v>-</v>
      </c>
      <c r="AH109" s="5289" t="str">
        <f>IF(OR(AH107="",Tablas!$H$993=0),"",IF(Principal!$F$26="H. Esquiva","Esq","Par"))</f>
        <v/>
      </c>
      <c r="AI109" s="5718" t="s">
        <v>1582</v>
      </c>
      <c r="AJ109" s="5726" t="str">
        <f>IFERROR(IF(OR(AH107="",Tablas!$H$993=0),"-",IF(AH107="Armas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1872"/>
      <c r="AN109" s="1872" t="s">
        <v>8817</v>
      </c>
      <c r="AO109" s="1872"/>
      <c r="AP109" s="1872"/>
      <c r="AQ109" s="1872" t="s">
        <v>8825</v>
      </c>
      <c r="AR109" s="1872" t="s">
        <v>8827</v>
      </c>
      <c r="AS109" s="1872" t="s">
        <v>8826</v>
      </c>
      <c r="AT109" s="1872" t="s">
        <v>1370</v>
      </c>
      <c r="AU109" s="1872" t="s">
        <v>8828</v>
      </c>
      <c r="AV109" s="1872"/>
      <c r="AW109" s="1872"/>
      <c r="AX109" s="1872"/>
      <c r="AY109" s="1872"/>
      <c r="AZ109" s="1872"/>
      <c r="BA109" s="1872"/>
      <c r="BB109" s="1872"/>
      <c r="BC109" s="1872"/>
      <c r="BD109" s="1872"/>
      <c r="BE109" s="1872"/>
    </row>
    <row r="110" spans="1:57" ht="12" customHeight="1" thickBot="1" x14ac:dyDescent="0.25">
      <c r="A110" s="1012"/>
      <c r="B110" s="513"/>
      <c r="C110" s="2649"/>
      <c r="D110" s="2649"/>
      <c r="E110" s="5235"/>
      <c r="F110" s="5236"/>
      <c r="G110" s="5236"/>
      <c r="H110" s="5236"/>
      <c r="I110" s="5236"/>
      <c r="J110" s="5237"/>
      <c r="K110" s="1831"/>
      <c r="L110" s="5240"/>
      <c r="M110" s="5240"/>
      <c r="N110" s="5240"/>
      <c r="O110" s="5238"/>
      <c r="P110" s="2649"/>
      <c r="Q110" s="2649"/>
      <c r="R110" s="1469"/>
      <c r="S110" s="1470"/>
      <c r="T110" s="1470"/>
      <c r="U110" s="1032"/>
      <c r="V110" s="5732"/>
      <c r="W110" s="5733"/>
      <c r="X110" s="5697"/>
      <c r="Y110" s="5702"/>
      <c r="Z110" s="5689"/>
      <c r="AA110" s="5286"/>
      <c r="AB110" s="5288"/>
      <c r="AC110" s="5290"/>
      <c r="AD110" s="5719"/>
      <c r="AE110" s="5727"/>
      <c r="AF110" s="5286"/>
      <c r="AG110" s="5288"/>
      <c r="AH110" s="5290"/>
      <c r="AI110" s="5719"/>
      <c r="AJ110" s="5727"/>
      <c r="AK110" s="790"/>
      <c r="AL110" s="2329"/>
      <c r="AM110" s="1872"/>
      <c r="AN110" s="1872" t="str">
        <f>ADDRESS(ROW(AN111),COLUMN(AN111))&amp;":"&amp;IF(AN115="",ADDRESS(ROW(AN113),COLUMN(AN113)),ADDRESS(ROW(AN115),COLUMN(AN115)))</f>
        <v>$AN$111:$AN$113</v>
      </c>
      <c r="AO110" s="1872"/>
      <c r="AP110" s="1872">
        <f>AC107</f>
        <v>0</v>
      </c>
      <c r="AQ110" s="1872" t="str">
        <f>IF(OR(AA107="A 2 manos",AA107="Proy. 2M"),"2M","")</f>
        <v/>
      </c>
      <c r="AR110" s="1872">
        <f>IFERROR(VLOOKUP(AC107,Tabla_ArmasyEscudos,IF(AQ110="2M",5,4),0),0)</f>
        <v>0</v>
      </c>
      <c r="AS110" s="1872">
        <f>IFERROR(IF(VLOOKUP(AC107,Tabla_ArmasyEscudos,18,0)&gt;0,VLOOKUP(AC107,Tabla_ArmasyEscudos,18,0)+AB113/5,0),0)</f>
        <v>0</v>
      </c>
      <c r="AT110" s="1872">
        <f>IF(AS110&lt;1,0,VLOOKUP(AS110,Tablas!$C$14:$D$33,2))</f>
        <v>0</v>
      </c>
      <c r="AU110" s="1872" t="e">
        <f>VLOOKUP(AC107,Tabla_ArmasyEscudos,3,FALSE)+AE119</f>
        <v>#N/A</v>
      </c>
      <c r="AV110" s="1872"/>
      <c r="AW110" s="1872"/>
      <c r="AX110" s="1872"/>
      <c r="AY110" s="1872"/>
      <c r="AZ110" s="1872"/>
      <c r="BA110" s="1872"/>
      <c r="BB110" s="1872"/>
      <c r="BC110" s="1872"/>
      <c r="BD110" s="1872"/>
      <c r="BE110" s="1872"/>
    </row>
    <row r="111" spans="1:57" ht="12" customHeight="1" x14ac:dyDescent="0.2">
      <c r="A111" s="1012"/>
      <c r="B111" s="513"/>
      <c r="C111" s="2649"/>
      <c r="D111" s="2649"/>
      <c r="E111" s="5304"/>
      <c r="F111" s="5305"/>
      <c r="G111" s="5305"/>
      <c r="H111" s="5305"/>
      <c r="I111" s="5305"/>
      <c r="J111" s="5306"/>
      <c r="K111" s="1831"/>
      <c r="L111" s="5240"/>
      <c r="M111" s="5240"/>
      <c r="N111" s="5240"/>
      <c r="O111" s="5238"/>
      <c r="P111" s="2649"/>
      <c r="Q111" s="2649"/>
      <c r="R111" s="1469"/>
      <c r="S111" s="1470"/>
      <c r="T111" s="1470"/>
      <c r="U111" s="1032"/>
      <c r="V111" s="5712" t="s">
        <v>8813</v>
      </c>
      <c r="W111" s="2298"/>
      <c r="X111" s="2396" t="s">
        <v>1368</v>
      </c>
      <c r="Y111" s="2396" t="s">
        <v>8814</v>
      </c>
      <c r="Z111" s="2396" t="s">
        <v>1352</v>
      </c>
      <c r="AA111" s="2384" t="s">
        <v>8821</v>
      </c>
      <c r="AB111" s="2385" t="s">
        <v>8822</v>
      </c>
      <c r="AC111" s="2385" t="s">
        <v>1561</v>
      </c>
      <c r="AD111" s="2385" t="s">
        <v>1574</v>
      </c>
      <c r="AE111" s="1480" t="s">
        <v>1562</v>
      </c>
      <c r="AF111" s="2384" t="s">
        <v>8821</v>
      </c>
      <c r="AG111" s="2385" t="s">
        <v>8822</v>
      </c>
      <c r="AH111" s="2385" t="s">
        <v>1561</v>
      </c>
      <c r="AI111" s="2385" t="s">
        <v>1574</v>
      </c>
      <c r="AJ111" s="1480" t="s">
        <v>1562</v>
      </c>
      <c r="AK111" s="790"/>
      <c r="AL111" s="2329"/>
      <c r="AM111" s="1872"/>
      <c r="AN111" s="1872" t="s">
        <v>1971</v>
      </c>
      <c r="AO111" s="1872"/>
      <c r="AP111" s="1872">
        <f>AH107</f>
        <v>0</v>
      </c>
      <c r="AQ111" s="1872" t="str">
        <f>IF(OR(AF107="A 2 manos",AF107="Proy. 2M"),"2M","")</f>
        <v/>
      </c>
      <c r="AR111" s="1872">
        <f>IFERROR(VLOOKUP(AH107,Tabla_ArmasyEscudos,IF(AQ111="2M",5,4),0),0)</f>
        <v>0</v>
      </c>
      <c r="AS111" s="1872">
        <f>IFERROR(IF(VLOOKUP(AC109,Tabla_ArmasyEscudos,18,0)&gt;0,VLOOKUP(AC109,Tabla_ArmasyEscudos,18,0)+AG113/5,0),0)</f>
        <v>0</v>
      </c>
      <c r="AT111" s="1872">
        <f>IF(AS111&lt;1,0,VLOOKUP(AS111,Tablas!$C$14:$D$33,2))</f>
        <v>0</v>
      </c>
      <c r="AU111" s="1872" t="e">
        <f>VLOOKUP(AH107,Tabla_ArmasyEscudos,3,FALSE)+AJ119</f>
        <v>#N/A</v>
      </c>
      <c r="AV111" s="1872"/>
      <c r="AW111" s="1872"/>
      <c r="AX111" s="1872"/>
      <c r="AY111" s="1872"/>
      <c r="AZ111" s="1872"/>
      <c r="BA111" s="1872"/>
      <c r="BB111" s="1872"/>
      <c r="BC111" s="1872"/>
      <c r="BD111" s="1872"/>
      <c r="BE111" s="1872"/>
    </row>
    <row r="112" spans="1:57" ht="12" customHeight="1" x14ac:dyDescent="0.2">
      <c r="A112" s="1012"/>
      <c r="B112" s="513"/>
      <c r="C112" s="2649"/>
      <c r="D112" s="2649"/>
      <c r="E112" s="5307"/>
      <c r="F112" s="5308"/>
      <c r="G112" s="5308"/>
      <c r="H112" s="5308"/>
      <c r="I112" s="5308"/>
      <c r="J112" s="5309"/>
      <c r="K112" s="1825"/>
      <c r="L112" s="5240"/>
      <c r="M112" s="5240"/>
      <c r="N112" s="5240"/>
      <c r="O112" s="5238"/>
      <c r="P112" s="2649"/>
      <c r="Q112" s="2649"/>
      <c r="R112" s="1469"/>
      <c r="S112" s="1470"/>
      <c r="T112" s="1470"/>
      <c r="U112" s="1032"/>
      <c r="V112" s="5698"/>
      <c r="W112" s="1552" t="s">
        <v>1376</v>
      </c>
      <c r="X112" s="1839" t="str">
        <f>IF(Tablas!$H$993=0,"-",IF(Zen,DES,MIN(13,DES)))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IFERROR(IF(OR(AC107="",Tablas!$H$993=0),"-",IF(AC107="Armas naturales",AO119,VLOOKUP(AC107,Tabla_ArmasyEscudos,10,0)+10*AB113/5&amp;IFERROR("/"&amp;VLOOKUP(AD116,Tabla_ArmasyEscudos,10,0)+10*AD117/5,""))),"-")</f>
        <v>-</v>
      </c>
      <c r="AD112" s="2398" t="str">
        <f>IFERROR(IF(OR(AC107="",Tablas!$H$993=0),"-",IF(AC107="Armas naturales",AO120,VLOOKUP(AC107,Tabla_ArmasyEscudos,11,0)+2*AB113/5&amp;IFERROR("/"&amp;VLOOKUP(AD116,Tabla_ArmasyEscudos,11,0)+2*AD117/5,""))),"-")</f>
        <v>-</v>
      </c>
      <c r="AE112" s="2386" t="str">
        <f>IFERROR(IF(OR(AC107="",Tablas!$H$993=0),"-",IF(AC107="Armas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IFERROR(IF(OR(AH107="",Tablas!$H$993=0),"-",IF(AH107="Armas naturales",AT119,VLOOKUP(AH107,Tabla_ArmasyEscudos,10,0)+10*AG113/5&amp;IFERROR("/"&amp;VLOOKUP(AI116,Tabla_ArmasyEscudos,10,0)+10*AI117/5,""))),"-")</f>
        <v>-</v>
      </c>
      <c r="AI112" s="2398" t="str">
        <f>IFERROR(IF(OR(AH107="",Tablas!$H$993=0),"-",IF(AH107="Armas naturales",AT120,VLOOKUP(AH107,Tabla_ArmasyEscudos,11,0)+2*AG113/5&amp;IFERROR("/"&amp;VLOOKUP(AI116,Tabla_ArmasyEscudos,11,0)+2*AI117/5,""))),"-")</f>
        <v>-</v>
      </c>
      <c r="AJ112" s="2386" t="str">
        <f>IFERROR(IF(OR(AH107="",Tablas!$H$993=0),"-",IF(AH107="Armas naturales",Presencia_final,VLOOKUP(AH107,Tabla_ArmasyEscudos,12,0)+50*MAX(AG113/5,0)&amp;IFERROR("/"&amp;VLOOKUP(AI116,Tabla_ArmasyEscudos,12,0)+50*MAX(AI117/5,0),""))),"-")</f>
        <v>-</v>
      </c>
      <c r="AK112" s="790"/>
      <c r="AL112" s="2329"/>
      <c r="AM112" s="1872"/>
      <c r="AN112" s="1872" t="s">
        <v>1972</v>
      </c>
      <c r="AO112" s="1872"/>
      <c r="AP112" s="1872"/>
      <c r="AQ112" s="1872"/>
      <c r="AR112" s="1872"/>
      <c r="AS112" s="1872"/>
      <c r="AT112" s="1872"/>
      <c r="AU112" s="1872"/>
      <c r="AV112" s="1872"/>
      <c r="AW112" s="1872"/>
      <c r="AX112" s="1872"/>
      <c r="AY112" s="1872"/>
      <c r="AZ112" s="1872"/>
      <c r="BA112" s="1872"/>
      <c r="BB112" s="1872"/>
      <c r="BC112" s="1872"/>
      <c r="BD112" s="1872"/>
      <c r="BE112" s="1872"/>
    </row>
    <row r="113" spans="1:57" ht="12" customHeight="1" x14ac:dyDescent="0.2">
      <c r="A113" s="1012"/>
      <c r="B113" s="513"/>
      <c r="C113" s="2649"/>
      <c r="D113" s="2649"/>
      <c r="E113" s="5316" t="s">
        <v>6702</v>
      </c>
      <c r="F113" s="5317"/>
      <c r="G113" s="5317"/>
      <c r="H113" s="5317"/>
      <c r="I113" s="5317"/>
      <c r="J113" s="5317"/>
      <c r="K113" s="5318"/>
      <c r="L113" s="5240"/>
      <c r="M113" s="5240"/>
      <c r="N113" s="5240"/>
      <c r="O113" s="5238"/>
      <c r="P113" s="2649"/>
      <c r="Q113" s="2649"/>
      <c r="R113" s="1469"/>
      <c r="S113" s="1470"/>
      <c r="T113" s="1470"/>
      <c r="U113" s="1032"/>
      <c r="V113" s="5698"/>
      <c r="W113" s="1552" t="s">
        <v>1381</v>
      </c>
      <c r="X113" s="1840" t="str">
        <f>IF(Tablas!$H$993=0,"-",IF(Zen,DES,MIN(13,DES)))</f>
        <v>-</v>
      </c>
      <c r="Y113" s="2486"/>
      <c r="Z113" s="2399" t="str">
        <f>IFERROR(MIN(X113+Y113,IF(Zen,20,13)),"-")</f>
        <v>-</v>
      </c>
      <c r="AA113" s="1843" t="str">
        <f>IF(AND(AC107&lt;&gt;"",AC107&lt;&gt;"Armas naturales"),"Calidad:","")</f>
        <v/>
      </c>
      <c r="AB113" s="1845"/>
      <c r="AC113" s="5700" t="str">
        <f>IF(AA117="Calidad munición:",IF(AD117&lt;=0,"","TA defensor:"),IF(AB113&lt;=0,"","TA defensor:"))</f>
        <v/>
      </c>
      <c r="AD113" s="5700"/>
      <c r="AE113" s="2299" t="str">
        <f>IF(AC113="TA defensor:",IF(AA117="Calidad munición:",AD117/(-5),AB113/(-5)),"")</f>
        <v/>
      </c>
      <c r="AF113" s="1843" t="str">
        <f>IF(AND(AH107&lt;&gt;"",AH107&lt;&gt;"Armas naturales"),"Calidad:","")</f>
        <v/>
      </c>
      <c r="AG113" s="1845"/>
      <c r="AH113" s="5700" t="str">
        <f>IF(AF117="Calidad munición:",IF(AI117&lt;=0,"","TA defensor:"),IF(AG113&lt;=0,"","TA defensor:"))</f>
        <v/>
      </c>
      <c r="AI113" s="5700"/>
      <c r="AJ113" s="2299" t="str">
        <f>IF(AH113="TA defensor:",IF(AF117="Calidad munición:",AI117/(-5),AG113/(-5)),"")</f>
        <v/>
      </c>
      <c r="AK113" s="790"/>
      <c r="AL113" s="2329"/>
      <c r="AM113" s="1872"/>
      <c r="AN113" s="1872" t="s">
        <v>1732</v>
      </c>
      <c r="AO113" s="1872"/>
      <c r="AP113" s="1872"/>
      <c r="AQ113" s="1872"/>
      <c r="AR113" s="1872"/>
      <c r="AS113" s="1872"/>
      <c r="AT113" s="1872"/>
      <c r="AU113" s="1872"/>
      <c r="AV113" s="1872"/>
      <c r="AW113" s="1872"/>
      <c r="AX113" s="1872"/>
      <c r="AY113" s="1872"/>
      <c r="AZ113" s="1872"/>
      <c r="BA113" s="1872"/>
      <c r="BB113" s="1872"/>
      <c r="BC113" s="1872"/>
      <c r="BD113" s="1872"/>
      <c r="BE113" s="1872"/>
    </row>
    <row r="114" spans="1:57" ht="12" customHeight="1" thickBot="1" x14ac:dyDescent="0.25">
      <c r="A114" s="1012"/>
      <c r="B114" s="513"/>
      <c r="C114" s="2649"/>
      <c r="D114" s="2649"/>
      <c r="E114" s="5310"/>
      <c r="F114" s="5311"/>
      <c r="G114" s="5311"/>
      <c r="H114" s="5311"/>
      <c r="I114" s="5311"/>
      <c r="J114" s="5312"/>
      <c r="K114" s="1824"/>
      <c r="L114" s="5240"/>
      <c r="M114" s="5240"/>
      <c r="N114" s="5240"/>
      <c r="O114" s="5238"/>
      <c r="P114" s="2649"/>
      <c r="Q114" s="2649"/>
      <c r="R114" s="1469"/>
      <c r="S114" s="1470"/>
      <c r="T114" s="1470"/>
      <c r="U114" s="1032"/>
      <c r="V114" s="5699"/>
      <c r="W114" s="1553" t="s">
        <v>1386</v>
      </c>
      <c r="X114" s="2300" t="str">
        <f>IF(Tablas!$H$993=0,"-",IF(Zen,FUE-2,MIN(11,FUE-2)))</f>
        <v>-</v>
      </c>
      <c r="Y114" s="2487"/>
      <c r="Z114" s="2383" t="str">
        <f>IFERROR(MIN(20,MIN(X114+Y114,IF(Zen,20,13))+IF(COUNTIF(W115:Z120,"Fuerza excepcional")&gt;0,IF(X114+6&lt;15,6,MAX(15-X114,0)),0)),"-")</f>
        <v>-</v>
      </c>
      <c r="AA114" s="5713" t="str">
        <f>IFERROR(IF(AC107="Armas naturales","",VLOOKUP(AC107,Tabla_ArmasyEscudos,19,0)),"")</f>
        <v/>
      </c>
      <c r="AB114" s="5714"/>
      <c r="AC114" s="5714"/>
      <c r="AD114" s="5714"/>
      <c r="AE114" s="5715"/>
      <c r="AF114" s="5713" t="str">
        <f>IFERROR(IF(AH107="Armas naturales","",VLOOKUP(AH107,Tabla_ArmasyEscudos,19,0)),"")</f>
        <v/>
      </c>
      <c r="AG114" s="5714"/>
      <c r="AH114" s="5714"/>
      <c r="AI114" s="5714"/>
      <c r="AJ114" s="5715"/>
      <c r="AK114" s="790"/>
      <c r="AL114" s="2329"/>
      <c r="AM114" s="1872"/>
      <c r="AN114" s="1872" t="str">
        <f>IF(COUNTIF(W115:Z120,"Tamaño excepcional")&gt;0,"Grande","")</f>
        <v/>
      </c>
      <c r="AO114" s="1872"/>
      <c r="AP114" s="1872"/>
      <c r="AQ114" s="1872"/>
      <c r="AR114" s="1872"/>
      <c r="AS114" s="1872"/>
      <c r="AT114" s="1872"/>
      <c r="AU114" s="1872"/>
      <c r="AV114" s="1872"/>
      <c r="AW114" s="1872"/>
      <c r="AX114" s="1872"/>
      <c r="AY114" s="1872"/>
      <c r="AZ114" s="1872"/>
      <c r="BA114" s="1872"/>
      <c r="BB114" s="1872"/>
      <c r="BC114" s="1872"/>
      <c r="BD114" s="1872"/>
      <c r="BE114" s="1872"/>
    </row>
    <row r="115" spans="1:57" ht="12" customHeight="1" x14ac:dyDescent="0.2">
      <c r="A115" s="1012"/>
      <c r="B115" s="513"/>
      <c r="C115" s="2649"/>
      <c r="D115" s="2649"/>
      <c r="E115" s="5235"/>
      <c r="F115" s="5236"/>
      <c r="G115" s="5236"/>
      <c r="H115" s="5236"/>
      <c r="I115" s="5236"/>
      <c r="J115" s="5237"/>
      <c r="K115" s="1831"/>
      <c r="L115" s="5240"/>
      <c r="M115" s="5240"/>
      <c r="N115" s="5240"/>
      <c r="O115" s="5238"/>
      <c r="P115" s="2649"/>
      <c r="Q115" s="2649"/>
      <c r="R115" s="1469"/>
      <c r="S115" s="1470"/>
      <c r="T115" s="1470"/>
      <c r="U115" s="1032"/>
      <c r="V115" s="5698" t="s">
        <v>8793</v>
      </c>
      <c r="W115" s="4100"/>
      <c r="X115" s="4100"/>
      <c r="Y115" s="4100"/>
      <c r="Z115" s="4100"/>
      <c r="AA115" s="5720" t="str">
        <f>IFERROR(VLOOKUP(AD116,Tabla_ArmasyEscudos,19,0),"")</f>
        <v/>
      </c>
      <c r="AB115" s="5721"/>
      <c r="AC115" s="5721"/>
      <c r="AD115" s="5721"/>
      <c r="AE115" s="5722"/>
      <c r="AF115" s="5720" t="str">
        <f>IFERROR(VLOOKUP(AI116,Tabla_ArmasyEscudos,19,0),"")</f>
        <v/>
      </c>
      <c r="AG115" s="5721"/>
      <c r="AH115" s="5721"/>
      <c r="AI115" s="5721"/>
      <c r="AJ115" s="5722"/>
      <c r="AK115" s="790"/>
      <c r="AL115" s="1471"/>
      <c r="AM115" s="1872"/>
      <c r="AN115" s="1872" t="str">
        <f>IF(COUNTIF(W115:Z120,"Tamaño excepcional")&gt;0,"Enorme","")</f>
        <v/>
      </c>
      <c r="AO115" s="1872"/>
      <c r="AP115" s="1872"/>
      <c r="AQ115" s="1872"/>
      <c r="AR115" s="1872"/>
      <c r="AS115" s="1872"/>
      <c r="AT115" s="1872"/>
      <c r="AU115" s="1872"/>
      <c r="AV115" s="1872"/>
      <c r="AW115" s="1872"/>
      <c r="AX115" s="1872"/>
      <c r="AY115" s="1872"/>
      <c r="AZ115" s="1872"/>
      <c r="BA115" s="1872"/>
      <c r="BB115" s="1872"/>
      <c r="BC115" s="1872"/>
      <c r="BD115" s="1872"/>
      <c r="BE115" s="1872"/>
    </row>
    <row r="116" spans="1:57" ht="12" customHeight="1" x14ac:dyDescent="0.2">
      <c r="A116" s="1012"/>
      <c r="B116" s="513"/>
      <c r="C116" s="2649"/>
      <c r="D116" s="2649"/>
      <c r="E116" s="5304"/>
      <c r="F116" s="5305"/>
      <c r="G116" s="5305"/>
      <c r="H116" s="5305"/>
      <c r="I116" s="5305"/>
      <c r="J116" s="5306"/>
      <c r="K116" s="1832"/>
      <c r="L116" s="5240"/>
      <c r="M116" s="5240"/>
      <c r="N116" s="5240"/>
      <c r="O116" s="5238"/>
      <c r="P116" s="2649"/>
      <c r="Q116" s="2649"/>
      <c r="R116" s="1469"/>
      <c r="S116" s="1470"/>
      <c r="T116" s="1470"/>
      <c r="U116" s="1032"/>
      <c r="V116" s="5698"/>
      <c r="W116" s="5709"/>
      <c r="X116" s="5710"/>
      <c r="Y116" s="5710"/>
      <c r="Z116" s="5711"/>
      <c r="AA116" s="4747" t="str">
        <f>IFERROR(IF(AC107="Armas naturales", "Armas naturales Crit. 1:",IF(ISNUMBER(FIND("Proyectiles",VLOOKUP(AC107,Tabla_ArmasyEscudos,8,0))),"Munición:","")),"")</f>
        <v/>
      </c>
      <c r="AB116" s="4678"/>
      <c r="AC116" s="4678"/>
      <c r="AD116" s="5703"/>
      <c r="AE116" s="5704"/>
      <c r="AF116" s="4747" t="str">
        <f>IFERROR(IF(AH107="Armas naturales", "Armas naturales Crit. 1:",IF(ISNUMBER(FIND("Proyectiles",VLOOKUP(AH107,Tabla_ArmasyEscudos,8,0))),"Munición:","")),"")</f>
        <v/>
      </c>
      <c r="AG116" s="4678"/>
      <c r="AH116" s="4678"/>
      <c r="AI116" s="5703"/>
      <c r="AJ116" s="5704"/>
      <c r="AK116" s="1842"/>
      <c r="AL116" s="1471"/>
      <c r="AM116" s="1872"/>
      <c r="AN116" s="5282" t="s">
        <v>1922</v>
      </c>
      <c r="AO116" s="5282"/>
      <c r="AP116" s="1872"/>
      <c r="AQ116" s="1872"/>
      <c r="AR116" s="1872"/>
      <c r="AS116" s="1872"/>
      <c r="AT116" s="1872"/>
      <c r="AU116" s="1872"/>
      <c r="AV116" s="1872"/>
      <c r="AW116" s="1872"/>
      <c r="AX116" s="1872"/>
      <c r="AY116" s="1872"/>
      <c r="AZ116" s="1872"/>
      <c r="BA116" s="1872"/>
      <c r="BB116" s="1872"/>
      <c r="BC116" s="1872"/>
      <c r="BD116" s="1872"/>
      <c r="BE116" s="1872"/>
    </row>
    <row r="117" spans="1:57" ht="12" customHeight="1" x14ac:dyDescent="0.2">
      <c r="A117" s="1012"/>
      <c r="B117" s="513"/>
      <c r="C117" s="2649"/>
      <c r="D117" s="2649"/>
      <c r="E117" s="5301"/>
      <c r="F117" s="5302"/>
      <c r="G117" s="5302"/>
      <c r="H117" s="5302"/>
      <c r="I117" s="5302"/>
      <c r="J117" s="5303"/>
      <c r="K117" s="1832"/>
      <c r="L117" s="5240"/>
      <c r="M117" s="5240"/>
      <c r="N117" s="5240"/>
      <c r="O117" s="5238"/>
      <c r="P117" s="2649"/>
      <c r="Q117" s="2649"/>
      <c r="R117" s="1469"/>
      <c r="S117" s="1470"/>
      <c r="T117" s="1470"/>
      <c r="U117" s="1032"/>
      <c r="V117" s="5698"/>
      <c r="W117" s="5709"/>
      <c r="X117" s="5710"/>
      <c r="Y117" s="5710"/>
      <c r="Z117" s="5711"/>
      <c r="AA117" s="5390" t="str">
        <f>IFERROR(IF(AC107="Armas naturales", "Armas naturales Crit. 2:",IF(ISNUMBER(FIND("Proyectiles",VLOOKUP(AC107,Tabla_ArmasyEscudos,8,0))),"Calidad Munición:","")),"")</f>
        <v/>
      </c>
      <c r="AB117" s="5734"/>
      <c r="AC117" s="5734"/>
      <c r="AD117" s="5705"/>
      <c r="AE117" s="5706"/>
      <c r="AF117" s="5390" t="str">
        <f>IFERROR(IF(AH107="Armas naturales", "Armas naturales Crit. 2:",IF(ISNUMBER(FIND("Proyectiles",VLOOKUP(AH107,Tabla_ArmasyEscudos,8,0))),"Calidad Munición:","")),"")</f>
        <v/>
      </c>
      <c r="AG117" s="5734"/>
      <c r="AH117" s="5734"/>
      <c r="AI117" s="5705"/>
      <c r="AJ117" s="5706"/>
      <c r="AK117" s="790"/>
      <c r="AL117" s="1471"/>
      <c r="AM117" s="1872"/>
      <c r="AN117" s="1872" t="s">
        <v>8819</v>
      </c>
      <c r="AO117" s="1872">
        <f>VLOOKUP(AF106,Tablas!$X$47:$AF$54,7,0)</f>
        <v>40</v>
      </c>
      <c r="AP117" s="1872"/>
      <c r="AQ117" s="1872"/>
      <c r="AR117" s="1872"/>
      <c r="AS117" s="1872"/>
      <c r="AT117" s="1872" t="s">
        <v>1459</v>
      </c>
      <c r="AU117" s="1872"/>
      <c r="AV117" s="1872"/>
      <c r="AW117" s="1872"/>
      <c r="AX117" s="1872"/>
      <c r="AY117" s="1872"/>
      <c r="AZ117" s="1872"/>
      <c r="BA117" s="1872"/>
      <c r="BB117" s="1872"/>
      <c r="BC117" s="1872"/>
      <c r="BD117" s="1872"/>
      <c r="BE117" s="1872"/>
    </row>
    <row r="118" spans="1:57" ht="12" customHeight="1" x14ac:dyDescent="0.2">
      <c r="A118" s="1012"/>
      <c r="B118" s="513"/>
      <c r="C118" s="2649"/>
      <c r="D118" s="2649"/>
      <c r="E118" s="5235"/>
      <c r="F118" s="5236"/>
      <c r="G118" s="5236"/>
      <c r="H118" s="5236"/>
      <c r="I118" s="5236"/>
      <c r="J118" s="5237"/>
      <c r="K118" s="1825"/>
      <c r="L118" s="5240"/>
      <c r="M118" s="5240"/>
      <c r="N118" s="5240"/>
      <c r="O118" s="5238"/>
      <c r="P118" s="2649"/>
      <c r="Q118" s="2649"/>
      <c r="R118" s="1469"/>
      <c r="S118" s="1470"/>
      <c r="T118" s="1470"/>
      <c r="U118" s="1032"/>
      <c r="V118" s="5698"/>
      <c r="W118" s="4100"/>
      <c r="X118" s="4100"/>
      <c r="Y118" s="4100"/>
      <c r="Z118" s="4100"/>
      <c r="AA118" s="1123" t="str">
        <f>IF(ISNUMBER(FIND("Proyectiles",VLOOKUP(AC107,Tabla_ArmasyEscudos,8,0))),"Rango:","")</f>
        <v/>
      </c>
      <c r="AB118" s="2400" t="str">
        <f>IFERROR(IF(AA118="Rango:",VLOOKUP(AC107,Tabla_ArmasyEscudos,17,0)+IF(AS110&gt;0,VLOOKUP(AS110,Tabla_AlcanceFUE,2,0),VLOOKUP(Z114,Tabla_AlcanceFUE,2,0))&amp;" m",""),"")</f>
        <v/>
      </c>
      <c r="AC118" s="5736" t="str">
        <f>IF(ISNUMBER(FIND("Proyectiles",VLOOKUP(AC107,Tabla_ArmasyEscudos,8,0))),"Recarga:","")</f>
        <v/>
      </c>
      <c r="AD118" s="5736"/>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736" t="str">
        <f>IF(ISNUMBER(FIND("Proyectiles",VLOOKUP(AH107,Tabla_ArmasyEscudos,8,0))),"Recarga:","")</f>
        <v/>
      </c>
      <c r="AI118" s="5736"/>
      <c r="AJ118" s="2382" t="str">
        <f>IFERROR(IF(AH118="Recarga:",VLOOKUP(AH107,Tabla_ArmasyEscudos,16,0),""),"")</f>
        <v/>
      </c>
      <c r="AK118" s="790"/>
      <c r="AL118" s="1471"/>
      <c r="AM118" s="1872"/>
      <c r="AN118" s="1872" t="s">
        <v>1396</v>
      </c>
      <c r="AO118" s="1872">
        <f>MIN(VLOOKUP(AF106,Tablas!$X$47:$AF$54,2,0),20)</f>
        <v>20</v>
      </c>
      <c r="AP118" s="1872"/>
      <c r="AQ118" s="1872"/>
      <c r="AR118" s="1872"/>
      <c r="AS118" s="1872"/>
      <c r="AT118" s="1872" t="s">
        <v>1459</v>
      </c>
      <c r="AU118" s="1872"/>
      <c r="AV118" s="1872"/>
      <c r="AW118" s="1872"/>
      <c r="AX118" s="1872"/>
      <c r="AY118" s="1872"/>
      <c r="AZ118" s="1872"/>
      <c r="BA118" s="1872"/>
      <c r="BB118" s="1872"/>
      <c r="BC118" s="1872"/>
      <c r="BD118" s="1872"/>
      <c r="BE118" s="1872"/>
    </row>
    <row r="119" spans="1:57" ht="12" customHeight="1" x14ac:dyDescent="0.2">
      <c r="A119" s="1012"/>
      <c r="B119" s="513"/>
      <c r="C119" s="2649"/>
      <c r="D119" s="2649"/>
      <c r="E119" s="5301"/>
      <c r="F119" s="5302"/>
      <c r="G119" s="5302"/>
      <c r="H119" s="5302"/>
      <c r="I119" s="5302"/>
      <c r="J119" s="5303"/>
      <c r="K119" s="1831"/>
      <c r="L119" s="5240"/>
      <c r="M119" s="5240"/>
      <c r="N119" s="5240"/>
      <c r="O119" s="5238"/>
      <c r="P119" s="2649"/>
      <c r="Q119" s="2649"/>
      <c r="R119" s="1469"/>
      <c r="S119" s="1470"/>
      <c r="T119" s="1470"/>
      <c r="U119" s="1032"/>
      <c r="V119" s="5698"/>
      <c r="W119" s="5709"/>
      <c r="X119" s="5710"/>
      <c r="Y119" s="5710"/>
      <c r="Z119" s="5711"/>
      <c r="AA119" s="5707" t="s">
        <v>1001</v>
      </c>
      <c r="AB119" s="2303" t="s">
        <v>7420</v>
      </c>
      <c r="AC119" s="2460"/>
      <c r="AD119" s="2303" t="s">
        <v>1396</v>
      </c>
      <c r="AE119" s="2458"/>
      <c r="AF119" s="5707" t="s">
        <v>1001</v>
      </c>
      <c r="AG119" s="2303" t="s">
        <v>7420</v>
      </c>
      <c r="AH119" s="2460"/>
      <c r="AI119" s="2303" t="s">
        <v>1396</v>
      </c>
      <c r="AJ119" s="2458"/>
      <c r="AK119" s="790"/>
      <c r="AL119" s="1471"/>
      <c r="AM119" s="1872"/>
      <c r="AN119" s="1872" t="s">
        <v>1970</v>
      </c>
      <c r="AO119" s="1872">
        <f>VLOOKUP(AF106,Tablas!$X$47:$AF$54,9,0)</f>
        <v>12</v>
      </c>
      <c r="AP119" s="1872"/>
      <c r="AQ119" s="1872"/>
      <c r="AR119" s="1872"/>
      <c r="AS119" s="1872"/>
      <c r="AT119" s="1872" t="s">
        <v>1459</v>
      </c>
      <c r="AU119" s="1872"/>
      <c r="AV119" s="1872"/>
      <c r="AW119" s="1872"/>
      <c r="AX119" s="1872"/>
      <c r="AY119" s="1872"/>
      <c r="AZ119" s="1872"/>
      <c r="BA119" s="1872"/>
      <c r="BB119" s="1872"/>
      <c r="BC119" s="1872"/>
      <c r="BD119" s="1872"/>
      <c r="BE119" s="1872"/>
    </row>
    <row r="120" spans="1:57" ht="12" customHeight="1" thickBot="1" x14ac:dyDescent="0.25">
      <c r="A120" s="1012"/>
      <c r="B120" s="513"/>
      <c r="C120" s="2649"/>
      <c r="D120" s="2649"/>
      <c r="E120" s="5313"/>
      <c r="F120" s="5314"/>
      <c r="G120" s="5314"/>
      <c r="H120" s="5314"/>
      <c r="I120" s="5314"/>
      <c r="J120" s="5315"/>
      <c r="K120" s="2306"/>
      <c r="L120" s="5241"/>
      <c r="M120" s="5241"/>
      <c r="N120" s="5241"/>
      <c r="O120" s="5239"/>
      <c r="P120" s="2649"/>
      <c r="Q120" s="2649"/>
      <c r="R120" s="1469"/>
      <c r="S120" s="1470"/>
      <c r="T120" s="1470"/>
      <c r="U120" s="1032"/>
      <c r="V120" s="5699"/>
      <c r="W120" s="5735"/>
      <c r="X120" s="5735"/>
      <c r="Y120" s="5735"/>
      <c r="Z120" s="5735"/>
      <c r="AA120" s="5708"/>
      <c r="AB120" s="1477" t="s">
        <v>8528</v>
      </c>
      <c r="AC120" s="2461"/>
      <c r="AD120" s="2401" t="s">
        <v>1570</v>
      </c>
      <c r="AE120" s="2459"/>
      <c r="AF120" s="5708"/>
      <c r="AG120" s="1477" t="s">
        <v>8528</v>
      </c>
      <c r="AH120" s="2461"/>
      <c r="AI120" s="2401" t="s">
        <v>1570</v>
      </c>
      <c r="AJ120" s="2459"/>
      <c r="AK120" s="790"/>
      <c r="AL120" s="1471"/>
      <c r="AM120" s="1872"/>
      <c r="AN120" s="1872" t="s">
        <v>1574</v>
      </c>
      <c r="AO120" s="1872">
        <f>VLOOKUP(AF106,Tablas!$X$47:$AF$54,8,0)</f>
        <v>0</v>
      </c>
      <c r="AP120" s="1872"/>
      <c r="AQ120" s="1872"/>
      <c r="AR120" s="1872"/>
      <c r="AS120" s="1872"/>
      <c r="AT120" s="1872" t="s">
        <v>1459</v>
      </c>
      <c r="AU120" s="1872"/>
      <c r="AV120" s="1872"/>
      <c r="AW120" s="1872"/>
      <c r="AX120" s="1872"/>
      <c r="AY120" s="1872"/>
      <c r="AZ120" s="1872"/>
      <c r="BA120" s="1872"/>
      <c r="BB120" s="1872"/>
      <c r="BC120" s="1872"/>
      <c r="BD120" s="1872"/>
      <c r="BE120" s="1872"/>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1872"/>
      <c r="AN121" s="1872"/>
      <c r="AO121" s="1872"/>
      <c r="AP121" s="2924"/>
      <c r="AQ121" s="2924"/>
      <c r="AR121" s="2924"/>
      <c r="AS121" s="2924"/>
      <c r="AT121" s="2924"/>
      <c r="AU121" s="2924"/>
      <c r="AV121" s="1872"/>
      <c r="AW121" s="1872"/>
      <c r="AX121" s="1872"/>
      <c r="AY121" s="1872"/>
      <c r="AZ121" s="1872"/>
      <c r="BA121" s="1872"/>
      <c r="BB121" s="1872"/>
      <c r="BC121" s="1872"/>
      <c r="BD121" s="1872"/>
      <c r="BE121" s="1872"/>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642" t="s">
        <v>1326</v>
      </c>
      <c r="W122" s="5643"/>
      <c r="X122" s="5716" t="s">
        <v>8802</v>
      </c>
      <c r="Y122" s="5716"/>
      <c r="Z122" s="5716"/>
      <c r="AA122" s="5716"/>
      <c r="AB122" s="5717"/>
      <c r="AC122" s="5658" t="s">
        <v>8816</v>
      </c>
      <c r="AD122" s="5659"/>
      <c r="AE122" s="5659"/>
      <c r="AF122" s="5627" t="s">
        <v>1732</v>
      </c>
      <c r="AG122" s="5628"/>
      <c r="AH122" s="5658" t="s">
        <v>8812</v>
      </c>
      <c r="AI122" s="5664"/>
      <c r="AJ122" s="2484"/>
      <c r="AK122" s="790"/>
      <c r="AL122" s="1471"/>
      <c r="AM122" s="1872"/>
      <c r="AN122" s="1872" t="s">
        <v>9517</v>
      </c>
      <c r="AO122" s="1872" t="s">
        <v>1396</v>
      </c>
      <c r="AP122" s="1872" t="s">
        <v>7420</v>
      </c>
      <c r="AQ122" s="1872" t="s">
        <v>8528</v>
      </c>
      <c r="AR122" s="1872" t="s">
        <v>1570</v>
      </c>
      <c r="AS122" s="1872"/>
      <c r="AT122" s="1872"/>
      <c r="AU122" s="1872"/>
      <c r="AV122" s="1872"/>
      <c r="AW122" s="1872"/>
      <c r="AX122" s="1872"/>
      <c r="AY122" s="1872"/>
      <c r="AZ122" s="1872"/>
      <c r="BA122" s="1872"/>
      <c r="BB122" s="1872"/>
      <c r="BC122" s="1872"/>
      <c r="BD122" s="1872"/>
      <c r="BE122" s="1872"/>
    </row>
    <row r="123" spans="1:57" ht="12" customHeight="1" x14ac:dyDescent="0.2">
      <c r="A123" s="1012"/>
      <c r="B123" s="513"/>
      <c r="C123" s="5205" t="s">
        <v>9827</v>
      </c>
      <c r="D123" s="5206"/>
      <c r="E123" s="5206"/>
      <c r="F123" s="5206"/>
      <c r="G123" s="5206"/>
      <c r="H123" s="5206"/>
      <c r="I123" s="5206"/>
      <c r="J123" s="5206"/>
      <c r="K123" s="5206"/>
      <c r="L123" s="5206"/>
      <c r="M123" s="5206"/>
      <c r="N123" s="5206"/>
      <c r="O123" s="5206"/>
      <c r="P123" s="5206"/>
      <c r="Q123" s="5207"/>
      <c r="R123" s="1469"/>
      <c r="S123" s="1470"/>
      <c r="T123" s="1470"/>
      <c r="U123" s="1032"/>
      <c r="V123" s="5690" t="s">
        <v>8815</v>
      </c>
      <c r="W123" s="5691"/>
      <c r="X123" s="5692"/>
      <c r="Y123" s="5701" t="s">
        <v>1548</v>
      </c>
      <c r="Z123" s="5688">
        <f>IFERROR(VLOOKUP(V124,Tabla_CaracterísticasGéminis,2,0)+IF(COUNTIF(W131:Z136,"Metal")&gt;0,VLOOKUP(V124,Tabla_CaracterísticasGéminis,2,0),0)+IF(AF122="Grande",50,IF(AF122="Enorme",150,0)),0)</f>
        <v>0</v>
      </c>
      <c r="AA123" s="5728" t="s">
        <v>8823</v>
      </c>
      <c r="AB123" s="5729"/>
      <c r="AC123" s="5723"/>
      <c r="AD123" s="5724"/>
      <c r="AE123" s="5725"/>
      <c r="AF123" s="5728"/>
      <c r="AG123" s="5729"/>
      <c r="AH123" s="5723"/>
      <c r="AI123" s="5724"/>
      <c r="AJ123" s="5725"/>
      <c r="AK123" s="790"/>
      <c r="AL123" s="1471"/>
      <c r="AM123" s="1872"/>
      <c r="AN123" s="1872" t="b">
        <f>AA125&lt;&gt;"-"</f>
        <v>0</v>
      </c>
      <c r="AO123" s="1872" t="str">
        <f>IF(AN123,X122&amp;": "&amp;AD125&amp;" "&amp;AC123&amp;IF(AB129&gt;0," +"&amp;AB129,"")&amp;IF(AH123="",""," y "&amp;AH123&amp;IF(AG129&gt;0," +"&amp;AG129,"")),"")</f>
        <v/>
      </c>
      <c r="AP123" s="1872" t="str">
        <f>IF(AN123,X122&amp;": "&amp;AA125&amp;" "&amp;AC123&amp;IF(AB129&gt;0," +"&amp;AB129,"")&amp;IF(AH123="",""," y "&amp;AF125&amp;" "&amp;AH123&amp;IF(AG129&gt;0," +"&amp;AG129,"")),"")</f>
        <v/>
      </c>
      <c r="AQ123" s="1872" t="str">
        <f>IF(AN123,X122&amp;": "&amp;AB125&amp;" "&amp;AC123&amp;IF(AB129&gt;0," +"&amp;AB129,"")&amp;" ("&amp;AC125&amp;")"&amp;IF(AH123="",""," y "&amp;AG125&amp;" "&amp;AH123&amp;IF(AG129&gt;0," +"&amp;AG129,"")&amp;" ("&amp;AH125&amp;")"),"")</f>
        <v/>
      </c>
      <c r="AR123" s="1872" t="str">
        <f>IF(AN123,X122&amp;": "&amp;AE125&amp;" "&amp;AC123&amp;IF(AB129&gt;0," +"&amp;AB129,"")&amp;IF($AA128="-",""," ("&amp;$AA128&amp;IF($AB128="-",""," / "&amp;$AB128)&amp;")")&amp;IF(AH123="",""," y "&amp;AJ125&amp;" "&amp;AH123&amp;IF(AG129&gt;0," +"&amp;AG129,""))&amp;IF($AF128="-",""," ("&amp;$AF128&amp;IF($AG128="-",""," / "&amp;$AG128)&amp;")"),"")</f>
        <v/>
      </c>
      <c r="AS123" s="1872"/>
      <c r="AT123" s="1872"/>
      <c r="AU123" s="1872"/>
      <c r="AV123" s="1872"/>
      <c r="AW123" s="1872"/>
      <c r="AX123" s="1872"/>
      <c r="AY123" s="1872"/>
      <c r="AZ123" s="1872"/>
      <c r="BA123" s="1872"/>
      <c r="BB123" s="1872"/>
      <c r="BC123" s="1872"/>
      <c r="BD123" s="1872"/>
      <c r="BE123" s="1872"/>
    </row>
    <row r="124" spans="1:57" ht="12" customHeight="1" thickBot="1" x14ac:dyDescent="0.25">
      <c r="A124" s="1012"/>
      <c r="B124" s="513"/>
      <c r="C124" s="3966"/>
      <c r="D124" s="3967"/>
      <c r="E124" s="3967"/>
      <c r="F124" s="3967"/>
      <c r="G124" s="3967"/>
      <c r="H124" s="3967"/>
      <c r="I124" s="3967"/>
      <c r="J124" s="3967"/>
      <c r="K124" s="3967"/>
      <c r="L124" s="3967"/>
      <c r="M124" s="3967"/>
      <c r="N124" s="3967"/>
      <c r="O124" s="3967"/>
      <c r="P124" s="3967"/>
      <c r="Q124" s="3968"/>
      <c r="R124" s="1469"/>
      <c r="S124" s="1470"/>
      <c r="T124" s="1470"/>
      <c r="U124" s="1032"/>
      <c r="V124" s="5693"/>
      <c r="W124" s="5694"/>
      <c r="X124" s="5695"/>
      <c r="Y124" s="5702"/>
      <c r="Z124" s="5689"/>
      <c r="AA124" s="1481" t="s">
        <v>1568</v>
      </c>
      <c r="AB124" s="5283" t="s">
        <v>1569</v>
      </c>
      <c r="AC124" s="5284"/>
      <c r="AD124" s="2297" t="s">
        <v>1396</v>
      </c>
      <c r="AE124" s="1482" t="s">
        <v>1570</v>
      </c>
      <c r="AF124" s="1481" t="s">
        <v>1568</v>
      </c>
      <c r="AG124" s="5283" t="s">
        <v>1569</v>
      </c>
      <c r="AH124" s="5284"/>
      <c r="AI124" s="2297" t="s">
        <v>1396</v>
      </c>
      <c r="AJ124" s="1482" t="s">
        <v>1570</v>
      </c>
      <c r="AK124" s="790" t="e">
        <f>IF(Z130&lt;1,0,VLOOKUP(Z130,Tablas!$C$14:$D$33,2))</f>
        <v>#N/A</v>
      </c>
      <c r="AL124" s="1471"/>
      <c r="AM124" s="1872"/>
      <c r="AN124" s="1872"/>
      <c r="AO124" s="1872"/>
      <c r="AP124" s="1872"/>
      <c r="AQ124" s="1872"/>
      <c r="AR124" s="1872"/>
      <c r="AS124" s="1872"/>
      <c r="AT124" s="1872"/>
      <c r="AU124" s="1872"/>
      <c r="AV124" s="1872"/>
      <c r="AW124" s="1872"/>
      <c r="AX124" s="1872"/>
      <c r="AY124" s="1872"/>
      <c r="AZ124" s="1872"/>
      <c r="BA124" s="1872"/>
      <c r="BB124" s="1872"/>
      <c r="BC124" s="1872"/>
      <c r="BD124" s="1872"/>
      <c r="BE124" s="1872"/>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730" t="s">
        <v>8808</v>
      </c>
      <c r="W125" s="5731"/>
      <c r="X125" s="5696">
        <f>IFERROR(VLOOKUP(V124,Tabla_CaracterísticasGéminis,4,0),0)</f>
        <v>0</v>
      </c>
      <c r="Y125" s="5701" t="s">
        <v>8805</v>
      </c>
      <c r="Z125" s="5688">
        <f>IFERROR(VLOOKUP(V124,Tabla_CaracterísticasGéminis,3,0)+IF(COUNTIF(W131:Z136,"Metal")&gt;0,4,0),0)</f>
        <v>0</v>
      </c>
      <c r="AA125" s="5285" t="str">
        <f>IFERROR(IF(OR(AC123="",Tablas!$H$993=0),"-",IF(AC123="Armas naturales",Principal!$H$24,IF(VLOOKUP(AC123,Tabla_ArmasyEscudos,9,0)="Conocida",Principal!$H$24,"-"))+AC135+5*MIN(4,COUNTIF(W131:Z136,"Capacidad de combate"))-10*MAX(0,AR126-Z130)),"-")</f>
        <v>-</v>
      </c>
      <c r="AB125" s="5287" t="str">
        <f>IFERROR(IF(OR(AC123="",Tablas!$H$993=0),"-",IF(AC123="Armas naturales",Principal!$H$26,IF(AND(AC125="Par",VLOOKUP(AC123,Tabla_ArmasyEscudos,9,0)&lt;&gt;"Conocida"),"-",Principal!$H$26))+AC136+5*MIN(4,COUNTIF(W131:Z136,"Capacidad de combate"))-IF(AC125="Par",10*MAX(0,AR126-Z130),0)),"-")</f>
        <v>-</v>
      </c>
      <c r="AC125" s="5289" t="str">
        <f>IF(OR(AC123="",Tablas!$H$993=0),"",IF(Principal!$F$26="H. Esquiva:","Esq","Par"))</f>
        <v/>
      </c>
      <c r="AD125" s="5718" t="str">
        <f>IFERROR(IF(OR(AC123="",Tablas!$H$993=0),"-",IF(AC123="Armas naturales",Turno_Nat_final-20+AO134,Turno_Nat_final-20+IF(ISNA(AU127),AU126,IF(AU126=AU127,AU126-10,MIN(AU126,AU127))))+IF(COUNTIF(W131:Z136,"Metal")&gt;0,-40,0)),"-")</f>
        <v>-</v>
      </c>
      <c r="AE125" s="5726" t="str">
        <f>IFERROR(IF(OR(AC123="",Tablas!$H$993=0),"-",IF(AC123="Armas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85" t="str">
        <f>IFERROR(IF(OR(AH123="",Tablas!$H$993=0),"-",IF(AH123="Armas naturales",Principal!$H$24,IF(VLOOKUP(AH123,Tabla_ArmasyEscudos,9,0)="Conocida",Principal!$H$24,"-"))+AH135+5*MIN(4,COUNTIF(W131:Z136,"Capacidad de combate"))-10*MAX(0,AR127-Z130)),"-")</f>
        <v>-</v>
      </c>
      <c r="AG125" s="5287" t="str">
        <f>IFERROR(IF(OR(AH123="",Tablas!$H$993=0),"-",IF(AH123="Armas naturales",Principal!$H$26,IF(AND(AH125="Par",VLOOKUP(AH123,Tabla_ArmasyEscudos,9,0)&lt;&gt;"Conocida"),"-",Principal!$H$26))+AH136+5*MIN(4,COUNTIF(W131:Z136,"Capacidad de combate"))-IF(AH125="Par",10*MAX(0,AR127-Z130),0)),"-")</f>
        <v>-</v>
      </c>
      <c r="AH125" s="5289" t="str">
        <f>IF(OR(AH123="",Tablas!$H$993=0),"",IF(Principal!$F$26="H. Esquiva","Esq","Par"))</f>
        <v/>
      </c>
      <c r="AI125" s="5718" t="s">
        <v>1582</v>
      </c>
      <c r="AJ125" s="5726" t="str">
        <f>IFERROR(IF(OR(AH123="",Tablas!$H$993=0),"-",IF(AH123="Armas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1872"/>
      <c r="AN125" s="1872" t="s">
        <v>8817</v>
      </c>
      <c r="AO125" s="1872"/>
      <c r="AP125" s="1872"/>
      <c r="AQ125" s="1872" t="s">
        <v>8825</v>
      </c>
      <c r="AR125" s="1872" t="s">
        <v>8827</v>
      </c>
      <c r="AS125" s="1872" t="s">
        <v>8826</v>
      </c>
      <c r="AT125" s="1872" t="s">
        <v>1370</v>
      </c>
      <c r="AU125" s="1872" t="s">
        <v>8828</v>
      </c>
      <c r="AV125" s="1872"/>
      <c r="AW125" s="1872"/>
      <c r="AX125" s="1872"/>
      <c r="AY125" s="1872"/>
      <c r="AZ125" s="1872"/>
      <c r="BA125" s="1872"/>
      <c r="BB125" s="1872"/>
      <c r="BC125" s="1872"/>
      <c r="BD125" s="1872"/>
      <c r="BE125" s="1872"/>
    </row>
    <row r="126" spans="1:57" ht="12" customHeight="1" thickBot="1" x14ac:dyDescent="0.25">
      <c r="A126" s="1012"/>
      <c r="B126" s="513"/>
      <c r="C126" s="3197" t="s">
        <v>9826</v>
      </c>
      <c r="D126" s="3198"/>
      <c r="E126" s="3198"/>
      <c r="F126" s="3198"/>
      <c r="G126" s="3198"/>
      <c r="H126" s="3198"/>
      <c r="I126" s="3198"/>
      <c r="J126" s="3198"/>
      <c r="K126" s="3198"/>
      <c r="L126" s="3198"/>
      <c r="M126" s="3198"/>
      <c r="N126" s="3198"/>
      <c r="O126" s="3198"/>
      <c r="P126" s="3198"/>
      <c r="Q126" s="3199"/>
      <c r="R126" s="1469"/>
      <c r="S126" s="1470"/>
      <c r="T126" s="1470"/>
      <c r="U126" s="1032"/>
      <c r="V126" s="5732"/>
      <c r="W126" s="5733"/>
      <c r="X126" s="5697"/>
      <c r="Y126" s="5702"/>
      <c r="Z126" s="5689"/>
      <c r="AA126" s="5286"/>
      <c r="AB126" s="5288"/>
      <c r="AC126" s="5290"/>
      <c r="AD126" s="5719"/>
      <c r="AE126" s="5727"/>
      <c r="AF126" s="5286"/>
      <c r="AG126" s="5288"/>
      <c r="AH126" s="5290"/>
      <c r="AI126" s="5719"/>
      <c r="AJ126" s="5727"/>
      <c r="AK126" s="790"/>
      <c r="AL126" s="1471"/>
      <c r="AM126" s="2892"/>
      <c r="AN126" s="1872" t="str">
        <f>ADDRESS(ROW(AN127),COLUMN(AN127))&amp;":"&amp;IF(AN131="",ADDRESS(ROW(AN129),COLUMN(AN129)),ADDRESS(ROW(AN131),COLUMN(AN131)))</f>
        <v>$AN$127:$AN$129</v>
      </c>
      <c r="AO126" s="1872"/>
      <c r="AP126" s="1872">
        <f>AC123</f>
        <v>0</v>
      </c>
      <c r="AQ126" s="1872" t="str">
        <f>IF(OR(AA123="A 2 manos",AA123="Proy. 2M"),"2M","")</f>
        <v/>
      </c>
      <c r="AR126" s="1872">
        <f>IFERROR(VLOOKUP(AC123,Tabla_ArmasyEscudos,IF(AQ126="2M",5,4),0),0)</f>
        <v>0</v>
      </c>
      <c r="AS126" s="1872">
        <f>IFERROR(IF(VLOOKUP(AC123,Tabla_ArmasyEscudos,18,0)&gt;0,VLOOKUP(AC123,Tabla_ArmasyEscudos,18,0)+AB129/5,0),0)</f>
        <v>0</v>
      </c>
      <c r="AT126" s="1872">
        <f>IF(AS126&lt;1,0,VLOOKUP(AS126,Tablas!$C$14:$D$33,2))</f>
        <v>0</v>
      </c>
      <c r="AU126" s="1872" t="e">
        <f>VLOOKUP(AC123,Tabla_ArmasyEscudos,3,FALSE)+AE135</f>
        <v>#N/A</v>
      </c>
      <c r="AV126" s="1872"/>
      <c r="AW126" s="1872"/>
      <c r="AX126" s="1872"/>
      <c r="AY126" s="1872"/>
      <c r="AZ126" s="1872"/>
      <c r="BA126" s="1872"/>
      <c r="BB126" s="1872"/>
      <c r="BC126" s="1872"/>
      <c r="BD126" s="1872"/>
      <c r="BE126" s="1872"/>
    </row>
    <row r="127" spans="1:57" ht="12" customHeight="1" x14ac:dyDescent="0.2">
      <c r="A127" s="1012"/>
      <c r="B127" s="513"/>
      <c r="C127" s="5737"/>
      <c r="D127" s="5738"/>
      <c r="E127" s="5738"/>
      <c r="F127" s="5738"/>
      <c r="G127" s="5738"/>
      <c r="H127" s="5738"/>
      <c r="I127" s="5738"/>
      <c r="J127" s="5738"/>
      <c r="K127" s="5738"/>
      <c r="L127" s="5738"/>
      <c r="M127" s="5738"/>
      <c r="N127" s="5738"/>
      <c r="O127" s="5738"/>
      <c r="P127" s="5738"/>
      <c r="Q127" s="5739"/>
      <c r="R127" s="1469"/>
      <c r="S127" s="1470"/>
      <c r="T127" s="1470"/>
      <c r="U127" s="1032"/>
      <c r="V127" s="5712" t="s">
        <v>8813</v>
      </c>
      <c r="W127" s="2298"/>
      <c r="X127" s="2396" t="s">
        <v>1368</v>
      </c>
      <c r="Y127" s="2396" t="s">
        <v>8814</v>
      </c>
      <c r="Z127" s="2396" t="s">
        <v>1352</v>
      </c>
      <c r="AA127" s="2384" t="s">
        <v>8821</v>
      </c>
      <c r="AB127" s="2385" t="s">
        <v>8822</v>
      </c>
      <c r="AC127" s="2385" t="s">
        <v>1561</v>
      </c>
      <c r="AD127" s="2385" t="s">
        <v>1574</v>
      </c>
      <c r="AE127" s="1480" t="s">
        <v>1562</v>
      </c>
      <c r="AF127" s="2384" t="s">
        <v>8821</v>
      </c>
      <c r="AG127" s="2385" t="s">
        <v>8822</v>
      </c>
      <c r="AH127" s="2385" t="s">
        <v>1561</v>
      </c>
      <c r="AI127" s="2385" t="s">
        <v>1574</v>
      </c>
      <c r="AJ127" s="1480" t="s">
        <v>1562</v>
      </c>
      <c r="AK127" s="790"/>
      <c r="AL127" s="1471"/>
      <c r="AM127" s="1872"/>
      <c r="AN127" s="1872" t="s">
        <v>1971</v>
      </c>
      <c r="AO127" s="1872"/>
      <c r="AP127" s="1872">
        <f>AH123</f>
        <v>0</v>
      </c>
      <c r="AQ127" s="1872" t="str">
        <f>IF(OR(AF123="A 2 manos",AF123="Proy. 2M"),"2M","")</f>
        <v/>
      </c>
      <c r="AR127" s="1872">
        <f>IFERROR(VLOOKUP(AH123,Tabla_ArmasyEscudos,IF(AQ127="2M",5,4),0),0)</f>
        <v>0</v>
      </c>
      <c r="AS127" s="1872">
        <f>IFERROR(IF(VLOOKUP(AC125,Tabla_ArmasyEscudos,18,0)&gt;0,VLOOKUP(AC125,Tabla_ArmasyEscudos,18,0)+AG129/5,0),0)</f>
        <v>0</v>
      </c>
      <c r="AT127" s="1872">
        <f>IF(AS127&lt;1,0,VLOOKUP(AS127,Tablas!$C$14:$D$33,2))</f>
        <v>0</v>
      </c>
      <c r="AU127" s="1872" t="e">
        <f>VLOOKUP(AH123,Tabla_ArmasyEscudos,3,FALSE)+AJ135</f>
        <v>#N/A</v>
      </c>
      <c r="AV127" s="1872"/>
      <c r="AW127" s="1872"/>
      <c r="AX127" s="1872"/>
      <c r="AY127" s="1872"/>
      <c r="AZ127" s="1872"/>
      <c r="BA127" s="1872"/>
      <c r="BB127" s="1872"/>
      <c r="BC127" s="1872"/>
      <c r="BD127" s="1872"/>
      <c r="BE127" s="1872"/>
    </row>
    <row r="128" spans="1:57" ht="12" customHeight="1" x14ac:dyDescent="0.2">
      <c r="A128" s="1012"/>
      <c r="B128" s="513"/>
      <c r="C128" s="5737"/>
      <c r="D128" s="5738"/>
      <c r="E128" s="5738"/>
      <c r="F128" s="5738"/>
      <c r="G128" s="5738"/>
      <c r="H128" s="5738"/>
      <c r="I128" s="5738"/>
      <c r="J128" s="5738"/>
      <c r="K128" s="5738"/>
      <c r="L128" s="5738"/>
      <c r="M128" s="5738"/>
      <c r="N128" s="5738"/>
      <c r="O128" s="5738"/>
      <c r="P128" s="5738"/>
      <c r="Q128" s="5739"/>
      <c r="R128" s="1469"/>
      <c r="S128" s="1470"/>
      <c r="T128" s="1470"/>
      <c r="U128" s="1032"/>
      <c r="V128" s="5698"/>
      <c r="W128" s="1552" t="s">
        <v>1376</v>
      </c>
      <c r="X128" s="1839" t="str">
        <f>IF(Tablas!$H$993=0,"-",IF(Zen,DES,MIN(13,DES)))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IFERROR(IF(OR(AC123="",Tablas!$H$993=0),"-",IF(AC123="Armas naturales",AO135,VLOOKUP(AC123,Tabla_ArmasyEscudos,10,0)+10*AB129/5&amp;IFERROR("/"&amp;VLOOKUP(AD132,Tabla_ArmasyEscudos,10,0)+10*AD133/5,""))),"-")</f>
        <v>-</v>
      </c>
      <c r="AD128" s="2398" t="str">
        <f>IFERROR(IF(OR(AC123="",Tablas!$H$993=0),"-",IF(AC123="Armas naturales",AO136,VLOOKUP(AC123,Tabla_ArmasyEscudos,11,0)+2*AB129/5&amp;IFERROR("/"&amp;VLOOKUP(AD132,Tabla_ArmasyEscudos,11,0)+2*AD133/5,""))),"-")</f>
        <v>-</v>
      </c>
      <c r="AE128" s="2386" t="str">
        <f>IFERROR(IF(OR(AC123="",Tablas!$H$993=0),"-",IF(AC123="Armas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IFERROR(IF(OR(AH123="",Tablas!$H$993=0),"-",IF(AH123="Armas naturales",AT135,VLOOKUP(AH123,Tabla_ArmasyEscudos,10,0)+10*AG129/5&amp;IFERROR("/"&amp;VLOOKUP(AI132,Tabla_ArmasyEscudos,10,0)+10*AI133/5,""))),"-")</f>
        <v>-</v>
      </c>
      <c r="AI128" s="2398" t="str">
        <f>IFERROR(IF(OR(AH123="",Tablas!$H$993=0),"-",IF(AH123="Armas naturales",AT136,VLOOKUP(AH123,Tabla_ArmasyEscudos,11,0)+2*AG129/5&amp;IFERROR("/"&amp;VLOOKUP(AI132,Tabla_ArmasyEscudos,11,0)+2*AI133/5,""))),"-")</f>
        <v>-</v>
      </c>
      <c r="AJ128" s="2386" t="str">
        <f>IFERROR(IF(OR(AH123="",Tablas!$H$993=0),"-",IF(AH123="Armas naturales",Presencia_final,VLOOKUP(AH123,Tabla_ArmasyEscudos,12,0)+50*MAX(AG129/5,0)&amp;IFERROR("/"&amp;VLOOKUP(AI132,Tabla_ArmasyEscudos,12,0)+50*MAX(AI133/5,0),""))),"-")</f>
        <v>-</v>
      </c>
      <c r="AK128" s="790"/>
      <c r="AL128" s="1471"/>
      <c r="AM128" s="1872"/>
      <c r="AN128" s="1872" t="s">
        <v>1972</v>
      </c>
      <c r="AO128" s="1872"/>
      <c r="AP128" s="1872"/>
      <c r="AQ128" s="1872"/>
      <c r="AR128" s="1872"/>
      <c r="AS128" s="1872"/>
      <c r="AT128" s="1872"/>
      <c r="AU128" s="1872"/>
      <c r="AV128" s="1872"/>
      <c r="AW128" s="1872"/>
      <c r="AX128" s="1872"/>
      <c r="AY128" s="1872"/>
      <c r="AZ128" s="1872"/>
      <c r="BA128" s="1872"/>
      <c r="BB128" s="1872"/>
      <c r="BC128" s="1872"/>
      <c r="BD128" s="1872"/>
      <c r="BE128" s="1872"/>
    </row>
    <row r="129" spans="1:57" ht="12" customHeight="1" x14ac:dyDescent="0.2">
      <c r="A129" s="1012"/>
      <c r="B129" s="513"/>
      <c r="C129" s="5737"/>
      <c r="D129" s="5738"/>
      <c r="E129" s="5738"/>
      <c r="F129" s="5738"/>
      <c r="G129" s="5738"/>
      <c r="H129" s="5738"/>
      <c r="I129" s="5738"/>
      <c r="J129" s="5738"/>
      <c r="K129" s="5738"/>
      <c r="L129" s="5738"/>
      <c r="M129" s="5738"/>
      <c r="N129" s="5738"/>
      <c r="O129" s="5738"/>
      <c r="P129" s="5738"/>
      <c r="Q129" s="5739"/>
      <c r="R129" s="1469"/>
      <c r="S129" s="1470"/>
      <c r="T129" s="1470"/>
      <c r="U129" s="1032"/>
      <c r="V129" s="5698"/>
      <c r="W129" s="1552" t="s">
        <v>1381</v>
      </c>
      <c r="X129" s="1840" t="str">
        <f>IF(Tablas!$H$993=0,"-",IF(Zen,DES,MIN(13,DES)))</f>
        <v>-</v>
      </c>
      <c r="Y129" s="2489"/>
      <c r="Z129" s="2399" t="str">
        <f>IFERROR(MIN(X129+Y129,IF(Zen,20,13)),"-")</f>
        <v>-</v>
      </c>
      <c r="AA129" s="1843" t="str">
        <f>IF(AND(AC123&lt;&gt;"",AC123&lt;&gt;"Armas naturales"),"Calidad:","")</f>
        <v/>
      </c>
      <c r="AB129" s="1845"/>
      <c r="AC129" s="5700" t="str">
        <f>IF(AA133="Calidad munición:",IF(AD133&lt;=0,"","TA defensor:"),IF(AB129&lt;=0,"","TA defensor:"))</f>
        <v/>
      </c>
      <c r="AD129" s="5700"/>
      <c r="AE129" s="2299" t="str">
        <f>IF(AC129="TA defensor:",IF(AA133="Calidad munición:",AD133/(-5),AB129/(-5)),"")</f>
        <v/>
      </c>
      <c r="AF129" s="1843" t="str">
        <f>IF(AND(AH123&lt;&gt;"",AH123&lt;&gt;"Armas naturales"),"Calidad:","")</f>
        <v/>
      </c>
      <c r="AG129" s="1845"/>
      <c r="AH129" s="5700" t="str">
        <f>IF(AF133="Calidad munición:",IF(AI133&lt;=0,"","TA defensor:"),IF(AG129&lt;=0,"","TA defensor:"))</f>
        <v/>
      </c>
      <c r="AI129" s="5700"/>
      <c r="AJ129" s="2299" t="str">
        <f>IF(AH129="TA defensor:",IF(AF133="Calidad munición:",AI133/(-5),AG129/(-5)),"")</f>
        <v/>
      </c>
      <c r="AK129" s="790"/>
      <c r="AL129" s="1471"/>
      <c r="AM129" s="1872"/>
      <c r="AN129" s="1872" t="s">
        <v>1732</v>
      </c>
      <c r="AO129" s="1872"/>
      <c r="AP129" s="1872"/>
      <c r="AQ129" s="1872"/>
      <c r="AR129" s="1872"/>
      <c r="AS129" s="1872"/>
      <c r="AT129" s="1872"/>
      <c r="AU129" s="1872"/>
      <c r="AV129" s="1872"/>
      <c r="AW129" s="1872"/>
      <c r="AX129" s="1872"/>
      <c r="AY129" s="1872"/>
      <c r="AZ129" s="1872"/>
      <c r="BA129" s="1872"/>
      <c r="BB129" s="1872"/>
      <c r="BC129" s="1872"/>
      <c r="BD129" s="1872"/>
      <c r="BE129" s="1872"/>
    </row>
    <row r="130" spans="1:57" ht="12" customHeight="1" thickBot="1" x14ac:dyDescent="0.25">
      <c r="A130" s="1012"/>
      <c r="B130" s="513"/>
      <c r="C130" s="5737"/>
      <c r="D130" s="5738"/>
      <c r="E130" s="5738"/>
      <c r="F130" s="5738"/>
      <c r="G130" s="5738"/>
      <c r="H130" s="5738"/>
      <c r="I130" s="5738"/>
      <c r="J130" s="5738"/>
      <c r="K130" s="5738"/>
      <c r="L130" s="5738"/>
      <c r="M130" s="5738"/>
      <c r="N130" s="5738"/>
      <c r="O130" s="5738"/>
      <c r="P130" s="5738"/>
      <c r="Q130" s="5739"/>
      <c r="R130" s="1469"/>
      <c r="S130" s="1470"/>
      <c r="T130" s="1470"/>
      <c r="U130" s="1032"/>
      <c r="V130" s="5699"/>
      <c r="W130" s="1553" t="s">
        <v>1386</v>
      </c>
      <c r="X130" s="2300" t="str">
        <f>IF(Tablas!$H$993=0,"-",IF(Zen,FUE-2,MIN(11,FUE-2)))</f>
        <v>-</v>
      </c>
      <c r="Y130" s="2490"/>
      <c r="Z130" s="2383" t="str">
        <f>IFERROR(MIN(20,MIN(X130+Y130,IF(Zen,20,13))+IF(COUNTIF(W131:Z136,"Fuerza excepcional")&gt;0,IF(X130+6&lt;15,6,MAX(15-X130,0)),0)),"-")</f>
        <v>-</v>
      </c>
      <c r="AA130" s="5713" t="str">
        <f>IFERROR(IF(AC123="Armas naturales","",VLOOKUP(AC123,Tabla_ArmasyEscudos,19,0)),"")</f>
        <v/>
      </c>
      <c r="AB130" s="5714"/>
      <c r="AC130" s="5714"/>
      <c r="AD130" s="5714"/>
      <c r="AE130" s="5715"/>
      <c r="AF130" s="5713" t="str">
        <f>IFERROR(IF(AH123="Armas naturales","",VLOOKUP(AH123,Tabla_ArmasyEscudos,19,0)),"")</f>
        <v/>
      </c>
      <c r="AG130" s="5714"/>
      <c r="AH130" s="5714"/>
      <c r="AI130" s="5714"/>
      <c r="AJ130" s="5715"/>
      <c r="AK130" s="790"/>
      <c r="AL130" s="1471"/>
      <c r="AM130" s="1872"/>
      <c r="AN130" s="1872" t="str">
        <f>IF(COUNTIF(W131:Z136,"Tamaño excepcional")&gt;0,"Grande","")</f>
        <v/>
      </c>
      <c r="AO130" s="1872"/>
      <c r="AP130" s="1872"/>
      <c r="AQ130" s="1872"/>
      <c r="AR130" s="1872"/>
      <c r="AS130" s="1872"/>
      <c r="AT130" s="1872"/>
      <c r="AU130" s="1872"/>
      <c r="AV130" s="1872"/>
      <c r="AW130" s="1872"/>
      <c r="AX130" s="1872"/>
      <c r="AY130" s="1872"/>
      <c r="AZ130" s="1872"/>
      <c r="BA130" s="1872"/>
      <c r="BB130" s="1872"/>
      <c r="BC130" s="1872"/>
      <c r="BD130" s="1872"/>
      <c r="BE130" s="1872"/>
    </row>
    <row r="131" spans="1:57" ht="12" customHeight="1" x14ac:dyDescent="0.2">
      <c r="A131" s="1012"/>
      <c r="B131" s="513"/>
      <c r="C131" s="5737"/>
      <c r="D131" s="5738"/>
      <c r="E131" s="5738"/>
      <c r="F131" s="5738"/>
      <c r="G131" s="5738"/>
      <c r="H131" s="5738"/>
      <c r="I131" s="5738"/>
      <c r="J131" s="5738"/>
      <c r="K131" s="5738"/>
      <c r="L131" s="5738"/>
      <c r="M131" s="5738"/>
      <c r="N131" s="5738"/>
      <c r="O131" s="5738"/>
      <c r="P131" s="5738"/>
      <c r="Q131" s="5739"/>
      <c r="R131" s="1469"/>
      <c r="S131" s="1470"/>
      <c r="T131" s="1470"/>
      <c r="U131" s="1032"/>
      <c r="V131" s="5698" t="s">
        <v>8793</v>
      </c>
      <c r="W131" s="4100"/>
      <c r="X131" s="4100"/>
      <c r="Y131" s="4100"/>
      <c r="Z131" s="4100"/>
      <c r="AA131" s="5720" t="str">
        <f>IFERROR(VLOOKUP(AD132,Tabla_ArmasyEscudos,19,0),"")</f>
        <v/>
      </c>
      <c r="AB131" s="5721"/>
      <c r="AC131" s="5721"/>
      <c r="AD131" s="5721"/>
      <c r="AE131" s="5722"/>
      <c r="AF131" s="5720" t="str">
        <f>IFERROR(VLOOKUP(AI132,Tabla_ArmasyEscudos,19,0),"")</f>
        <v/>
      </c>
      <c r="AG131" s="5721"/>
      <c r="AH131" s="5721"/>
      <c r="AI131" s="5721"/>
      <c r="AJ131" s="5722"/>
      <c r="AK131" s="790"/>
      <c r="AL131" s="1471"/>
      <c r="AM131" s="1872"/>
      <c r="AN131" s="1872" t="str">
        <f>IF(COUNTIF(W131:Z136,"Tamaño excepcional")&gt;0,"Enorme","")</f>
        <v/>
      </c>
      <c r="AO131" s="1872"/>
      <c r="AP131" s="1872"/>
      <c r="AQ131" s="1872"/>
      <c r="AR131" s="1872"/>
      <c r="AS131" s="1872"/>
      <c r="AT131" s="1872"/>
      <c r="AU131" s="1872"/>
      <c r="AV131" s="1872"/>
      <c r="AW131" s="1872"/>
      <c r="AX131" s="1872"/>
      <c r="AY131" s="1872"/>
      <c r="AZ131" s="1872"/>
      <c r="BA131" s="1872"/>
      <c r="BB131" s="1872"/>
      <c r="BC131" s="1872"/>
      <c r="BD131" s="1872"/>
      <c r="BE131" s="1872"/>
    </row>
    <row r="132" spans="1:57" ht="12" customHeight="1" x14ac:dyDescent="0.2">
      <c r="A132" s="1012"/>
      <c r="B132" s="513"/>
      <c r="C132" s="5737"/>
      <c r="D132" s="5738"/>
      <c r="E132" s="5738"/>
      <c r="F132" s="5738"/>
      <c r="G132" s="5738"/>
      <c r="H132" s="5738"/>
      <c r="I132" s="5738"/>
      <c r="J132" s="5738"/>
      <c r="K132" s="5738"/>
      <c r="L132" s="5738"/>
      <c r="M132" s="5738"/>
      <c r="N132" s="5738"/>
      <c r="O132" s="5738"/>
      <c r="P132" s="5738"/>
      <c r="Q132" s="5739"/>
      <c r="R132" s="1469"/>
      <c r="S132" s="1470"/>
      <c r="T132" s="1470"/>
      <c r="U132" s="1032"/>
      <c r="V132" s="5698"/>
      <c r="W132" s="5709"/>
      <c r="X132" s="5710"/>
      <c r="Y132" s="5710"/>
      <c r="Z132" s="5711"/>
      <c r="AA132" s="4747" t="str">
        <f>IFERROR(IF(AC123="Armas naturales", "Armas naturales Crit. 1:",IF(ISNUMBER(FIND("Proyectiles",VLOOKUP(AC123,Tabla_ArmasyEscudos,8,0))),"Munición:","")),"")</f>
        <v/>
      </c>
      <c r="AB132" s="4678"/>
      <c r="AC132" s="4678"/>
      <c r="AD132" s="5703"/>
      <c r="AE132" s="5704"/>
      <c r="AF132" s="4747" t="str">
        <f>IFERROR(IF(AH123="Armas naturales", "Armas naturales Crit. 1:",IF(ISNUMBER(FIND("Proyectiles",VLOOKUP(AH123,Tabla_ArmasyEscudos,8,0))),"Munición:","")),"")</f>
        <v/>
      </c>
      <c r="AG132" s="4678"/>
      <c r="AH132" s="4678"/>
      <c r="AI132" s="5703"/>
      <c r="AJ132" s="5704"/>
      <c r="AK132" s="790"/>
      <c r="AL132" s="1471"/>
      <c r="AM132" s="1872"/>
      <c r="AN132" s="5282" t="s">
        <v>1922</v>
      </c>
      <c r="AO132" s="5282"/>
      <c r="AP132" s="1872"/>
      <c r="AQ132" s="1872"/>
      <c r="AR132" s="1872"/>
      <c r="AS132" s="1872"/>
      <c r="AT132" s="1872"/>
      <c r="AU132" s="1872"/>
      <c r="AV132" s="1872"/>
      <c r="AW132" s="1872"/>
      <c r="AX132" s="1872"/>
      <c r="AY132" s="1872"/>
      <c r="AZ132" s="1872"/>
      <c r="BA132" s="1872"/>
      <c r="BB132" s="1872"/>
      <c r="BC132" s="1872"/>
      <c r="BD132" s="1872"/>
      <c r="BE132" s="1872"/>
    </row>
    <row r="133" spans="1:57" ht="12" customHeight="1" x14ac:dyDescent="0.2">
      <c r="A133" s="1012"/>
      <c r="B133" s="513"/>
      <c r="C133" s="5737"/>
      <c r="D133" s="5738"/>
      <c r="E133" s="5738"/>
      <c r="F133" s="5738"/>
      <c r="G133" s="5738"/>
      <c r="H133" s="5738"/>
      <c r="I133" s="5738"/>
      <c r="J133" s="5738"/>
      <c r="K133" s="5738"/>
      <c r="L133" s="5738"/>
      <c r="M133" s="5738"/>
      <c r="N133" s="5738"/>
      <c r="O133" s="5738"/>
      <c r="P133" s="5738"/>
      <c r="Q133" s="5739"/>
      <c r="R133" s="1469"/>
      <c r="S133" s="1470"/>
      <c r="T133" s="1470"/>
      <c r="U133" s="1032"/>
      <c r="V133" s="5698"/>
      <c r="W133" s="5709"/>
      <c r="X133" s="5710"/>
      <c r="Y133" s="5710"/>
      <c r="Z133" s="5711"/>
      <c r="AA133" s="5390" t="str">
        <f>IFERROR(IF(AC123="Armas naturales", "Armas naturales Crit. 2:",IF(ISNUMBER(FIND("Proyectiles",VLOOKUP(AC123,Tabla_ArmasyEscudos,8,0))),"Calidad Munición:","")),"")</f>
        <v/>
      </c>
      <c r="AB133" s="5734"/>
      <c r="AC133" s="5734"/>
      <c r="AD133" s="5705"/>
      <c r="AE133" s="5706"/>
      <c r="AF133" s="5390" t="str">
        <f>IFERROR(IF(AH123="Armas naturales", "Armas naturales Crit. 2:",IF(ISNUMBER(FIND("Proyectiles",VLOOKUP(AH123,Tabla_ArmasyEscudos,8,0))),"Calidad Munición:","")),"")</f>
        <v/>
      </c>
      <c r="AG133" s="5734"/>
      <c r="AH133" s="5734"/>
      <c r="AI133" s="5705"/>
      <c r="AJ133" s="5706"/>
      <c r="AK133" s="790"/>
      <c r="AL133" s="1471"/>
      <c r="AM133" s="1872"/>
      <c r="AN133" s="1872" t="s">
        <v>8819</v>
      </c>
      <c r="AO133" s="1872">
        <f>VLOOKUP(AF122,Tablas!$X$47:$AF$54,7,0)</f>
        <v>40</v>
      </c>
      <c r="AP133" s="1872"/>
      <c r="AQ133" s="1872"/>
      <c r="AR133" s="1872"/>
      <c r="AS133" s="1872"/>
      <c r="AT133" s="1872" t="s">
        <v>1459</v>
      </c>
      <c r="AU133" s="1872"/>
      <c r="AV133" s="1872"/>
      <c r="AW133" s="1872"/>
      <c r="AX133" s="1872"/>
      <c r="AY133" s="1872"/>
      <c r="AZ133" s="1872"/>
      <c r="BA133" s="1872"/>
      <c r="BB133" s="1872"/>
      <c r="BC133" s="1872"/>
      <c r="BD133" s="1872"/>
      <c r="BE133" s="1872"/>
    </row>
    <row r="134" spans="1:57" ht="12" customHeight="1" x14ac:dyDescent="0.2">
      <c r="A134" s="1012"/>
      <c r="B134" s="513"/>
      <c r="C134" s="5737"/>
      <c r="D134" s="5738"/>
      <c r="E134" s="5738"/>
      <c r="F134" s="5738"/>
      <c r="G134" s="5738"/>
      <c r="H134" s="5738"/>
      <c r="I134" s="5738"/>
      <c r="J134" s="5738"/>
      <c r="K134" s="5738"/>
      <c r="L134" s="5738"/>
      <c r="M134" s="5738"/>
      <c r="N134" s="5738"/>
      <c r="O134" s="5738"/>
      <c r="P134" s="5738"/>
      <c r="Q134" s="5739"/>
      <c r="R134" s="1469"/>
      <c r="S134" s="1470"/>
      <c r="T134" s="1470"/>
      <c r="U134" s="1032"/>
      <c r="V134" s="5698"/>
      <c r="W134" s="4100"/>
      <c r="X134" s="4100"/>
      <c r="Y134" s="4100"/>
      <c r="Z134" s="4100"/>
      <c r="AA134" s="1123" t="str">
        <f>IF(ISNUMBER(FIND("Proyectiles",VLOOKUP(AC123,Tabla_ArmasyEscudos,8,0))),"Rango:","")</f>
        <v/>
      </c>
      <c r="AB134" s="2400" t="str">
        <f>IFERROR(IF(AA134="Rango:",VLOOKUP(AC123,Tabla_ArmasyEscudos,17,0)+IF(AS126&gt;0,VLOOKUP(AS126,Tabla_AlcanceFUE,2,0),VLOOKUP(Z130,Tabla_AlcanceFUE,2,0))&amp;" m",""),"")</f>
        <v/>
      </c>
      <c r="AC134" s="5736" t="str">
        <f>IF(ISNUMBER(FIND("Proyectiles",VLOOKUP(AC123,Tabla_ArmasyEscudos,8,0))),"Recarga:","")</f>
        <v/>
      </c>
      <c r="AD134" s="5736"/>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736" t="str">
        <f>IF(ISNUMBER(FIND("Proyectiles",VLOOKUP(AH123,Tabla_ArmasyEscudos,8,0))),"Recarga:","")</f>
        <v/>
      </c>
      <c r="AI134" s="5736"/>
      <c r="AJ134" s="2382" t="str">
        <f>IFERROR(IF(AH134="Recarga:",VLOOKUP(AH123,Tabla_ArmasyEscudos,16,0),""),"")</f>
        <v/>
      </c>
      <c r="AK134" s="790"/>
      <c r="AL134" s="1471"/>
      <c r="AM134" s="1872"/>
      <c r="AN134" s="1872" t="s">
        <v>1396</v>
      </c>
      <c r="AO134" s="1872">
        <f>MIN(VLOOKUP(AF122,Tablas!$X$47:$AF$54,2,0),20)</f>
        <v>20</v>
      </c>
      <c r="AP134" s="1872"/>
      <c r="AQ134" s="1872"/>
      <c r="AR134" s="1872"/>
      <c r="AS134" s="1872"/>
      <c r="AT134" s="1872" t="s">
        <v>1459</v>
      </c>
      <c r="AU134" s="1872"/>
      <c r="AV134" s="1872"/>
      <c r="AW134" s="1872"/>
      <c r="AX134" s="1872"/>
      <c r="AY134" s="1872"/>
      <c r="AZ134" s="1872"/>
      <c r="BA134" s="1872"/>
      <c r="BB134" s="1872"/>
      <c r="BC134" s="1872"/>
      <c r="BD134" s="1872"/>
      <c r="BE134" s="1872"/>
    </row>
    <row r="135" spans="1:57" ht="12" customHeight="1" x14ac:dyDescent="0.2">
      <c r="A135" s="1012"/>
      <c r="B135" s="513"/>
      <c r="C135" s="5737"/>
      <c r="D135" s="5738"/>
      <c r="E135" s="5738"/>
      <c r="F135" s="5738"/>
      <c r="G135" s="5738"/>
      <c r="H135" s="5738"/>
      <c r="I135" s="5738"/>
      <c r="J135" s="5738"/>
      <c r="K135" s="5738"/>
      <c r="L135" s="5738"/>
      <c r="M135" s="5738"/>
      <c r="N135" s="5738"/>
      <c r="O135" s="5738"/>
      <c r="P135" s="5738"/>
      <c r="Q135" s="5739"/>
      <c r="R135" s="1469"/>
      <c r="S135" s="1470"/>
      <c r="T135" s="1470"/>
      <c r="U135" s="1032"/>
      <c r="V135" s="5698"/>
      <c r="W135" s="5709"/>
      <c r="X135" s="5710"/>
      <c r="Y135" s="5710"/>
      <c r="Z135" s="5711"/>
      <c r="AA135" s="5707" t="s">
        <v>1001</v>
      </c>
      <c r="AB135" s="2303" t="s">
        <v>7420</v>
      </c>
      <c r="AC135" s="2460"/>
      <c r="AD135" s="2303" t="s">
        <v>1396</v>
      </c>
      <c r="AE135" s="2458"/>
      <c r="AF135" s="5707" t="s">
        <v>1001</v>
      </c>
      <c r="AG135" s="2303" t="s">
        <v>7420</v>
      </c>
      <c r="AH135" s="2460"/>
      <c r="AI135" s="2303" t="s">
        <v>1396</v>
      </c>
      <c r="AJ135" s="2458"/>
      <c r="AK135" s="790"/>
      <c r="AL135" s="1471"/>
      <c r="AM135" s="1872"/>
      <c r="AN135" s="1872" t="s">
        <v>1970</v>
      </c>
      <c r="AO135" s="1872">
        <f>VLOOKUP(AF122,Tablas!$X$47:$AF$54,9,0)</f>
        <v>12</v>
      </c>
      <c r="AP135" s="1872"/>
      <c r="AQ135" s="1872"/>
      <c r="AR135" s="1872"/>
      <c r="AS135" s="1872"/>
      <c r="AT135" s="1872" t="s">
        <v>1459</v>
      </c>
      <c r="AU135" s="1872"/>
      <c r="AV135" s="1872"/>
      <c r="AW135" s="1872"/>
      <c r="AX135" s="1872"/>
      <c r="AY135" s="1872"/>
      <c r="AZ135" s="1872"/>
      <c r="BA135" s="1872"/>
      <c r="BB135" s="1872"/>
      <c r="BC135" s="1872"/>
      <c r="BD135" s="1872"/>
      <c r="BE135" s="1872"/>
    </row>
    <row r="136" spans="1:57" ht="12" customHeight="1" thickBot="1" x14ac:dyDescent="0.25">
      <c r="A136" s="1012"/>
      <c r="B136" s="513"/>
      <c r="C136" s="5740"/>
      <c r="D136" s="5741"/>
      <c r="E136" s="5741"/>
      <c r="F136" s="5741"/>
      <c r="G136" s="5741"/>
      <c r="H136" s="5741"/>
      <c r="I136" s="5741"/>
      <c r="J136" s="5741"/>
      <c r="K136" s="5741"/>
      <c r="L136" s="5741"/>
      <c r="M136" s="5741"/>
      <c r="N136" s="5741"/>
      <c r="O136" s="5741"/>
      <c r="P136" s="5741"/>
      <c r="Q136" s="5742"/>
      <c r="R136" s="1469"/>
      <c r="S136" s="1470"/>
      <c r="T136" s="1470"/>
      <c r="U136" s="1032"/>
      <c r="V136" s="5699"/>
      <c r="W136" s="5735"/>
      <c r="X136" s="5735"/>
      <c r="Y136" s="5735"/>
      <c r="Z136" s="5735"/>
      <c r="AA136" s="5708"/>
      <c r="AB136" s="1477" t="s">
        <v>8528</v>
      </c>
      <c r="AC136" s="2461"/>
      <c r="AD136" s="2401" t="s">
        <v>1570</v>
      </c>
      <c r="AE136" s="2459"/>
      <c r="AF136" s="5708"/>
      <c r="AG136" s="1477" t="s">
        <v>8528</v>
      </c>
      <c r="AH136" s="2461"/>
      <c r="AI136" s="2401" t="s">
        <v>1570</v>
      </c>
      <c r="AJ136" s="2459"/>
      <c r="AK136" s="790"/>
      <c r="AL136" s="1471"/>
      <c r="AM136" s="1872"/>
      <c r="AN136" s="1872" t="s">
        <v>1574</v>
      </c>
      <c r="AO136" s="1872">
        <f>VLOOKUP(AF122,Tablas!$X$47:$AF$54,8,0)</f>
        <v>0</v>
      </c>
      <c r="AP136" s="1872"/>
      <c r="AQ136" s="1872"/>
      <c r="AR136" s="1872"/>
      <c r="AS136" s="1872"/>
      <c r="AT136" s="1872" t="s">
        <v>1459</v>
      </c>
      <c r="AU136" s="1872"/>
      <c r="AV136" s="1872"/>
      <c r="AW136" s="1872"/>
      <c r="AX136" s="1872"/>
      <c r="AY136" s="1872"/>
      <c r="AZ136" s="1872"/>
      <c r="BA136" s="1872"/>
      <c r="BB136" s="1872"/>
      <c r="BC136" s="1872"/>
      <c r="BD136" s="1872"/>
      <c r="BE136" s="1872"/>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1872"/>
      <c r="AN137" s="1872"/>
      <c r="AO137" s="1872"/>
      <c r="AP137" s="1872"/>
      <c r="AQ137" s="1872"/>
      <c r="AR137" s="1872"/>
      <c r="AS137" s="1872"/>
      <c r="AT137" s="1872"/>
      <c r="AU137" s="1872"/>
      <c r="AV137" s="1872"/>
      <c r="AW137" s="1872"/>
      <c r="AX137" s="1872"/>
      <c r="AY137" s="1872"/>
      <c r="AZ137" s="1872"/>
      <c r="BA137" s="1872"/>
      <c r="BB137" s="1872"/>
      <c r="BC137" s="1872"/>
      <c r="BD137" s="1872"/>
      <c r="BE137" s="1872"/>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1872"/>
      <c r="AN138" s="1872"/>
      <c r="AO138" s="1872"/>
      <c r="AP138" s="1872"/>
      <c r="AQ138" s="1872"/>
      <c r="AR138" s="1872"/>
      <c r="AS138" s="1872"/>
      <c r="AT138" s="1872"/>
      <c r="AU138" s="1872"/>
      <c r="AV138" s="1872"/>
      <c r="AW138" s="1872"/>
      <c r="AX138" s="1872"/>
      <c r="AY138" s="1872"/>
      <c r="AZ138" s="1872"/>
      <c r="BA138" s="1872"/>
      <c r="BB138" s="1872"/>
      <c r="BC138" s="1872"/>
      <c r="BD138" s="1872"/>
      <c r="BE138" s="1872"/>
    </row>
  </sheetData>
  <sheetProtection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663" priority="200" stopIfTrue="1" operator="equal">
      <formula>"Armas naturales"</formula>
    </cfRule>
  </conditionalFormatting>
  <conditionalFormatting sqref="Y33:Z33 AF33:AG33">
    <cfRule type="cellIs" dxfId="662" priority="204" stopIfTrue="1" operator="greaterThan">
      <formula>0</formula>
    </cfRule>
  </conditionalFormatting>
  <conditionalFormatting sqref="AE55 AE57 AE59 AE61">
    <cfRule type="cellIs" dxfId="661" priority="205" stopIfTrue="1" operator="equal">
      <formula>0</formula>
    </cfRule>
  </conditionalFormatting>
  <conditionalFormatting sqref="AE56 AE58 AE60">
    <cfRule type="cellIs" dxfId="660" priority="206" stopIfTrue="1" operator="equal">
      <formula>0</formula>
    </cfRule>
  </conditionalFormatting>
  <conditionalFormatting sqref="V56">
    <cfRule type="cellIs" dxfId="659" priority="213" stopIfTrue="1" operator="equal">
      <formula>"Armas naturales"</formula>
    </cfRule>
  </conditionalFormatting>
  <conditionalFormatting sqref="V57">
    <cfRule type="cellIs" dxfId="658" priority="214" stopIfTrue="1" operator="equal">
      <formula>"Armas naturales"</formula>
    </cfRule>
  </conditionalFormatting>
  <conditionalFormatting sqref="V58">
    <cfRule type="cellIs" dxfId="657" priority="215" stopIfTrue="1" operator="equal">
      <formula>"Armas naturales"</formula>
    </cfRule>
  </conditionalFormatting>
  <conditionalFormatting sqref="V59">
    <cfRule type="cellIs" dxfId="656" priority="216" stopIfTrue="1" operator="equal">
      <formula>"Armas naturales"</formula>
    </cfRule>
  </conditionalFormatting>
  <conditionalFormatting sqref="V60">
    <cfRule type="cellIs" dxfId="655" priority="217" stopIfTrue="1" operator="equal">
      <formula>"Armas naturales"</formula>
    </cfRule>
  </conditionalFormatting>
  <conditionalFormatting sqref="E12">
    <cfRule type="expression" dxfId="654" priority="179" stopIfTrue="1">
      <formula>NOT(#REF!="")</formula>
    </cfRule>
  </conditionalFormatting>
  <conditionalFormatting sqref="E15:G16">
    <cfRule type="expression" dxfId="653" priority="4846">
      <formula>$C15=""</formula>
    </cfRule>
  </conditionalFormatting>
  <conditionalFormatting sqref="AD86">
    <cfRule type="expression" dxfId="652" priority="5838">
      <formula>$AF$83&lt;&gt;"Si"</formula>
    </cfRule>
  </conditionalFormatting>
  <conditionalFormatting sqref="AD101:AE101">
    <cfRule type="expression" dxfId="651" priority="51">
      <formula>AA101&lt;&gt;""</formula>
    </cfRule>
  </conditionalFormatting>
  <conditionalFormatting sqref="AD100:AE100">
    <cfRule type="expression" dxfId="650" priority="62">
      <formula>AA100&lt;&gt;""</formula>
    </cfRule>
    <cfRule type="expression" dxfId="649" priority="150">
      <formula>OR(AD100="-",AD100="FIL",AD100="PEN",AD100="CON")</formula>
    </cfRule>
  </conditionalFormatting>
  <conditionalFormatting sqref="N44:Q44">
    <cfRule type="expression" dxfId="648" priority="74">
      <formula>$I$46="Exceso de bonos de transformación"</formula>
    </cfRule>
  </conditionalFormatting>
  <conditionalFormatting sqref="AJ19:AJ20">
    <cfRule type="expression" dxfId="647" priority="70">
      <formula>$AG20&lt;&gt;""</formula>
    </cfRule>
  </conditionalFormatting>
  <conditionalFormatting sqref="AJ23">
    <cfRule type="expression" dxfId="646" priority="69">
      <formula>$AG23&lt;&gt;""</formula>
    </cfRule>
  </conditionalFormatting>
  <conditionalFormatting sqref="AJ27">
    <cfRule type="expression" dxfId="645" priority="68">
      <formula>$AG27&lt;&gt;""</formula>
    </cfRule>
  </conditionalFormatting>
  <conditionalFormatting sqref="AJ24">
    <cfRule type="expression" dxfId="644" priority="67">
      <formula>$AG25&lt;&gt;""</formula>
    </cfRule>
  </conditionalFormatting>
  <conditionalFormatting sqref="AJ28">
    <cfRule type="expression" dxfId="643" priority="66">
      <formula>$AG29&lt;&gt;""</formula>
    </cfRule>
  </conditionalFormatting>
  <conditionalFormatting sqref="AJ21">
    <cfRule type="expression" dxfId="642" priority="65">
      <formula>$AG21&lt;&gt;""</formula>
    </cfRule>
  </conditionalFormatting>
  <conditionalFormatting sqref="AJ25">
    <cfRule type="expression" dxfId="641" priority="64">
      <formula>$AG25&lt;&gt;""</formula>
    </cfRule>
  </conditionalFormatting>
  <conditionalFormatting sqref="AJ29">
    <cfRule type="expression" dxfId="640" priority="63">
      <formula>$AG29&lt;&gt;""</formula>
    </cfRule>
  </conditionalFormatting>
  <conditionalFormatting sqref="AI100:AJ100">
    <cfRule type="expression" dxfId="639" priority="60">
      <formula>AF100&lt;&gt;""</formula>
    </cfRule>
    <cfRule type="expression" dxfId="638" priority="61">
      <formula>OR(AI100="-",AI100="FIL",AI100="PEN",AI100="CON")</formula>
    </cfRule>
  </conditionalFormatting>
  <conditionalFormatting sqref="AD116:AE116">
    <cfRule type="expression" dxfId="637" priority="58">
      <formula>AA116&lt;&gt;""</formula>
    </cfRule>
    <cfRule type="expression" dxfId="636" priority="59">
      <formula>OR(AD116="-",AD116="FIL",AD116="PEN",AD116="CON")</formula>
    </cfRule>
  </conditionalFormatting>
  <conditionalFormatting sqref="AI116:AJ116">
    <cfRule type="expression" dxfId="635" priority="56">
      <formula>AF116&lt;&gt;""</formula>
    </cfRule>
    <cfRule type="expression" dxfId="634" priority="57">
      <formula>OR(AI116="-",AI116="FIL",AI116="PEN",AI116="CON")</formula>
    </cfRule>
  </conditionalFormatting>
  <conditionalFormatting sqref="AD132:AE132">
    <cfRule type="expression" dxfId="633" priority="54">
      <formula>AA132&lt;&gt;""</formula>
    </cfRule>
    <cfRule type="expression" dxfId="632" priority="55">
      <formula>OR(AD132="-",AD132="FIL",AD132="PEN",AD132="CON")</formula>
    </cfRule>
  </conditionalFormatting>
  <conditionalFormatting sqref="AI132:AJ132">
    <cfRule type="expression" dxfId="631" priority="52">
      <formula>AF132&lt;&gt;""</formula>
    </cfRule>
    <cfRule type="expression" dxfId="630" priority="53">
      <formula>OR(AI132="-",AI132="FIL",AI132="PEN",AI132="CON")</formula>
    </cfRule>
  </conditionalFormatting>
  <conditionalFormatting sqref="AB97">
    <cfRule type="expression" dxfId="629" priority="40">
      <formula>AA97&lt;&gt;""</formula>
    </cfRule>
  </conditionalFormatting>
  <conditionalFormatting sqref="AG97">
    <cfRule type="expression" dxfId="628" priority="38">
      <formula>AF97&lt;&gt;""</formula>
    </cfRule>
  </conditionalFormatting>
  <conditionalFormatting sqref="AG113">
    <cfRule type="expression" dxfId="627" priority="37">
      <formula>AF113&lt;&gt;""</formula>
    </cfRule>
  </conditionalFormatting>
  <conditionalFormatting sqref="AB113">
    <cfRule type="expression" dxfId="626" priority="36">
      <formula>AA113&lt;&gt;""</formula>
    </cfRule>
  </conditionalFormatting>
  <conditionalFormatting sqref="AB129">
    <cfRule type="expression" dxfId="625" priority="35">
      <formula>AA129&lt;&gt;""</formula>
    </cfRule>
  </conditionalFormatting>
  <conditionalFormatting sqref="AG129">
    <cfRule type="expression" dxfId="624" priority="34">
      <formula>AF129&lt;&gt;""</formula>
    </cfRule>
  </conditionalFormatting>
  <conditionalFormatting sqref="AC91:AE91 AH91:AI91 AH107:AI107 AH123:AJ123">
    <cfRule type="expression" dxfId="623" priority="12">
      <formula>OR(AA93="-",AD93="-")</formula>
    </cfRule>
    <cfRule type="expression" dxfId="622" priority="33">
      <formula>AA91&lt;&gt;""</formula>
    </cfRule>
  </conditionalFormatting>
  <conditionalFormatting sqref="AI101:AJ101">
    <cfRule type="expression" dxfId="621" priority="26">
      <formula>AF101&lt;&gt;""</formula>
    </cfRule>
  </conditionalFormatting>
  <conditionalFormatting sqref="AD117:AE117">
    <cfRule type="expression" dxfId="620" priority="25">
      <formula>AA117&lt;&gt;""</formula>
    </cfRule>
  </conditionalFormatting>
  <conditionalFormatting sqref="AI117:AJ117">
    <cfRule type="expression" dxfId="619" priority="24">
      <formula>AF117&lt;&gt;""</formula>
    </cfRule>
  </conditionalFormatting>
  <conditionalFormatting sqref="AD133:AE133">
    <cfRule type="expression" dxfId="618" priority="23">
      <formula>AA133&lt;&gt;""</formula>
    </cfRule>
  </conditionalFormatting>
  <conditionalFormatting sqref="AI133:AJ133">
    <cfRule type="expression" dxfId="617" priority="22">
      <formula>AF133&lt;&gt;""</formula>
    </cfRule>
  </conditionalFormatting>
  <conditionalFormatting sqref="E15:G15">
    <cfRule type="expression" dxfId="616" priority="21">
      <formula>C15&lt;&gt;""</formula>
    </cfRule>
  </conditionalFormatting>
  <conditionalFormatting sqref="E16:G16">
    <cfRule type="expression" dxfId="615" priority="20">
      <formula>C16&lt;&gt;""</formula>
    </cfRule>
  </conditionalFormatting>
  <conditionalFormatting sqref="E47:G47">
    <cfRule type="expression" dxfId="614" priority="8653">
      <formula>AND($AN$14,Raza="Ebudan")</formula>
    </cfRule>
  </conditionalFormatting>
  <conditionalFormatting sqref="E47:G47">
    <cfRule type="expression" dxfId="613" priority="8654">
      <formula>AND($AN$14,Raza="Ebudan")</formula>
    </cfRule>
  </conditionalFormatting>
  <conditionalFormatting sqref="C47:D47">
    <cfRule type="expression" dxfId="612" priority="8655">
      <formula>AND($AN$14,Raza="Ebudan")</formula>
    </cfRule>
  </conditionalFormatting>
  <conditionalFormatting sqref="C47:D47">
    <cfRule type="expression" dxfId="611" priority="8656">
      <formula>AND($AN$14,Raza="Ebudan")</formula>
    </cfRule>
  </conditionalFormatting>
  <conditionalFormatting sqref="AF91:AG91">
    <cfRule type="expression" dxfId="610" priority="19">
      <formula>OR(AC91="Armas naturales",AA91="A 2 manos",AA91="Proy. 2M")</formula>
    </cfRule>
  </conditionalFormatting>
  <conditionalFormatting sqref="AF107:AG107">
    <cfRule type="expression" dxfId="609" priority="16">
      <formula>OR(AC107="Armas naturales",AA107="A 2 manos",AA107="Proy. 2M")</formula>
    </cfRule>
  </conditionalFormatting>
  <conditionalFormatting sqref="AF123:AG123">
    <cfRule type="expression" dxfId="608" priority="13">
      <formula>OR(AC123="Armas naturales",AA123="A 2 manos",AA123="Proy. 2M")</formula>
    </cfRule>
  </conditionalFormatting>
  <conditionalFormatting sqref="AF55:AJ61">
    <cfRule type="expression" dxfId="607" priority="8662">
      <formula>$AJ55&gt;$AE55</formula>
    </cfRule>
  </conditionalFormatting>
  <conditionalFormatting sqref="AF122:AG122 AF106:AG106 AF90:AG90">
    <cfRule type="expression" dxfId="606" priority="8678">
      <formula>COUNTIF($AN95:$AN99,$AF90)=0</formula>
    </cfRule>
  </conditionalFormatting>
  <conditionalFormatting sqref="AC107:AE107">
    <cfRule type="expression" dxfId="605" priority="8">
      <formula>OR(AA109="-",AD109="-")</formula>
    </cfRule>
    <cfRule type="expression" dxfId="604" priority="9">
      <formula>AA107&lt;&gt;""</formula>
    </cfRule>
  </conditionalFormatting>
  <conditionalFormatting sqref="AC123:AE123">
    <cfRule type="expression" dxfId="603" priority="4">
      <formula>OR(AA125="-",AD125="-")</formula>
    </cfRule>
    <cfRule type="expression" dxfId="602" priority="5">
      <formula>AA123&lt;&gt;""</formula>
    </cfRule>
  </conditionalFormatting>
  <conditionalFormatting sqref="AJ91">
    <cfRule type="expression" dxfId="601" priority="8686">
      <formula>OR(AH93="-",AK109="-")</formula>
    </cfRule>
    <cfRule type="expression" dxfId="600" priority="8687">
      <formula>AH91&lt;&gt;""</formula>
    </cfRule>
  </conditionalFormatting>
  <conditionalFormatting sqref="AJ107">
    <cfRule type="expression" dxfId="599" priority="8690">
      <formula>OR(AH109="-",#REF!="-")</formula>
    </cfRule>
    <cfRule type="expression" dxfId="598" priority="8691">
      <formula>AH107&lt;&gt;""</formula>
    </cfRule>
  </conditionalFormatting>
  <conditionalFormatting sqref="AC21:AE21 AC25:AE25 AC29:AE29">
    <cfRule type="cellIs" dxfId="597" priority="9510" stopIfTrue="1" operator="greaterThan">
      <formula>$K$83</formula>
    </cfRule>
  </conditionalFormatting>
  <conditionalFormatting sqref="Q21">
    <cfRule type="cellIs" dxfId="596" priority="1" operator="greaterThan">
      <formula>160</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5"/>
  <sheetViews>
    <sheetView zoomScale="85" zoomScaleNormal="85" workbookViewId="0"/>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838"/>
      <c r="C2" s="5812" t="s">
        <v>7512</v>
      </c>
      <c r="D2" s="5812"/>
      <c r="E2" s="5812"/>
      <c r="F2" s="5812"/>
      <c r="G2" s="5812"/>
      <c r="H2" s="5812"/>
      <c r="I2" s="5812"/>
      <c r="J2" s="5812"/>
      <c r="K2" s="5812"/>
      <c r="L2" s="5812"/>
      <c r="M2" s="5812"/>
      <c r="N2" s="5812"/>
      <c r="O2" s="5812"/>
      <c r="P2" s="5812"/>
      <c r="Q2" s="5812"/>
      <c r="R2" s="5812"/>
      <c r="S2" s="5812"/>
      <c r="T2" s="5812"/>
      <c r="U2" s="5812"/>
      <c r="V2" s="5812"/>
      <c r="W2" s="5812"/>
      <c r="X2" s="5812"/>
      <c r="Y2" s="5812"/>
      <c r="Z2" s="5812"/>
      <c r="AA2" s="5812"/>
      <c r="AB2" s="5812"/>
      <c r="AC2" s="5812"/>
      <c r="AD2" s="5812"/>
      <c r="AE2" s="5812"/>
      <c r="AF2" s="5812"/>
      <c r="AG2" s="5812"/>
      <c r="AH2" s="5812"/>
      <c r="AI2" s="5812"/>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838"/>
      <c r="C3" s="5812"/>
      <c r="D3" s="5812"/>
      <c r="E3" s="5812"/>
      <c r="F3" s="5812"/>
      <c r="G3" s="5812"/>
      <c r="H3" s="5812"/>
      <c r="I3" s="5812"/>
      <c r="J3" s="5812"/>
      <c r="K3" s="5812"/>
      <c r="L3" s="5812"/>
      <c r="M3" s="5812"/>
      <c r="N3" s="5812"/>
      <c r="O3" s="5812"/>
      <c r="P3" s="5812"/>
      <c r="Q3" s="5812"/>
      <c r="R3" s="5812"/>
      <c r="S3" s="5812"/>
      <c r="T3" s="5812"/>
      <c r="U3" s="5812"/>
      <c r="V3" s="5812"/>
      <c r="W3" s="5812"/>
      <c r="X3" s="5812"/>
      <c r="Y3" s="5812"/>
      <c r="Z3" s="5812"/>
      <c r="AA3" s="5812"/>
      <c r="AB3" s="5812"/>
      <c r="AC3" s="5812"/>
      <c r="AD3" s="5812"/>
      <c r="AE3" s="5812"/>
      <c r="AF3" s="5812"/>
      <c r="AG3" s="5812"/>
      <c r="AH3" s="5812"/>
      <c r="AI3" s="5812"/>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838"/>
      <c r="C4" s="5812"/>
      <c r="D4" s="5812"/>
      <c r="E4" s="5812"/>
      <c r="F4" s="5812"/>
      <c r="G4" s="5812"/>
      <c r="H4" s="5812"/>
      <c r="I4" s="5812"/>
      <c r="J4" s="5812"/>
      <c r="K4" s="5812"/>
      <c r="L4" s="5812"/>
      <c r="M4" s="5812"/>
      <c r="N4" s="5812"/>
      <c r="O4" s="5812"/>
      <c r="P4" s="5812"/>
      <c r="Q4" s="5812"/>
      <c r="R4" s="5812"/>
      <c r="S4" s="5812"/>
      <c r="T4" s="5812"/>
      <c r="U4" s="5812"/>
      <c r="V4" s="5812"/>
      <c r="W4" s="5812"/>
      <c r="X4" s="5812"/>
      <c r="Y4" s="5812"/>
      <c r="Z4" s="5812"/>
      <c r="AA4" s="5812"/>
      <c r="AB4" s="5812"/>
      <c r="AC4" s="5812"/>
      <c r="AD4" s="5812"/>
      <c r="AE4" s="5812"/>
      <c r="AF4" s="5812"/>
      <c r="AG4" s="5812"/>
      <c r="AH4" s="5812"/>
      <c r="AI4" s="5812"/>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838"/>
      <c r="H5"/>
      <c r="I5" s="592"/>
      <c r="N5"/>
      <c r="O5" s="592"/>
    </row>
    <row r="6" spans="1:109" ht="12.75" customHeight="1" thickBot="1" x14ac:dyDescent="0.25">
      <c r="A6" s="237">
        <v>6</v>
      </c>
      <c r="B6" s="5838"/>
      <c r="C6" s="3324" t="s">
        <v>2093</v>
      </c>
      <c r="E6" s="3324" t="s">
        <v>1306</v>
      </c>
      <c r="G6" s="3324" t="s">
        <v>813</v>
      </c>
      <c r="H6" s="3324"/>
      <c r="I6" s="592"/>
      <c r="J6" s="5985" t="s">
        <v>8866</v>
      </c>
      <c r="K6" s="5985"/>
      <c r="L6" s="5985"/>
      <c r="M6" s="5985"/>
      <c r="N6" s="5985"/>
      <c r="O6" s="5985"/>
      <c r="P6" s="5985"/>
      <c r="Q6" s="5985"/>
      <c r="S6" s="5986" t="s">
        <v>6690</v>
      </c>
      <c r="T6" s="5987"/>
      <c r="U6" s="5987"/>
      <c r="V6" s="5987"/>
      <c r="W6" s="5987"/>
      <c r="X6" s="5988"/>
      <c r="Y6" s="1280"/>
      <c r="Z6" s="1280"/>
    </row>
    <row r="7" spans="1:109" ht="12.75" customHeight="1" thickBot="1" x14ac:dyDescent="0.25">
      <c r="A7" s="237">
        <v>7</v>
      </c>
      <c r="B7" s="5838"/>
      <c r="C7" s="3324"/>
      <c r="E7" s="3324"/>
      <c r="G7" s="3324"/>
      <c r="H7" s="3324"/>
      <c r="I7" s="592"/>
      <c r="J7" s="5985" t="s">
        <v>8867</v>
      </c>
      <c r="K7" s="5985"/>
      <c r="L7" s="5985"/>
      <c r="M7" s="5985"/>
      <c r="N7" s="5985"/>
      <c r="O7" s="5985"/>
      <c r="P7" s="5985"/>
      <c r="Q7" s="5985"/>
      <c r="S7" s="5989"/>
      <c r="T7" s="5990"/>
      <c r="U7" s="5990"/>
      <c r="V7" s="5990"/>
      <c r="W7" s="5990"/>
      <c r="X7" s="5991"/>
      <c r="Y7" s="1280"/>
      <c r="Z7" s="1280"/>
    </row>
    <row r="8" spans="1:109" ht="12.75" customHeight="1" thickBot="1" x14ac:dyDescent="0.25">
      <c r="A8" s="237">
        <v>8</v>
      </c>
      <c r="B8" s="5838"/>
      <c r="C8" s="222" t="s">
        <v>2094</v>
      </c>
      <c r="E8" s="234" t="s">
        <v>1307</v>
      </c>
      <c r="G8" s="191" t="s">
        <v>814</v>
      </c>
      <c r="H8" s="39"/>
      <c r="I8" s="592"/>
      <c r="J8" s="6000" t="s">
        <v>10166</v>
      </c>
      <c r="K8" s="6000"/>
      <c r="L8" s="6000"/>
      <c r="M8" s="6000"/>
      <c r="N8" s="6000"/>
      <c r="O8" s="6000"/>
      <c r="P8" s="6000"/>
      <c r="Q8" s="6000"/>
      <c r="S8" s="725"/>
      <c r="T8" s="182" t="s">
        <v>6700</v>
      </c>
      <c r="U8" s="195" t="s">
        <v>6699</v>
      </c>
      <c r="V8" s="195" t="s">
        <v>6694</v>
      </c>
      <c r="W8" s="195" t="s">
        <v>6695</v>
      </c>
      <c r="X8" s="726" t="s">
        <v>650</v>
      </c>
    </row>
    <row r="9" spans="1:109" ht="12.75" customHeight="1" thickBot="1" x14ac:dyDescent="0.25">
      <c r="A9" s="237">
        <v>9</v>
      </c>
      <c r="B9" s="5838"/>
      <c r="C9" s="223" t="s">
        <v>1384</v>
      </c>
      <c r="E9" s="235" t="s">
        <v>1308</v>
      </c>
      <c r="G9" s="192" t="s">
        <v>815</v>
      </c>
      <c r="H9" s="77"/>
      <c r="I9" s="592"/>
      <c r="J9" s="6000"/>
      <c r="K9" s="6000"/>
      <c r="L9" s="6000"/>
      <c r="M9" s="6000"/>
      <c r="N9" s="6000"/>
      <c r="O9" s="6000"/>
      <c r="P9" s="6000"/>
      <c r="Q9" s="6000"/>
      <c r="S9" s="652" t="s">
        <v>6691</v>
      </c>
      <c r="T9" s="94">
        <f>VLOOKUP($S9&amp;$X$15,$U$14:$W$22,2,FALSE)</f>
        <v>0</v>
      </c>
      <c r="U9" s="94">
        <f>VLOOKUP($S9&amp;$X$15,$U$14:$W$22,3,FALSE)</f>
        <v>0</v>
      </c>
      <c r="V9" s="94">
        <f>1/4</f>
        <v>0.25</v>
      </c>
      <c r="W9" s="94"/>
      <c r="X9" s="514">
        <v>0</v>
      </c>
    </row>
    <row r="10" spans="1:109" ht="12.75" customHeight="1" thickBot="1" x14ac:dyDescent="0.25">
      <c r="A10" s="237">
        <v>10</v>
      </c>
      <c r="B10" s="5838"/>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838"/>
      <c r="C11" s="5887" t="s">
        <v>1987</v>
      </c>
      <c r="D11" s="5887"/>
      <c r="E11" s="5887"/>
      <c r="G11" s="5947" t="s">
        <v>2009</v>
      </c>
      <c r="H11" s="5947"/>
      <c r="I11" s="5947"/>
      <c r="J11" s="5947"/>
      <c r="L11" s="5847" t="s">
        <v>1147</v>
      </c>
      <c r="M11" s="5848"/>
      <c r="N11" s="5849"/>
      <c r="O11" s="592"/>
      <c r="P11" s="4595" t="s">
        <v>1205</v>
      </c>
      <c r="Q11" s="4595"/>
      <c r="S11" s="652" t="s">
        <v>6692</v>
      </c>
      <c r="T11" s="94">
        <f>VLOOKUP($S11&amp;$X$15,$U$14:$W$22,2,FALSE)</f>
        <v>20</v>
      </c>
      <c r="U11" s="94">
        <f>VLOOKUP($S11&amp;$X$15,$U$14:$W$22,3,FALSE)</f>
        <v>0.25</v>
      </c>
      <c r="V11" s="94">
        <v>1</v>
      </c>
      <c r="W11" s="94"/>
      <c r="X11" s="514">
        <v>1</v>
      </c>
    </row>
    <row r="12" spans="1:109" ht="12.75" customHeight="1" thickBot="1" x14ac:dyDescent="0.25">
      <c r="A12" s="237">
        <v>12</v>
      </c>
      <c r="B12" s="5838"/>
      <c r="C12" s="5887"/>
      <c r="D12" s="5887"/>
      <c r="E12" s="5887"/>
      <c r="G12" s="5947"/>
      <c r="H12" s="5947"/>
      <c r="I12" s="5947"/>
      <c r="J12" s="5947"/>
      <c r="L12" s="5850"/>
      <c r="M12" s="4595"/>
      <c r="N12" s="5851"/>
      <c r="O12" s="592"/>
      <c r="P12" s="4595"/>
      <c r="Q12" s="4595"/>
      <c r="S12" s="796" t="s">
        <v>7266</v>
      </c>
      <c r="T12" s="518" t="s">
        <v>1459</v>
      </c>
      <c r="U12" s="518" t="s">
        <v>1459</v>
      </c>
      <c r="V12" s="518" t="s">
        <v>1459</v>
      </c>
      <c r="W12" s="518" t="s">
        <v>1459</v>
      </c>
      <c r="X12" s="727" t="s">
        <v>1459</v>
      </c>
    </row>
    <row r="13" spans="1:109" ht="12.75" customHeight="1" thickBot="1" x14ac:dyDescent="0.25">
      <c r="A13" s="237">
        <v>13</v>
      </c>
      <c r="B13" s="5838"/>
      <c r="C13" s="632" t="s">
        <v>1988</v>
      </c>
      <c r="D13" s="182" t="s">
        <v>1370</v>
      </c>
      <c r="E13" s="183" t="s">
        <v>1493</v>
      </c>
      <c r="G13" s="181" t="s">
        <v>1386</v>
      </c>
      <c r="H13" s="182" t="s">
        <v>2010</v>
      </c>
      <c r="I13" s="182" t="s">
        <v>2011</v>
      </c>
      <c r="J13" s="183" t="s">
        <v>2012</v>
      </c>
      <c r="L13" s="1495" t="s">
        <v>1386</v>
      </c>
      <c r="M13" s="1496" t="s">
        <v>1148</v>
      </c>
      <c r="N13" s="1497" t="s">
        <v>8853</v>
      </c>
      <c r="O13" s="592"/>
      <c r="P13" s="208" t="s">
        <v>1206</v>
      </c>
      <c r="Q13" s="210" t="s">
        <v>1207</v>
      </c>
      <c r="S13" s="731"/>
      <c r="T13" s="734" t="s">
        <v>2054</v>
      </c>
      <c r="U13" s="799" t="s">
        <v>6698</v>
      </c>
      <c r="V13" s="735" t="s">
        <v>6693</v>
      </c>
      <c r="W13" s="736" t="s">
        <v>2837</v>
      </c>
      <c r="X13" s="728" t="s">
        <v>6697</v>
      </c>
    </row>
    <row r="14" spans="1:109" ht="12.75" customHeight="1" x14ac:dyDescent="0.2">
      <c r="A14" s="237">
        <v>14</v>
      </c>
      <c r="B14" s="5838"/>
      <c r="C14" s="633">
        <v>1</v>
      </c>
      <c r="D14" s="200">
        <v>-30</v>
      </c>
      <c r="E14" s="201">
        <v>1</v>
      </c>
      <c r="G14" s="202">
        <v>1</v>
      </c>
      <c r="H14" s="94">
        <v>0</v>
      </c>
      <c r="I14" s="94">
        <v>0.5</v>
      </c>
      <c r="J14" s="58">
        <v>1</v>
      </c>
      <c r="L14" s="1494">
        <v>1</v>
      </c>
      <c r="M14" s="1419">
        <v>-30</v>
      </c>
      <c r="N14" s="1420"/>
      <c r="O14" s="592"/>
      <c r="P14" s="79">
        <v>1</v>
      </c>
      <c r="Q14" s="242">
        <v>1</v>
      </c>
      <c r="S14" s="731" t="s">
        <v>6691</v>
      </c>
      <c r="T14" s="1054" t="s">
        <v>2070</v>
      </c>
      <c r="U14" s="800" t="str">
        <f>S14&amp;T14</f>
        <v>BajoMístico</v>
      </c>
      <c r="V14" s="94">
        <v>40</v>
      </c>
      <c r="W14" s="737">
        <f>0.3</f>
        <v>0.3</v>
      </c>
      <c r="X14" s="729" t="str">
        <f>IF(PDs!P5="","",VLOOKUP(PDs!P5,$D$202:$CH$223,83,FALSE))</f>
        <v/>
      </c>
    </row>
    <row r="15" spans="1:109" ht="12.75" customHeight="1" thickBot="1" x14ac:dyDescent="0.25">
      <c r="A15" s="237">
        <v>15</v>
      </c>
      <c r="B15" s="5838"/>
      <c r="C15" s="634">
        <v>2</v>
      </c>
      <c r="D15" s="94">
        <v>-20</v>
      </c>
      <c r="E15" s="58">
        <v>2</v>
      </c>
      <c r="G15" s="202">
        <v>2</v>
      </c>
      <c r="H15" s="94">
        <v>0</v>
      </c>
      <c r="I15" s="94">
        <v>5</v>
      </c>
      <c r="J15" s="58">
        <v>10</v>
      </c>
      <c r="L15" s="652">
        <v>2</v>
      </c>
      <c r="M15" s="94">
        <v>-30</v>
      </c>
      <c r="N15" s="514"/>
      <c r="O15" s="592"/>
      <c r="P15" s="79">
        <v>2</v>
      </c>
      <c r="Q15" s="242">
        <v>1</v>
      </c>
      <c r="S15" s="732" t="s">
        <v>6691</v>
      </c>
      <c r="T15" s="1054" t="s">
        <v>6696</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838"/>
      <c r="C16" s="634">
        <v>3</v>
      </c>
      <c r="D16" s="94">
        <v>-10</v>
      </c>
      <c r="E16" s="58">
        <v>3</v>
      </c>
      <c r="G16" s="202">
        <v>3</v>
      </c>
      <c r="H16" s="94">
        <v>0</v>
      </c>
      <c r="I16" s="94">
        <v>10</v>
      </c>
      <c r="J16" s="58">
        <v>20</v>
      </c>
      <c r="L16" s="652">
        <v>3</v>
      </c>
      <c r="M16" s="94">
        <v>-30</v>
      </c>
      <c r="N16" s="514"/>
      <c r="O16" s="592"/>
      <c r="P16" s="79">
        <v>3</v>
      </c>
      <c r="Q16" s="242">
        <v>1</v>
      </c>
      <c r="S16" s="732" t="s">
        <v>6691</v>
      </c>
      <c r="T16" s="1054" t="s">
        <v>6497</v>
      </c>
      <c r="U16" s="800" t="str">
        <f t="shared" si="0"/>
        <v>BajoOtros</v>
      </c>
      <c r="V16" s="94">
        <v>0</v>
      </c>
      <c r="W16" s="737">
        <v>0</v>
      </c>
    </row>
    <row r="17" spans="1:36" ht="12.75" customHeight="1" x14ac:dyDescent="0.2">
      <c r="A17" s="237">
        <v>17</v>
      </c>
      <c r="B17" s="5838"/>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838"/>
      <c r="C18" s="634">
        <v>5</v>
      </c>
      <c r="D18" s="94">
        <v>0</v>
      </c>
      <c r="E18" s="58">
        <v>5</v>
      </c>
      <c r="G18" s="202">
        <v>5</v>
      </c>
      <c r="H18" s="94">
        <v>0</v>
      </c>
      <c r="I18" s="94">
        <v>25</v>
      </c>
      <c r="J18" s="58">
        <v>60</v>
      </c>
      <c r="L18" s="652">
        <v>5</v>
      </c>
      <c r="M18" s="94">
        <v>0</v>
      </c>
      <c r="N18" s="514"/>
      <c r="O18" s="592"/>
      <c r="P18" s="79">
        <v>5</v>
      </c>
      <c r="Q18" s="242">
        <v>1</v>
      </c>
      <c r="S18" s="732" t="s">
        <v>1732</v>
      </c>
      <c r="T18" s="1054" t="s">
        <v>6696</v>
      </c>
      <c r="U18" s="800" t="str">
        <f t="shared" si="0"/>
        <v>MedioMixto</v>
      </c>
      <c r="V18" s="94">
        <v>40</v>
      </c>
      <c r="W18" s="737">
        <v>0.4</v>
      </c>
    </row>
    <row r="19" spans="1:36" ht="12.75" customHeight="1" x14ac:dyDescent="0.2">
      <c r="A19" s="237">
        <v>19</v>
      </c>
      <c r="B19" s="5838"/>
      <c r="C19" s="635">
        <v>6</v>
      </c>
      <c r="D19" s="94">
        <v>5</v>
      </c>
      <c r="E19" s="58">
        <v>6</v>
      </c>
      <c r="G19" s="96">
        <v>6</v>
      </c>
      <c r="H19" s="94">
        <v>0</v>
      </c>
      <c r="I19" s="94">
        <v>40</v>
      </c>
      <c r="J19" s="58">
        <v>120</v>
      </c>
      <c r="L19" s="652">
        <v>6</v>
      </c>
      <c r="M19" s="94">
        <v>0</v>
      </c>
      <c r="N19" s="514"/>
      <c r="O19" s="592"/>
      <c r="P19" s="79">
        <v>6</v>
      </c>
      <c r="Q19" s="242">
        <v>1</v>
      </c>
      <c r="S19" s="733" t="s">
        <v>1732</v>
      </c>
      <c r="T19" s="1056" t="s">
        <v>6497</v>
      </c>
      <c r="U19" s="802" t="str">
        <f t="shared" si="0"/>
        <v>MedioOtros</v>
      </c>
      <c r="V19" s="738">
        <v>10</v>
      </c>
      <c r="W19" s="738">
        <v>0.1</v>
      </c>
      <c r="X19" s="5994" t="s">
        <v>7349</v>
      </c>
    </row>
    <row r="20" spans="1:36" ht="12.75" customHeight="1" x14ac:dyDescent="0.2">
      <c r="A20" s="237">
        <v>20</v>
      </c>
      <c r="B20" s="5838"/>
      <c r="C20" s="635">
        <v>7</v>
      </c>
      <c r="D20" s="94">
        <v>5</v>
      </c>
      <c r="E20" s="58">
        <v>7</v>
      </c>
      <c r="G20" s="96">
        <v>7</v>
      </c>
      <c r="H20" s="94">
        <v>0</v>
      </c>
      <c r="I20" s="94">
        <v>60</v>
      </c>
      <c r="J20" s="58">
        <v>180</v>
      </c>
      <c r="L20" s="652">
        <v>7</v>
      </c>
      <c r="M20" s="94">
        <v>10</v>
      </c>
      <c r="N20" s="514"/>
      <c r="O20" s="592"/>
      <c r="P20" s="79">
        <v>7</v>
      </c>
      <c r="Q20" s="242">
        <v>1</v>
      </c>
      <c r="S20" s="732" t="s">
        <v>6692</v>
      </c>
      <c r="T20" s="1054" t="s">
        <v>2070</v>
      </c>
      <c r="U20" s="800" t="str">
        <f t="shared" si="0"/>
        <v>AltoMístico</v>
      </c>
      <c r="V20" s="94">
        <v>60</v>
      </c>
      <c r="W20" s="94">
        <v>0.8</v>
      </c>
      <c r="X20" s="5995"/>
    </row>
    <row r="21" spans="1:36" ht="12.75" customHeight="1" x14ac:dyDescent="0.2">
      <c r="A21" s="237">
        <v>21</v>
      </c>
      <c r="B21" s="5838"/>
      <c r="C21" s="635">
        <v>8</v>
      </c>
      <c r="D21" s="94">
        <v>10</v>
      </c>
      <c r="E21" s="58">
        <v>8</v>
      </c>
      <c r="G21" s="96">
        <v>8</v>
      </c>
      <c r="H21" s="94">
        <v>1</v>
      </c>
      <c r="I21" s="94">
        <v>80</v>
      </c>
      <c r="J21" s="58">
        <v>260</v>
      </c>
      <c r="L21" s="652">
        <v>8</v>
      </c>
      <c r="M21" s="94">
        <v>20</v>
      </c>
      <c r="N21" s="514"/>
      <c r="O21" s="592"/>
      <c r="P21" s="79">
        <v>8</v>
      </c>
      <c r="Q21" s="242">
        <v>1</v>
      </c>
      <c r="S21" s="732" t="s">
        <v>6692</v>
      </c>
      <c r="T21" s="1054" t="s">
        <v>6696</v>
      </c>
      <c r="U21" s="800" t="str">
        <f t="shared" si="0"/>
        <v>AltoMixto</v>
      </c>
      <c r="V21" s="94">
        <v>50</v>
      </c>
      <c r="W21" s="94">
        <v>0.6</v>
      </c>
      <c r="X21" s="6001" t="b">
        <f>AND(Nivel_Sobrenatural&lt;&gt;Tablas!S12,General!$X$12="")</f>
        <v>0</v>
      </c>
    </row>
    <row r="22" spans="1:36" ht="12.75" customHeight="1" thickBot="1" x14ac:dyDescent="0.25">
      <c r="A22" s="237">
        <v>22</v>
      </c>
      <c r="B22" s="5838"/>
      <c r="C22" s="635">
        <v>9</v>
      </c>
      <c r="D22" s="94">
        <v>10</v>
      </c>
      <c r="E22" s="58">
        <v>10</v>
      </c>
      <c r="G22" s="96">
        <v>9</v>
      </c>
      <c r="H22" s="94">
        <v>1</v>
      </c>
      <c r="I22" s="94">
        <v>100</v>
      </c>
      <c r="J22" s="58">
        <v>350</v>
      </c>
      <c r="L22" s="652">
        <v>9</v>
      </c>
      <c r="M22" s="94">
        <v>30</v>
      </c>
      <c r="N22" s="514"/>
      <c r="O22" s="592"/>
      <c r="P22" s="79">
        <v>9</v>
      </c>
      <c r="Q22" s="242">
        <v>1</v>
      </c>
      <c r="S22" s="733" t="s">
        <v>6692</v>
      </c>
      <c r="T22" s="1056" t="s">
        <v>6497</v>
      </c>
      <c r="U22" s="802" t="str">
        <f t="shared" si="0"/>
        <v>AltoOtros</v>
      </c>
      <c r="V22" s="738">
        <v>20</v>
      </c>
      <c r="W22" s="738">
        <v>0.25</v>
      </c>
      <c r="X22" s="6002"/>
    </row>
    <row r="23" spans="1:36" ht="12.75" customHeight="1" thickBot="1" x14ac:dyDescent="0.25">
      <c r="A23" s="237">
        <v>23</v>
      </c>
      <c r="B23" s="5838"/>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838"/>
      <c r="C24" s="635">
        <v>11</v>
      </c>
      <c r="D24" s="94">
        <v>20</v>
      </c>
      <c r="E24" s="58">
        <v>20</v>
      </c>
      <c r="G24" s="96">
        <v>11</v>
      </c>
      <c r="H24" s="94">
        <v>3</v>
      </c>
      <c r="I24" s="94">
        <v>200</v>
      </c>
      <c r="J24" s="58">
        <v>600</v>
      </c>
      <c r="L24" s="652">
        <v>11</v>
      </c>
      <c r="M24" s="94">
        <v>100</v>
      </c>
      <c r="N24" s="514">
        <v>5</v>
      </c>
      <c r="O24" s="592"/>
      <c r="P24" s="79">
        <v>11</v>
      </c>
      <c r="Q24" s="242">
        <v>2</v>
      </c>
      <c r="T24" s="5996" t="s">
        <v>7368</v>
      </c>
      <c r="U24" s="5997"/>
      <c r="W24" s="5847" t="s">
        <v>1145</v>
      </c>
      <c r="X24" s="5848"/>
      <c r="Y24" s="5849"/>
      <c r="AA24" s="6003" t="s">
        <v>2079</v>
      </c>
      <c r="AB24" s="6004"/>
      <c r="AC24" s="6005"/>
      <c r="AE24" s="6003" t="s">
        <v>2082</v>
      </c>
      <c r="AF24" s="6004"/>
      <c r="AG24" s="6005"/>
      <c r="AI24" s="6067" t="s">
        <v>1478</v>
      </c>
      <c r="AJ24" s="6068"/>
    </row>
    <row r="25" spans="1:36" ht="12.75" customHeight="1" x14ac:dyDescent="0.2">
      <c r="A25" s="237">
        <v>25</v>
      </c>
      <c r="B25" s="5838"/>
      <c r="C25" s="635">
        <v>12</v>
      </c>
      <c r="D25" s="94">
        <v>20</v>
      </c>
      <c r="E25" s="58">
        <v>30</v>
      </c>
      <c r="G25" s="96">
        <v>12</v>
      </c>
      <c r="H25" s="94">
        <v>3</v>
      </c>
      <c r="I25" s="94">
        <v>350</v>
      </c>
      <c r="J25" s="58">
        <v>1000</v>
      </c>
      <c r="L25" s="652">
        <v>12</v>
      </c>
      <c r="M25" s="94">
        <v>250</v>
      </c>
      <c r="N25" s="514">
        <v>10</v>
      </c>
      <c r="O25" s="592"/>
      <c r="P25" s="79">
        <v>12</v>
      </c>
      <c r="Q25" s="242">
        <v>2</v>
      </c>
      <c r="T25" s="5998"/>
      <c r="U25" s="5999"/>
      <c r="W25" s="5850"/>
      <c r="X25" s="4595"/>
      <c r="Y25" s="5851"/>
      <c r="AA25" s="6006"/>
      <c r="AB25" s="6007"/>
      <c r="AC25" s="6008"/>
      <c r="AE25" s="6006"/>
      <c r="AF25" s="6007"/>
      <c r="AG25" s="6008"/>
      <c r="AI25" s="6069"/>
      <c r="AJ25" s="6070"/>
    </row>
    <row r="26" spans="1:36" ht="13.5" customHeight="1" thickBot="1" x14ac:dyDescent="0.25">
      <c r="A26" s="237">
        <v>26</v>
      </c>
      <c r="B26" s="5838"/>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838"/>
      <c r="C27" s="635">
        <v>14</v>
      </c>
      <c r="D27" s="94">
        <v>25</v>
      </c>
      <c r="E27" s="58">
        <v>50</v>
      </c>
      <c r="G27" s="96">
        <v>14</v>
      </c>
      <c r="H27" s="94">
        <v>4</v>
      </c>
      <c r="I27" s="94">
        <v>5000</v>
      </c>
      <c r="J27" s="58">
        <v>25000</v>
      </c>
      <c r="L27" s="652">
        <v>14</v>
      </c>
      <c r="M27" s="94">
        <v>1000</v>
      </c>
      <c r="N27" s="514">
        <v>15</v>
      </c>
      <c r="O27" s="592"/>
      <c r="P27" s="79">
        <v>14</v>
      </c>
      <c r="Q27" s="242">
        <v>3</v>
      </c>
      <c r="T27" s="652">
        <v>20</v>
      </c>
      <c r="U27" s="514" t="s">
        <v>7369</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838"/>
      <c r="C28" s="634">
        <v>15</v>
      </c>
      <c r="D28" s="94">
        <v>30</v>
      </c>
      <c r="E28" s="58">
        <v>60</v>
      </c>
      <c r="G28" s="202">
        <v>15</v>
      </c>
      <c r="H28" s="94">
        <v>5</v>
      </c>
      <c r="I28" s="94">
        <v>15000</v>
      </c>
      <c r="J28" s="58">
        <v>100000</v>
      </c>
      <c r="L28" s="652">
        <v>15</v>
      </c>
      <c r="M28" s="94">
        <v>5000</v>
      </c>
      <c r="N28" s="514">
        <v>15</v>
      </c>
      <c r="O28" s="592"/>
      <c r="P28" s="79">
        <v>15</v>
      </c>
      <c r="Q28" s="242">
        <v>3</v>
      </c>
      <c r="T28" s="652">
        <v>40</v>
      </c>
      <c r="U28" s="514" t="s">
        <v>7370</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838"/>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7371</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838"/>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7380</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838"/>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7372</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838"/>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7373</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838"/>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7374</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838"/>
      <c r="C34"/>
      <c r="D34"/>
      <c r="E34"/>
      <c r="F34"/>
      <c r="G34"/>
      <c r="H34"/>
      <c r="J34"/>
      <c r="K34"/>
      <c r="L34"/>
      <c r="M34"/>
      <c r="N34"/>
      <c r="P34"/>
      <c r="Q34"/>
      <c r="R34"/>
      <c r="T34" s="936">
        <v>280</v>
      </c>
      <c r="U34" s="514" t="s">
        <v>7375</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838"/>
      <c r="C35" s="2998" t="s">
        <v>1989</v>
      </c>
      <c r="D35" s="2999"/>
      <c r="E35" s="2999"/>
      <c r="F35" s="2999"/>
      <c r="G35" s="2999"/>
      <c r="H35" s="3000"/>
      <c r="J35" s="5992" t="s">
        <v>2013</v>
      </c>
      <c r="K35" s="5993"/>
      <c r="M35" s="5986" t="s">
        <v>2098</v>
      </c>
      <c r="N35" s="5987"/>
      <c r="O35" s="5988"/>
      <c r="Q35" s="2998" t="s">
        <v>2095</v>
      </c>
      <c r="R35" s="3000"/>
      <c r="T35" s="936">
        <v>320</v>
      </c>
      <c r="U35" s="514" t="s">
        <v>7376</v>
      </c>
      <c r="W35" s="96">
        <v>40</v>
      </c>
      <c r="X35" s="94">
        <v>300</v>
      </c>
      <c r="Y35" s="1287">
        <v>6</v>
      </c>
      <c r="AA35" s="635">
        <v>32</v>
      </c>
      <c r="AB35" s="55">
        <v>350</v>
      </c>
      <c r="AC35" s="143">
        <v>50</v>
      </c>
      <c r="AI35" s="1288">
        <v>9</v>
      </c>
      <c r="AJ35" s="1287">
        <v>4</v>
      </c>
    </row>
    <row r="36" spans="1:41" ht="14.85" customHeight="1" thickBot="1" x14ac:dyDescent="0.25">
      <c r="A36" s="237">
        <v>36</v>
      </c>
      <c r="B36" s="5838"/>
      <c r="C36" s="3018"/>
      <c r="D36" s="3019"/>
      <c r="E36" s="3019"/>
      <c r="F36" s="3019"/>
      <c r="G36" s="3019"/>
      <c r="H36" s="3020"/>
      <c r="J36" s="5992"/>
      <c r="K36" s="5993"/>
      <c r="M36" s="1263" t="s">
        <v>2099</v>
      </c>
      <c r="N36" s="182" t="s">
        <v>2100</v>
      </c>
      <c r="O36" s="1242" t="s">
        <v>2101</v>
      </c>
      <c r="Q36" s="3018"/>
      <c r="R36" s="3020"/>
      <c r="T36" s="936">
        <v>440</v>
      </c>
      <c r="U36" s="514" t="s">
        <v>7377</v>
      </c>
      <c r="W36" s="96">
        <v>45</v>
      </c>
      <c r="X36" s="94">
        <v>500</v>
      </c>
      <c r="Y36" s="1287">
        <v>10</v>
      </c>
      <c r="AA36" s="1289">
        <v>35</v>
      </c>
      <c r="AB36" s="638">
        <v>500</v>
      </c>
      <c r="AC36" s="643">
        <v>60</v>
      </c>
      <c r="AI36" s="1288">
        <v>10</v>
      </c>
      <c r="AJ36" s="1287">
        <v>5</v>
      </c>
    </row>
    <row r="37" spans="1:41" ht="14.85" customHeight="1" thickBot="1" x14ac:dyDescent="0.25">
      <c r="A37" s="237">
        <v>37</v>
      </c>
      <c r="B37" s="5838"/>
      <c r="C37" s="1255" t="s">
        <v>1501</v>
      </c>
      <c r="D37" s="1256" t="s">
        <v>1371</v>
      </c>
      <c r="E37" s="5984" t="s">
        <v>1990</v>
      </c>
      <c r="F37" s="5984"/>
      <c r="G37" s="1257" t="s">
        <v>1991</v>
      </c>
      <c r="H37" s="1258" t="s">
        <v>1480</v>
      </c>
      <c r="J37" s="181" t="s">
        <v>2014</v>
      </c>
      <c r="K37" s="196" t="s">
        <v>1390</v>
      </c>
      <c r="M37" s="1264">
        <v>1</v>
      </c>
      <c r="N37" s="94">
        <v>5</v>
      </c>
      <c r="O37" s="1204">
        <v>0</v>
      </c>
      <c r="Q37" s="725" t="s">
        <v>2096</v>
      </c>
      <c r="R37" s="726" t="s">
        <v>2097</v>
      </c>
      <c r="T37" s="936" t="s">
        <v>7378</v>
      </c>
      <c r="U37" s="514" t="s">
        <v>7377</v>
      </c>
      <c r="W37" s="197">
        <v>50</v>
      </c>
      <c r="X37" s="198">
        <v>750</v>
      </c>
      <c r="Y37" s="1290">
        <v>15</v>
      </c>
      <c r="AI37" s="1288">
        <v>11</v>
      </c>
      <c r="AJ37" s="1287">
        <v>6</v>
      </c>
    </row>
    <row r="38" spans="1:41" ht="14.85" customHeight="1" thickBot="1" x14ac:dyDescent="0.25">
      <c r="A38" s="237">
        <v>38</v>
      </c>
      <c r="B38" s="5838"/>
      <c r="C38" s="652">
        <v>1</v>
      </c>
      <c r="D38" s="55">
        <v>0</v>
      </c>
      <c r="E38" s="5978" t="s">
        <v>1992</v>
      </c>
      <c r="F38" s="5978"/>
      <c r="G38" s="274" t="s">
        <v>1992</v>
      </c>
      <c r="H38" s="1259" t="str">
        <f>""</f>
        <v/>
      </c>
      <c r="J38" s="96">
        <v>1</v>
      </c>
      <c r="K38" s="204" t="s">
        <v>2015</v>
      </c>
      <c r="M38" s="1264">
        <v>2</v>
      </c>
      <c r="N38" s="94">
        <v>20</v>
      </c>
      <c r="O38" s="1204">
        <v>0</v>
      </c>
      <c r="Q38" s="652">
        <v>0</v>
      </c>
      <c r="R38" s="514">
        <v>1</v>
      </c>
      <c r="T38" s="937" t="s">
        <v>7379</v>
      </c>
      <c r="U38" s="727" t="s">
        <v>7377</v>
      </c>
      <c r="AI38" s="1288">
        <v>12</v>
      </c>
      <c r="AJ38" s="1287">
        <v>7</v>
      </c>
    </row>
    <row r="39" spans="1:41" ht="12.75" customHeight="1" thickBot="1" x14ac:dyDescent="0.25">
      <c r="A39" s="237">
        <v>39</v>
      </c>
      <c r="B39" s="5838"/>
      <c r="C39" s="652">
        <v>2</v>
      </c>
      <c r="D39" s="55">
        <v>0</v>
      </c>
      <c r="E39" s="5978" t="s">
        <v>1992</v>
      </c>
      <c r="F39" s="5978"/>
      <c r="G39" s="274" t="s">
        <v>1992</v>
      </c>
      <c r="H39" s="1237" t="str">
        <f>""</f>
        <v/>
      </c>
      <c r="J39" s="96">
        <v>2</v>
      </c>
      <c r="K39" s="204" t="s">
        <v>2016</v>
      </c>
      <c r="M39" s="1264">
        <v>3</v>
      </c>
      <c r="N39" s="94">
        <v>40</v>
      </c>
      <c r="O39" s="1204">
        <v>0</v>
      </c>
      <c r="Q39" s="652">
        <v>11</v>
      </c>
      <c r="R39" s="514">
        <v>2</v>
      </c>
      <c r="W39" s="5847" t="s">
        <v>7259</v>
      </c>
      <c r="X39" s="5849"/>
      <c r="AI39" s="1288">
        <v>13</v>
      </c>
      <c r="AJ39" s="1287">
        <v>8</v>
      </c>
    </row>
    <row r="40" spans="1:41" ht="12.75" customHeight="1" thickBot="1" x14ac:dyDescent="0.25">
      <c r="A40" s="237">
        <v>40</v>
      </c>
      <c r="B40" s="5838"/>
      <c r="C40" s="652">
        <v>3</v>
      </c>
      <c r="D40" s="55">
        <v>1</v>
      </c>
      <c r="E40" s="5978" t="str">
        <f>IF($G$517,"5","10")&amp;" PV / día"</f>
        <v>10 PV / día</v>
      </c>
      <c r="F40" s="5978"/>
      <c r="G40" s="1260" t="s">
        <v>1993</v>
      </c>
      <c r="H40" s="1237" t="str">
        <f>""</f>
        <v/>
      </c>
      <c r="J40" s="96">
        <v>3</v>
      </c>
      <c r="K40" s="204" t="s">
        <v>2017</v>
      </c>
      <c r="M40" s="1264">
        <v>4</v>
      </c>
      <c r="N40" s="94">
        <v>55</v>
      </c>
      <c r="O40" s="1204">
        <v>0</v>
      </c>
      <c r="Q40" s="652">
        <v>15</v>
      </c>
      <c r="R40" s="514">
        <v>3</v>
      </c>
      <c r="T40" s="2998" t="s">
        <v>1249</v>
      </c>
      <c r="U40" s="3000"/>
      <c r="W40" s="6009"/>
      <c r="X40" s="6010"/>
      <c r="AI40" s="1288">
        <v>14</v>
      </c>
      <c r="AJ40" s="1287">
        <v>9</v>
      </c>
    </row>
    <row r="41" spans="1:41" ht="12.75" customHeight="1" x14ac:dyDescent="0.2">
      <c r="A41" s="237">
        <v>41</v>
      </c>
      <c r="B41" s="5838"/>
      <c r="C41" s="652">
        <v>4</v>
      </c>
      <c r="D41" s="55">
        <v>1</v>
      </c>
      <c r="E41" s="5978" t="str">
        <f>IF($G$517,"5","10")&amp;" PV / día"</f>
        <v>10 PV / día</v>
      </c>
      <c r="F41" s="5978"/>
      <c r="G41" s="1260" t="s">
        <v>1993</v>
      </c>
      <c r="H41" s="1237" t="str">
        <f>""</f>
        <v/>
      </c>
      <c r="J41" s="96">
        <v>4</v>
      </c>
      <c r="K41" s="204" t="s">
        <v>2018</v>
      </c>
      <c r="M41" s="1264">
        <v>5</v>
      </c>
      <c r="N41" s="94">
        <v>70</v>
      </c>
      <c r="O41" s="1204">
        <v>5</v>
      </c>
      <c r="Q41" s="652">
        <v>20</v>
      </c>
      <c r="R41" s="514">
        <v>4</v>
      </c>
      <c r="T41" s="3018"/>
      <c r="U41" s="3020"/>
      <c r="W41" s="336" t="s">
        <v>1380</v>
      </c>
      <c r="X41" s="654"/>
      <c r="AI41" s="1288">
        <v>15</v>
      </c>
      <c r="AJ41" s="1287">
        <v>10</v>
      </c>
    </row>
    <row r="42" spans="1:41" ht="12.75" customHeight="1" thickBot="1" x14ac:dyDescent="0.25">
      <c r="A42" s="237">
        <v>42</v>
      </c>
      <c r="B42" s="5838"/>
      <c r="C42" s="652">
        <v>5</v>
      </c>
      <c r="D42" s="55">
        <v>1</v>
      </c>
      <c r="E42" s="5978" t="str">
        <f>IF($G$517,"5","10")&amp;" PV / día"</f>
        <v>10 PV / día</v>
      </c>
      <c r="F42" s="5978"/>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838"/>
      <c r="C43" s="652">
        <v>6</v>
      </c>
      <c r="D43" s="55">
        <v>1</v>
      </c>
      <c r="E43" s="5978" t="str">
        <f>IF($G$517,"5","10")&amp;" PV / día"</f>
        <v>10 PV / día</v>
      </c>
      <c r="F43" s="5978"/>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838"/>
      <c r="C44" s="652">
        <v>7</v>
      </c>
      <c r="D44" s="55">
        <v>1</v>
      </c>
      <c r="E44" s="5978" t="str">
        <f>IF($G$517,"5","10")&amp;" PV / día"</f>
        <v>10 PV / día</v>
      </c>
      <c r="F44" s="5978"/>
      <c r="G44" s="1260" t="s">
        <v>1993</v>
      </c>
      <c r="H44" s="1237" t="str">
        <f>""</f>
        <v/>
      </c>
      <c r="J44" s="96">
        <v>7</v>
      </c>
      <c r="K44" s="204" t="s">
        <v>2021</v>
      </c>
      <c r="M44" s="1264">
        <v>8</v>
      </c>
      <c r="N44" s="94">
        <v>110</v>
      </c>
      <c r="O44" s="1204">
        <v>10</v>
      </c>
      <c r="Q44" s="652">
        <v>29</v>
      </c>
      <c r="R44" s="514">
        <v>8</v>
      </c>
      <c r="T44" s="1269">
        <v>7</v>
      </c>
      <c r="U44" s="514">
        <v>320</v>
      </c>
      <c r="W44" s="5847" t="s">
        <v>1963</v>
      </c>
      <c r="X44" s="5848"/>
      <c r="Y44" s="5848"/>
      <c r="Z44" s="5848"/>
      <c r="AA44" s="5848"/>
      <c r="AB44" s="5848"/>
      <c r="AC44" s="5848"/>
      <c r="AD44" s="5848"/>
      <c r="AE44" s="5848"/>
      <c r="AF44" s="5849"/>
      <c r="AI44" s="1288">
        <v>18</v>
      </c>
      <c r="AJ44" s="1287">
        <v>10</v>
      </c>
    </row>
    <row r="45" spans="1:41" ht="14.85" customHeight="1" thickBot="1" x14ac:dyDescent="0.25">
      <c r="A45" s="237">
        <v>45</v>
      </c>
      <c r="B45" s="5838"/>
      <c r="C45" s="652">
        <v>8</v>
      </c>
      <c r="D45" s="55">
        <v>2</v>
      </c>
      <c r="E45" s="5978" t="str">
        <f>IF($G$517,"10","20")&amp;" PV / día"</f>
        <v>20 PV / día</v>
      </c>
      <c r="F45" s="5978"/>
      <c r="G45" s="1260" t="s">
        <v>1993</v>
      </c>
      <c r="H45" s="1237" t="str">
        <f>""</f>
        <v/>
      </c>
      <c r="J45" s="96">
        <v>8</v>
      </c>
      <c r="K45" s="204" t="s">
        <v>2022</v>
      </c>
      <c r="M45" s="1264">
        <v>9</v>
      </c>
      <c r="N45" s="94">
        <v>120</v>
      </c>
      <c r="O45" s="1204">
        <v>10</v>
      </c>
      <c r="Q45" s="761">
        <v>32</v>
      </c>
      <c r="R45" s="727">
        <v>10</v>
      </c>
      <c r="T45" s="1270">
        <v>10</v>
      </c>
      <c r="U45" s="727">
        <v>1000</v>
      </c>
      <c r="W45" s="6009"/>
      <c r="X45" s="6011"/>
      <c r="Y45" s="6011"/>
      <c r="Z45" s="6011"/>
      <c r="AA45" s="6011"/>
      <c r="AB45" s="6011"/>
      <c r="AC45" s="6011"/>
      <c r="AD45" s="6011"/>
      <c r="AE45" s="6011"/>
      <c r="AF45" s="6010"/>
      <c r="AI45" s="1288">
        <v>19</v>
      </c>
      <c r="AJ45" s="1287">
        <v>10</v>
      </c>
    </row>
    <row r="46" spans="1:41" ht="14.85" customHeight="1" thickBot="1" x14ac:dyDescent="0.25">
      <c r="A46" s="237">
        <v>46</v>
      </c>
      <c r="B46" s="5838"/>
      <c r="C46" s="652">
        <v>9</v>
      </c>
      <c r="D46" s="55">
        <v>2</v>
      </c>
      <c r="E46" s="5978" t="str">
        <f>IF($G$517,"10","20")&amp;" PV / día"</f>
        <v>20 PV / día</v>
      </c>
      <c r="F46" s="5978"/>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838"/>
      <c r="C47" s="652">
        <v>10</v>
      </c>
      <c r="D47" s="55">
        <v>3</v>
      </c>
      <c r="E47" s="5978" t="str">
        <f>IF($G$517,"15","30")&amp;" PV / día"</f>
        <v>30 PV / día</v>
      </c>
      <c r="F47" s="5978"/>
      <c r="G47" s="1260" t="s">
        <v>1993</v>
      </c>
      <c r="H47" s="1237" t="str">
        <f>""</f>
        <v/>
      </c>
      <c r="J47" s="96">
        <v>10</v>
      </c>
      <c r="K47" s="204" t="s">
        <v>2024</v>
      </c>
      <c r="M47" s="1264">
        <v>11</v>
      </c>
      <c r="N47" s="94">
        <v>150</v>
      </c>
      <c r="O47" s="1204">
        <v>10</v>
      </c>
      <c r="Q47" s="3324"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838"/>
      <c r="C48" s="652">
        <v>11</v>
      </c>
      <c r="D48" s="55">
        <v>4</v>
      </c>
      <c r="E48" s="5978" t="str">
        <f>IF($G$517,"20","40")&amp;" PV / día"</f>
        <v>40 PV / día</v>
      </c>
      <c r="F48" s="5978"/>
      <c r="G48" s="1260" t="s">
        <v>1994</v>
      </c>
      <c r="H48" s="1237" t="str">
        <f>""</f>
        <v/>
      </c>
      <c r="J48" s="96">
        <v>11</v>
      </c>
      <c r="K48" s="204" t="s">
        <v>2025</v>
      </c>
      <c r="M48" s="1264">
        <v>12</v>
      </c>
      <c r="N48" s="94">
        <v>160</v>
      </c>
      <c r="O48" s="1204">
        <v>15</v>
      </c>
      <c r="Q48" s="3324"/>
      <c r="W48" s="96">
        <v>1</v>
      </c>
      <c r="X48" s="94" t="s">
        <v>1971</v>
      </c>
      <c r="Y48" s="55">
        <v>40</v>
      </c>
      <c r="Z48" s="55">
        <v>-4</v>
      </c>
      <c r="AA48" s="55">
        <v>1</v>
      </c>
      <c r="AB48" s="55">
        <v>1</v>
      </c>
      <c r="AC48" s="55">
        <f>5</f>
        <v>5</v>
      </c>
      <c r="AD48" s="55">
        <f>20-IF(Raza="Daimah",10,0)</f>
        <v>20</v>
      </c>
      <c r="AE48" s="55">
        <v>-4</v>
      </c>
      <c r="AF48" s="143">
        <v>4</v>
      </c>
      <c r="AH48" s="6017" t="s">
        <v>9890</v>
      </c>
      <c r="AI48" s="6018"/>
      <c r="AJ48" s="6019"/>
    </row>
    <row r="49" spans="1:36" ht="14.85" customHeight="1" thickBot="1" x14ac:dyDescent="0.25">
      <c r="A49" s="237">
        <v>49</v>
      </c>
      <c r="B49" s="5838"/>
      <c r="C49" s="652">
        <v>12</v>
      </c>
      <c r="D49" s="55">
        <v>5</v>
      </c>
      <c r="E49" s="5978" t="str">
        <f>IF($G$517,"25","50")&amp;" PV / día *"</f>
        <v>50 PV / día *</v>
      </c>
      <c r="F49" s="5978"/>
      <c r="G49" s="1260" t="s">
        <v>1994</v>
      </c>
      <c r="H49" s="1237" t="s">
        <v>8601</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9891</v>
      </c>
      <c r="AI49" s="2591" t="s">
        <v>1686</v>
      </c>
      <c r="AJ49" s="2592" t="s">
        <v>1687</v>
      </c>
    </row>
    <row r="50" spans="1:36" ht="14.85" customHeight="1" x14ac:dyDescent="0.2">
      <c r="A50" s="237">
        <v>50</v>
      </c>
      <c r="B50" s="5838"/>
      <c r="C50" s="652">
        <v>13</v>
      </c>
      <c r="D50" s="55">
        <v>6</v>
      </c>
      <c r="E50" s="5978" t="str">
        <f>IF($G$517,"37","75")&amp;" PV / día *"</f>
        <v>75 PV / día *</v>
      </c>
      <c r="F50" s="5978"/>
      <c r="G50" s="1260" t="s">
        <v>1994</v>
      </c>
      <c r="H50" s="1237" t="s">
        <v>8602</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838"/>
      <c r="C51" s="652">
        <v>14</v>
      </c>
      <c r="D51" s="55">
        <v>7</v>
      </c>
      <c r="E51" s="5978" t="str">
        <f>IF($G$517,"50","100")&amp;" PV / día *"</f>
        <v>100 PV / día *</v>
      </c>
      <c r="F51" s="5978"/>
      <c r="G51" s="1260" t="s">
        <v>1995</v>
      </c>
      <c r="H51" s="1237" t="s">
        <v>8603</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838"/>
      <c r="C52" s="652">
        <v>15</v>
      </c>
      <c r="D52" s="55">
        <v>8</v>
      </c>
      <c r="E52" s="5978" t="str">
        <f>IF($G$517,"125","250")&amp;" PV / día *"</f>
        <v>250 PV / día *</v>
      </c>
      <c r="F52" s="5978"/>
      <c r="G52" s="1260" t="s">
        <v>1996</v>
      </c>
      <c r="H52" s="1237" t="s">
        <v>8604</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9892</v>
      </c>
      <c r="AI52" s="2594" t="b">
        <f>$H$1284&gt;0</f>
        <v>0</v>
      </c>
      <c r="AJ52" s="2595" t="b">
        <f>$H$1285&gt;0</f>
        <v>0</v>
      </c>
    </row>
    <row r="53" spans="1:36" ht="12.75" customHeight="1" thickBot="1" x14ac:dyDescent="0.25">
      <c r="A53" s="237">
        <v>53</v>
      </c>
      <c r="B53" s="5838"/>
      <c r="C53" s="652">
        <v>16</v>
      </c>
      <c r="D53" s="55">
        <v>9</v>
      </c>
      <c r="E53" s="5978" t="str">
        <f>IF($G$517,"250","500")&amp;" PV / día *"</f>
        <v>500 PV / día *</v>
      </c>
      <c r="F53" s="5978"/>
      <c r="G53" s="1260" t="s">
        <v>1997</v>
      </c>
      <c r="H53" s="1237" t="s">
        <v>8605</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9519</v>
      </c>
      <c r="AI53" s="2594" t="b">
        <f>OR($P$258&gt;0,$P$259&gt;0)</f>
        <v>0</v>
      </c>
      <c r="AJ53" s="2595" t="b">
        <f>FALSE</f>
        <v>0</v>
      </c>
    </row>
    <row r="54" spans="1:36" ht="12.75" customHeight="1" thickBot="1" x14ac:dyDescent="0.25">
      <c r="A54" s="237">
        <v>54</v>
      </c>
      <c r="B54" s="5838"/>
      <c r="C54" s="652">
        <v>17</v>
      </c>
      <c r="D54" s="55">
        <v>10</v>
      </c>
      <c r="E54" s="5978" t="str">
        <f>IF($G$517,"0.5","1")&amp;" PV / min *"</f>
        <v>1 PV / min *</v>
      </c>
      <c r="F54" s="5978"/>
      <c r="G54" s="1260" t="s">
        <v>1998</v>
      </c>
      <c r="H54" s="1237" t="s">
        <v>8606</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10144</v>
      </c>
      <c r="AI54" s="2596" t="b">
        <f>OR($AI$50,$AI$51,$AI$52,$AI$53,Zen)</f>
        <v>0</v>
      </c>
      <c r="AJ54" s="2597" t="b">
        <f>OR($AJ$50,$AJ$51,$AJ$52,$AJ$53)</f>
        <v>0</v>
      </c>
    </row>
    <row r="55" spans="1:36" ht="12.75" customHeight="1" thickBot="1" x14ac:dyDescent="0.25">
      <c r="A55" s="237">
        <v>55</v>
      </c>
      <c r="B55" s="5838"/>
      <c r="C55" s="652">
        <v>18</v>
      </c>
      <c r="D55" s="55">
        <v>11</v>
      </c>
      <c r="E55" s="5978" t="str">
        <f>IF($G$517,"1","2")&amp;" PV / min *"</f>
        <v>2 PV / min *</v>
      </c>
      <c r="F55" s="5978"/>
      <c r="G55" s="1260" t="s">
        <v>1999</v>
      </c>
      <c r="H55" s="1237" t="s">
        <v>8607</v>
      </c>
      <c r="J55" s="96">
        <v>18</v>
      </c>
      <c r="K55" s="204" t="s">
        <v>2032</v>
      </c>
      <c r="M55" s="1264">
        <v>19</v>
      </c>
      <c r="N55" s="94">
        <v>250</v>
      </c>
      <c r="O55" s="1204">
        <v>30</v>
      </c>
      <c r="Q55" s="266" t="s">
        <v>1559</v>
      </c>
      <c r="AH55" s="6038" t="s">
        <v>10183</v>
      </c>
      <c r="AI55" s="6039"/>
      <c r="AJ55" s="6040"/>
    </row>
    <row r="56" spans="1:36" ht="12.75" customHeight="1" thickBot="1" x14ac:dyDescent="0.25">
      <c r="A56" s="237">
        <v>56</v>
      </c>
      <c r="B56" s="5838"/>
      <c r="C56" s="652">
        <v>19</v>
      </c>
      <c r="D56" s="55">
        <v>12</v>
      </c>
      <c r="E56" s="5978" t="str">
        <f>IF($G$517,"2","5")&amp;" PV / min *"</f>
        <v>5 PV / min *</v>
      </c>
      <c r="F56" s="5978"/>
      <c r="G56" s="1260" t="s">
        <v>2000</v>
      </c>
      <c r="H56" s="1237" t="s">
        <v>8608</v>
      </c>
      <c r="J56" s="96">
        <v>19</v>
      </c>
      <c r="K56" s="204" t="s">
        <v>2033</v>
      </c>
      <c r="M56" s="1265">
        <v>20</v>
      </c>
      <c r="N56" s="518">
        <v>265</v>
      </c>
      <c r="O56" s="1266">
        <v>35</v>
      </c>
      <c r="Q56" s="272" t="s">
        <v>1560</v>
      </c>
      <c r="S56" s="4268" t="s">
        <v>8707</v>
      </c>
      <c r="T56" s="4269"/>
      <c r="U56" s="4269"/>
      <c r="V56" s="4269"/>
      <c r="W56" s="4269"/>
      <c r="X56" s="4270"/>
      <c r="AH56" s="2593" t="s">
        <v>10146</v>
      </c>
      <c r="AI56" s="2594" t="b">
        <f>Místicos!$BB$61</f>
        <v>0</v>
      </c>
      <c r="AJ56" s="2595" t="b">
        <f>Místicos!$BC$61</f>
        <v>0</v>
      </c>
    </row>
    <row r="57" spans="1:36" ht="12.75" customHeight="1" thickBot="1" x14ac:dyDescent="0.25">
      <c r="A57" s="237">
        <v>57</v>
      </c>
      <c r="B57" s="5838"/>
      <c r="C57" s="652">
        <v>20</v>
      </c>
      <c r="D57" s="55">
        <v>12</v>
      </c>
      <c r="E57" s="5978" t="str">
        <f>IF($G$517,"2","5")&amp;" PV / min *"</f>
        <v>5 PV / min *</v>
      </c>
      <c r="F57" s="5978"/>
      <c r="G57" s="1260" t="s">
        <v>2001</v>
      </c>
      <c r="H57" s="1237" t="s">
        <v>8608</v>
      </c>
      <c r="J57" s="197">
        <v>20</v>
      </c>
      <c r="K57" s="206" t="s">
        <v>2034</v>
      </c>
      <c r="N57"/>
      <c r="O57" s="592"/>
      <c r="S57" s="1400" t="s">
        <v>1444</v>
      </c>
      <c r="T57" s="1401" t="s">
        <v>8712</v>
      </c>
      <c r="U57" s="1401" t="s">
        <v>8713</v>
      </c>
      <c r="V57" s="1401" t="s">
        <v>8717</v>
      </c>
      <c r="W57" s="4269" t="s">
        <v>6493</v>
      </c>
      <c r="X57" s="4270"/>
      <c r="AA57" s="2665" t="s">
        <v>1267</v>
      </c>
      <c r="AH57" s="2593" t="s">
        <v>10150</v>
      </c>
      <c r="AI57" s="2594" t="b">
        <f>Místicos!$BD$61</f>
        <v>0</v>
      </c>
      <c r="AJ57" s="2595" t="b">
        <f>Místicos!$BE$61</f>
        <v>0</v>
      </c>
    </row>
    <row r="58" spans="1:36" ht="12.75" customHeight="1" thickBot="1" x14ac:dyDescent="0.25">
      <c r="A58" s="237">
        <v>58</v>
      </c>
      <c r="B58" s="5838"/>
      <c r="C58" s="513"/>
      <c r="D58" s="55">
        <v>13</v>
      </c>
      <c r="E58" s="5978" t="str">
        <f>IF($G$517,"5","10")&amp;" PV / min *"</f>
        <v>10 PV / min *</v>
      </c>
      <c r="F58" s="5978"/>
      <c r="G58" s="1260" t="s">
        <v>2002</v>
      </c>
      <c r="H58" s="1237" t="s">
        <v>8609</v>
      </c>
      <c r="I58" s="592"/>
      <c r="S58" s="336" t="s">
        <v>8714</v>
      </c>
      <c r="T58" s="1399"/>
      <c r="U58" s="1399">
        <f>MAX(1,MIN(20,IF(Zen_TM,Principal!AS20,IF(Inhumanidad_TM,MIN(13,Principal!AS20),MIN(10,Principal!AS20)))+Principal!L18))</f>
        <v>1</v>
      </c>
      <c r="V58" s="333">
        <v>1</v>
      </c>
      <c r="W58" s="333" t="str">
        <f>IF(ISNA(INDEX($S$58:$S$64,MATCH($A1,V$58:V$64,0))),"",INDEX($S$58:$S$64,MATCH($A1,V$58:V$64,0)))</f>
        <v>Suelo</v>
      </c>
      <c r="X58" s="654"/>
      <c r="AA58" s="2666" t="b">
        <f>OR(Tablas!H1288,Tablas!H1295,TipoDeCriatura="Entre mundos, Creación",TipoDeCriatura="Ánima",TipoDeCriatura="Ánima, Elemental",TipoDeCriatura="No muerto",TipoDeCriatura="No muerto, Creación",TipoDeCriatura="No muerto, Espectro",Tablas!J1872)</f>
        <v>0</v>
      </c>
      <c r="AH58" s="2593" t="s">
        <v>10151</v>
      </c>
      <c r="AI58" s="2594" t="b">
        <f>Místicos!$BF$61</f>
        <v>0</v>
      </c>
      <c r="AJ58" s="2595" t="b">
        <f>Místicos!$BG$61</f>
        <v>0</v>
      </c>
    </row>
    <row r="59" spans="1:36" ht="12.75" customHeight="1" x14ac:dyDescent="0.2">
      <c r="A59" s="237">
        <v>59</v>
      </c>
      <c r="B59" s="5838"/>
      <c r="C59" s="513"/>
      <c r="D59" s="55">
        <v>14</v>
      </c>
      <c r="E59" s="5978" t="str">
        <f>IF($G$517,"0.5","1")&amp;" PV / turno *"</f>
        <v>1 PV / turno *</v>
      </c>
      <c r="F59" s="5978"/>
      <c r="G59" s="1260" t="s">
        <v>2003</v>
      </c>
      <c r="H59" s="1237" t="s">
        <v>8610</v>
      </c>
      <c r="I59" s="592"/>
      <c r="S59" s="336" t="s">
        <v>10266</v>
      </c>
      <c r="T59" s="1399" t="b">
        <f>MovimientodeVacío</f>
        <v>0</v>
      </c>
      <c r="U59" s="1399">
        <f>IF(T59,MAX(1,MIN(20,POD+Principal!L18)),0)</f>
        <v>0</v>
      </c>
      <c r="V59" s="333">
        <f>IF(T59,MAX($V58:V58)+1,0)</f>
        <v>0</v>
      </c>
      <c r="W59" s="333" t="str">
        <f t="shared" ref="W59:W64" si="1">IF(ISNA(INDEX($S$58:$S$64,MATCH($A2,V$58:V$64,0))),"",INDEX($S$58:$S$64,MATCH($A2,V$58:V$64,0)))</f>
        <v/>
      </c>
      <c r="X59" s="654"/>
      <c r="AH59" s="2593" t="s">
        <v>10182</v>
      </c>
      <c r="AI59" s="2594" t="b">
        <f>Raza="Daimah"</f>
        <v>0</v>
      </c>
      <c r="AJ59" s="2595" t="b">
        <v>0</v>
      </c>
    </row>
    <row r="60" spans="1:36" ht="12.75" customHeight="1" x14ac:dyDescent="0.2">
      <c r="A60" s="237">
        <v>60</v>
      </c>
      <c r="B60" s="5838"/>
      <c r="C60" s="513"/>
      <c r="D60" s="55">
        <v>15</v>
      </c>
      <c r="E60" s="5978" t="str">
        <f>IF($G$517,"2","5")&amp;" PV / turno *"</f>
        <v>5 PV / turno *</v>
      </c>
      <c r="F60" s="5978"/>
      <c r="G60" s="1260" t="s">
        <v>2004</v>
      </c>
      <c r="H60" s="1237" t="s">
        <v>8611</v>
      </c>
      <c r="I60" s="592"/>
      <c r="S60" s="336" t="s">
        <v>8708</v>
      </c>
      <c r="T60" s="1399" t="b">
        <f>IF(OR(Raza="Ebudan",AND(Nephilim="Nephilim Ebudan",SueAman="Cumplido"),COUNTIF($R$1375:$R$1379,1)&gt;0),TRUE,FALSE)</f>
        <v>0</v>
      </c>
      <c r="U60" s="1399">
        <f>IF(T60,MIN(20,MAX(IF(OR(Raza="Ebudan",AND(Nephilim="Nephilim Ebudan",SueAman="Cumplido")),12+Principal!L18,0),$S$1375+Principal!L18)),0)</f>
        <v>0</v>
      </c>
      <c r="V60" s="333">
        <f>IF(T60,MAX(V$58:V59)+1,0)</f>
        <v>0</v>
      </c>
      <c r="W60" s="333" t="str">
        <f t="shared" si="1"/>
        <v/>
      </c>
      <c r="X60" s="654"/>
      <c r="AH60" s="2593" t="s">
        <v>10181</v>
      </c>
      <c r="AI60" s="2594" t="b">
        <f>Raza="Jayán"</f>
        <v>0</v>
      </c>
      <c r="AJ60" s="2595" t="b">
        <v>0</v>
      </c>
    </row>
    <row r="61" spans="1:36" ht="12.75" customHeight="1" x14ac:dyDescent="0.2">
      <c r="A61" s="237">
        <v>61</v>
      </c>
      <c r="B61" s="5838"/>
      <c r="C61" s="513"/>
      <c r="D61" s="55">
        <v>16</v>
      </c>
      <c r="E61" s="5978" t="str">
        <f>IF($G$517,"5","10")&amp;" PV / turno *"</f>
        <v>10 PV / turno *</v>
      </c>
      <c r="F61" s="5978"/>
      <c r="G61" s="1260" t="s">
        <v>2005</v>
      </c>
      <c r="H61" s="1237" t="s">
        <v>8612</v>
      </c>
      <c r="I61" s="592"/>
      <c r="S61" s="336" t="s">
        <v>8709</v>
      </c>
      <c r="T61" s="1399" t="b">
        <f>IF(OR(COUNTIF($R$1380:$R$1386,1)&gt;0,'Tablas psiquica'!AH27&gt;0),TRUE,FALSE)</f>
        <v>0</v>
      </c>
      <c r="U61" s="1399">
        <f>IF(T61,MIN(20,MAX($S$1380,'Tablas psiquica'!AH27)+Principal!L18),0)</f>
        <v>0</v>
      </c>
      <c r="V61" s="333">
        <f>IF(T61,MAX(V$58:V60)+1,0)</f>
        <v>0</v>
      </c>
      <c r="W61" s="333" t="str">
        <f t="shared" si="1"/>
        <v/>
      </c>
      <c r="X61" s="654" t="str">
        <f t="shared" ref="X61:X64" si="2">IFERROR(VLOOKUP(W61,S61:U66,3,FALSE),"")</f>
        <v/>
      </c>
      <c r="AH61" s="2593" t="s">
        <v>9241</v>
      </c>
      <c r="AI61" s="2594" t="b">
        <f>'Tablas psiquica'!$AI$55&gt;0</f>
        <v>0</v>
      </c>
      <c r="AJ61" s="2595" t="b">
        <f>'Tablas psiquica'!$AI$55&gt;1</f>
        <v>0</v>
      </c>
    </row>
    <row r="62" spans="1:36" ht="12.75" customHeight="1" thickBot="1" x14ac:dyDescent="0.25">
      <c r="A62" s="237">
        <v>62</v>
      </c>
      <c r="B62" s="5838"/>
      <c r="C62" s="513"/>
      <c r="D62" s="55">
        <v>17</v>
      </c>
      <c r="E62" s="5978" t="str">
        <f>IF($G$517,"12","25")&amp;" PV / turno *"</f>
        <v>25 PV / turno *</v>
      </c>
      <c r="F62" s="5978"/>
      <c r="G62" s="1260" t="s">
        <v>2006</v>
      </c>
      <c r="H62" s="1237" t="s">
        <v>8613</v>
      </c>
      <c r="I62" s="592"/>
      <c r="S62" s="336" t="s">
        <v>8706</v>
      </c>
      <c r="T62" s="1399" t="b">
        <f>IF(OR(R1689&gt;0,AND(Raza="Turak",COUNTIF(Cercanía_Dragón,"Alas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$J$1806&gt;0</f>
        <v>0</v>
      </c>
      <c r="AJ62" s="2595" t="b">
        <v>0</v>
      </c>
    </row>
    <row r="63" spans="1:36" ht="12.75" customHeight="1" thickBot="1" x14ac:dyDescent="0.25">
      <c r="A63" s="237">
        <v>63</v>
      </c>
      <c r="B63" s="5838"/>
      <c r="C63" s="513"/>
      <c r="D63" s="55">
        <v>18</v>
      </c>
      <c r="E63" s="5978" t="str">
        <f>IF($G$517,"25","50")&amp;" PV / turno *"</f>
        <v>50 PV / turno *</v>
      </c>
      <c r="F63" s="5978"/>
      <c r="G63" s="1260" t="s">
        <v>2007</v>
      </c>
      <c r="H63" s="1237" t="s">
        <v>8614</v>
      </c>
      <c r="I63" s="592"/>
      <c r="S63" s="336" t="s">
        <v>8710</v>
      </c>
      <c r="T63" s="333" t="b">
        <f>IF(R1349&gt;0,TRUE,FALSE)</f>
        <v>0</v>
      </c>
      <c r="U63" s="333">
        <f>IF(T63,MIN(20,U58),0)</f>
        <v>0</v>
      </c>
      <c r="V63" s="333">
        <f>IF(T63,MAX(V$58:V62)+1,0)</f>
        <v>0</v>
      </c>
      <c r="W63" s="333" t="str">
        <f t="shared" si="1"/>
        <v/>
      </c>
      <c r="X63" s="654" t="str">
        <f t="shared" si="2"/>
        <v/>
      </c>
      <c r="AH63" s="2601" t="s">
        <v>10147</v>
      </c>
      <c r="AI63" s="2596" t="b">
        <f>OR($AI$56,$AI$57,$AI$59,$AI$61,$AI$62,Inhumanidad,Zen_TM)</f>
        <v>0</v>
      </c>
      <c r="AJ63" s="2597" t="b">
        <f>OR($AJ$56,$AJ$57,$AJ$61,$AJ$62,Zen)</f>
        <v>0</v>
      </c>
    </row>
    <row r="64" spans="1:36" ht="12.75" customHeight="1" thickBot="1" x14ac:dyDescent="0.25">
      <c r="A64" s="237">
        <v>64</v>
      </c>
      <c r="B64" s="5838"/>
      <c r="C64" s="513"/>
      <c r="D64" s="55">
        <v>19</v>
      </c>
      <c r="E64" s="5978" t="str">
        <f>IF($G$517,"50","100")&amp;" PV / turno *"</f>
        <v>100 PV / turno *</v>
      </c>
      <c r="F64" s="5978"/>
      <c r="G64" s="1260" t="s">
        <v>2008</v>
      </c>
      <c r="H64" s="1237" t="s">
        <v>8615</v>
      </c>
      <c r="I64" s="592"/>
      <c r="N64"/>
      <c r="O64" s="592"/>
      <c r="S64" s="703" t="s">
        <v>8711</v>
      </c>
      <c r="T64" s="338" t="b">
        <f>IF(OR($R$1352&gt;0,$R$1353&gt;0),TRUE,FALSE)</f>
        <v>0</v>
      </c>
      <c r="U64" s="338">
        <f>IF(T64,MIN(20,U58),0)</f>
        <v>0</v>
      </c>
      <c r="V64" s="338">
        <f>IF(T64,MAX(V$58:V63)+1,0)</f>
        <v>0</v>
      </c>
      <c r="W64" s="338" t="str">
        <f t="shared" si="1"/>
        <v/>
      </c>
      <c r="X64" s="655" t="str">
        <f t="shared" si="2"/>
        <v/>
      </c>
      <c r="AH64" s="2601" t="s">
        <v>10149</v>
      </c>
      <c r="AI64" s="2596" t="b">
        <f>OR($AI$56,$AI$58,$AI$60,$AI$61,$AI$62,Inhumanidad,Zen_IP)</f>
        <v>0</v>
      </c>
      <c r="AJ64" s="2597" t="b">
        <f>OR($AJ$56,$AJ$58,$AJ$61,$AJ$62,Zen)</f>
        <v>0</v>
      </c>
    </row>
    <row r="65" spans="1:27" ht="12.75" customHeight="1" thickBot="1" x14ac:dyDescent="0.25">
      <c r="A65" s="237">
        <v>65</v>
      </c>
      <c r="B65" s="5838"/>
      <c r="C65" s="515"/>
      <c r="D65" s="644">
        <v>20</v>
      </c>
      <c r="E65" s="5979" t="str">
        <f>IF($G$517,"125","250")&amp;" PV / turno *"</f>
        <v>250 PV / turno *</v>
      </c>
      <c r="F65" s="5979"/>
      <c r="G65" s="1261" t="s">
        <v>2008</v>
      </c>
      <c r="H65" s="1262" t="s">
        <v>8616</v>
      </c>
      <c r="I65" s="592"/>
      <c r="N65"/>
      <c r="O65" s="592"/>
      <c r="S65" s="1410" t="s">
        <v>8725</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976" t="str">
        <f>IF(COUNTIF(T59:T64,TRUE)&gt;0,"Tablas!"&amp;ADDRESS(ROW(W58),COLUMN(W58))&amp;":"&amp;ADDRESS(ROW(W58)+MATCH("",$W$58:$W$64,0)-2,COLUMN(W58)),"")</f>
        <v/>
      </c>
      <c r="X65" s="5977"/>
    </row>
    <row r="66" spans="1:27" ht="12.75" customHeight="1" thickBot="1" x14ac:dyDescent="0.25">
      <c r="A66" s="237">
        <v>66</v>
      </c>
      <c r="B66" s="5838"/>
      <c r="H66"/>
      <c r="I66" s="592"/>
      <c r="N66"/>
      <c r="O66" s="592"/>
    </row>
    <row r="67" spans="1:27" ht="12.75" customHeight="1" x14ac:dyDescent="0.2">
      <c r="A67" s="237">
        <v>67</v>
      </c>
      <c r="B67" s="5838"/>
      <c r="C67" s="5981" t="s">
        <v>8526</v>
      </c>
      <c r="D67" s="5982"/>
      <c r="E67" s="5982"/>
      <c r="F67" s="5982"/>
      <c r="G67" s="5982"/>
      <c r="H67" s="5982"/>
      <c r="I67" s="5982"/>
      <c r="J67" s="5982"/>
      <c r="K67" s="5982"/>
      <c r="L67" s="5982"/>
      <c r="M67" s="5982"/>
      <c r="N67" s="5983"/>
      <c r="P67" s="5981" t="s">
        <v>8525</v>
      </c>
      <c r="Q67" s="5982"/>
      <c r="R67" s="5982"/>
      <c r="S67" s="5982"/>
      <c r="T67" s="5982"/>
      <c r="U67" s="5982"/>
      <c r="V67" s="5982"/>
      <c r="W67" s="5982"/>
      <c r="X67" s="5982"/>
      <c r="Y67" s="5982"/>
      <c r="Z67" s="5982"/>
      <c r="AA67" s="5983"/>
    </row>
    <row r="68" spans="1:27" ht="12.75" customHeight="1" x14ac:dyDescent="0.2">
      <c r="A68" s="237">
        <v>68</v>
      </c>
      <c r="B68" s="5838"/>
      <c r="C68" s="1189" t="s">
        <v>1406</v>
      </c>
      <c r="D68" s="1182" t="s">
        <v>8514</v>
      </c>
      <c r="E68" s="1182" t="s">
        <v>8515</v>
      </c>
      <c r="F68" s="1182" t="s">
        <v>8516</v>
      </c>
      <c r="G68" s="1182" t="s">
        <v>8517</v>
      </c>
      <c r="H68" s="1182" t="s">
        <v>8518</v>
      </c>
      <c r="I68" s="1182" t="s">
        <v>8519</v>
      </c>
      <c r="J68" s="1182" t="s">
        <v>8520</v>
      </c>
      <c r="K68" s="1182" t="s">
        <v>8521</v>
      </c>
      <c r="L68" s="1182" t="s">
        <v>8522</v>
      </c>
      <c r="M68" s="1182" t="s">
        <v>8523</v>
      </c>
      <c r="N68" s="1188" t="s">
        <v>8524</v>
      </c>
      <c r="P68" s="1189" t="s">
        <v>1406</v>
      </c>
      <c r="Q68" s="1182" t="s">
        <v>8514</v>
      </c>
      <c r="R68" s="1182" t="s">
        <v>8515</v>
      </c>
      <c r="S68" s="1182" t="s">
        <v>8516</v>
      </c>
      <c r="T68" s="1182" t="s">
        <v>8517</v>
      </c>
      <c r="U68" s="1182" t="s">
        <v>8518</v>
      </c>
      <c r="V68" s="1182" t="s">
        <v>8519</v>
      </c>
      <c r="W68" s="1182" t="s">
        <v>8520</v>
      </c>
      <c r="X68" s="1182" t="s">
        <v>8521</v>
      </c>
      <c r="Y68" s="1295" t="s">
        <v>8522</v>
      </c>
      <c r="Z68" s="1295" t="s">
        <v>8523</v>
      </c>
      <c r="AA68" s="1296" t="s">
        <v>8524</v>
      </c>
    </row>
    <row r="69" spans="1:27" ht="12.75" customHeight="1" x14ac:dyDescent="0.2">
      <c r="A69" s="237">
        <v>69</v>
      </c>
      <c r="B69" s="5838"/>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838"/>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838"/>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838"/>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838"/>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838"/>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838"/>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838"/>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838"/>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838"/>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838"/>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838"/>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838"/>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838"/>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838"/>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838"/>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838"/>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838"/>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838"/>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838"/>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838"/>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838"/>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838"/>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838"/>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838"/>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838"/>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838"/>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838"/>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838"/>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838"/>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838"/>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838"/>
    </row>
    <row r="101" spans="1:109" ht="12.75" customHeight="1" x14ac:dyDescent="0.2">
      <c r="A101" s="237">
        <v>101</v>
      </c>
      <c r="B101" s="5838"/>
      <c r="C101" s="5812" t="s">
        <v>7511</v>
      </c>
      <c r="D101" s="5812"/>
      <c r="E101" s="5812"/>
      <c r="F101" s="5812"/>
      <c r="G101" s="5812"/>
      <c r="H101" s="5812"/>
      <c r="I101" s="5812"/>
      <c r="J101" s="5812"/>
      <c r="K101" s="5812"/>
      <c r="L101" s="5812"/>
      <c r="M101" s="5812"/>
      <c r="N101" s="5812"/>
      <c r="O101" s="5812"/>
      <c r="P101" s="5812"/>
      <c r="Q101" s="5812"/>
      <c r="R101" s="5812"/>
      <c r="S101" s="5812"/>
      <c r="T101" s="5812"/>
      <c r="U101" s="5812"/>
      <c r="V101" s="5812"/>
      <c r="W101" s="5812"/>
      <c r="X101" s="5812"/>
      <c r="Y101" s="5812"/>
      <c r="Z101" s="5812"/>
      <c r="AA101" s="5812"/>
      <c r="AB101" s="5812"/>
      <c r="AC101" s="5812"/>
      <c r="AD101" s="5812"/>
      <c r="AE101" s="5812"/>
      <c r="AF101" s="5812"/>
      <c r="AG101" s="5812"/>
      <c r="AH101" s="5812"/>
      <c r="AI101" s="5812"/>
      <c r="AJ101" s="5812"/>
      <c r="AK101" s="5812"/>
      <c r="AL101" s="5812"/>
      <c r="AM101" s="5812"/>
      <c r="AN101" s="5812"/>
      <c r="AO101" s="5812"/>
      <c r="AP101" s="5812"/>
      <c r="AQ101" s="5812"/>
      <c r="AR101" s="5812"/>
      <c r="AS101" s="5812"/>
      <c r="AT101" s="5812"/>
      <c r="AU101" s="5812"/>
      <c r="AV101" s="5812"/>
      <c r="AW101" s="5812"/>
      <c r="AX101" s="5812"/>
      <c r="AY101" s="5812"/>
      <c r="AZ101" s="5812"/>
      <c r="BA101" s="5812"/>
      <c r="BB101" s="5812"/>
      <c r="BC101" s="5812"/>
      <c r="BD101" s="5812"/>
      <c r="BE101" s="5812"/>
      <c r="BF101" s="5812"/>
      <c r="BG101" s="5812"/>
      <c r="BH101" s="5812"/>
      <c r="BI101" s="5812"/>
      <c r="BJ101" s="5812"/>
      <c r="BK101" s="5812"/>
      <c r="BL101" s="5812"/>
      <c r="BM101" s="5812"/>
      <c r="BN101" s="5812"/>
      <c r="BO101" s="5812"/>
      <c r="BP101" s="5812"/>
      <c r="BQ101" s="5812"/>
      <c r="BR101" s="5812"/>
      <c r="BS101" s="5812"/>
      <c r="BT101" s="5812"/>
      <c r="BU101" s="5812"/>
      <c r="BV101" s="5812"/>
      <c r="BW101" s="5812"/>
      <c r="BX101" s="5812"/>
      <c r="BY101" s="5812"/>
      <c r="BZ101" s="5812"/>
      <c r="CA101" s="5812"/>
      <c r="CB101" s="5812"/>
      <c r="CC101" s="5812"/>
      <c r="CD101" s="5812"/>
      <c r="CE101" s="5812"/>
      <c r="CF101" s="5812"/>
      <c r="CG101" s="5812"/>
      <c r="CH101" s="5812"/>
      <c r="CI101" s="5812"/>
      <c r="CJ101" s="5812"/>
      <c r="CK101" s="5812"/>
      <c r="CL101" s="5812"/>
      <c r="CM101" s="5812"/>
      <c r="CN101" s="5812"/>
      <c r="CO101" s="5812"/>
      <c r="CP101" s="5812"/>
      <c r="CQ101" s="5812"/>
      <c r="CR101" s="5812"/>
      <c r="CS101" s="5812"/>
      <c r="CT101" s="5812"/>
      <c r="CU101" s="5812"/>
      <c r="CV101" s="5812"/>
      <c r="CW101" s="5812"/>
      <c r="CX101" s="5812"/>
      <c r="CY101" s="5812"/>
      <c r="CZ101" s="5812"/>
      <c r="DA101" s="5812"/>
      <c r="DB101" s="5812"/>
      <c r="DC101" s="5812"/>
      <c r="DD101" s="5812"/>
      <c r="DE101" s="5812"/>
    </row>
    <row r="102" spans="1:109" ht="12.75" customHeight="1" x14ac:dyDescent="0.2">
      <c r="A102" s="237">
        <v>102</v>
      </c>
      <c r="B102" s="5838"/>
      <c r="C102" s="5812"/>
      <c r="D102" s="5812"/>
      <c r="E102" s="5812"/>
      <c r="F102" s="5812"/>
      <c r="G102" s="5812"/>
      <c r="H102" s="5812"/>
      <c r="I102" s="5812"/>
      <c r="J102" s="5812"/>
      <c r="K102" s="5812"/>
      <c r="L102" s="5812"/>
      <c r="M102" s="5812"/>
      <c r="N102" s="5812"/>
      <c r="O102" s="5812"/>
      <c r="P102" s="5812"/>
      <c r="Q102" s="5812"/>
      <c r="R102" s="5812"/>
      <c r="S102" s="5812"/>
      <c r="T102" s="5812"/>
      <c r="U102" s="5812"/>
      <c r="V102" s="5812"/>
      <c r="W102" s="5812"/>
      <c r="X102" s="5812"/>
      <c r="Y102" s="5812"/>
      <c r="Z102" s="5812"/>
      <c r="AA102" s="5812"/>
      <c r="AB102" s="5812"/>
      <c r="AC102" s="5812"/>
      <c r="AD102" s="5812"/>
      <c r="AE102" s="5812"/>
      <c r="AF102" s="5812"/>
      <c r="AG102" s="5812"/>
      <c r="AH102" s="5812"/>
      <c r="AI102" s="5812"/>
      <c r="AJ102" s="5812"/>
      <c r="AK102" s="5812"/>
      <c r="AL102" s="5812"/>
      <c r="AM102" s="5812"/>
      <c r="AN102" s="5812"/>
      <c r="AO102" s="5812"/>
      <c r="AP102" s="5812"/>
      <c r="AQ102" s="5812"/>
      <c r="AR102" s="5812"/>
      <c r="AS102" s="5812"/>
      <c r="AT102" s="5812"/>
      <c r="AU102" s="5812"/>
      <c r="AV102" s="5812"/>
      <c r="AW102" s="5812"/>
      <c r="AX102" s="5812"/>
      <c r="AY102" s="5812"/>
      <c r="AZ102" s="5812"/>
      <c r="BA102" s="5812"/>
      <c r="BB102" s="5812"/>
      <c r="BC102" s="5812"/>
      <c r="BD102" s="5812"/>
      <c r="BE102" s="5812"/>
      <c r="BF102" s="5812"/>
      <c r="BG102" s="5812"/>
      <c r="BH102" s="5812"/>
      <c r="BI102" s="5812"/>
      <c r="BJ102" s="5812"/>
      <c r="BK102" s="5812"/>
      <c r="BL102" s="5812"/>
      <c r="BM102" s="5812"/>
      <c r="BN102" s="5812"/>
      <c r="BO102" s="5812"/>
      <c r="BP102" s="5812"/>
      <c r="BQ102" s="5812"/>
      <c r="BR102" s="5812"/>
      <c r="BS102" s="5812"/>
      <c r="BT102" s="5812"/>
      <c r="BU102" s="5812"/>
      <c r="BV102" s="5812"/>
      <c r="BW102" s="5812"/>
      <c r="BX102" s="5812"/>
      <c r="BY102" s="5812"/>
      <c r="BZ102" s="5812"/>
      <c r="CA102" s="5812"/>
      <c r="CB102" s="5812"/>
      <c r="CC102" s="5812"/>
      <c r="CD102" s="5812"/>
      <c r="CE102" s="5812"/>
      <c r="CF102" s="5812"/>
      <c r="CG102" s="5812"/>
      <c r="CH102" s="5812"/>
      <c r="CI102" s="5812"/>
      <c r="CJ102" s="5812"/>
      <c r="CK102" s="5812"/>
      <c r="CL102" s="5812"/>
      <c r="CM102" s="5812"/>
      <c r="CN102" s="5812"/>
      <c r="CO102" s="5812"/>
      <c r="CP102" s="5812"/>
      <c r="CQ102" s="5812"/>
      <c r="CR102" s="5812"/>
      <c r="CS102" s="5812"/>
      <c r="CT102" s="5812"/>
      <c r="CU102" s="5812"/>
      <c r="CV102" s="5812"/>
      <c r="CW102" s="5812"/>
      <c r="CX102" s="5812"/>
      <c r="CY102" s="5812"/>
      <c r="CZ102" s="5812"/>
      <c r="DA102" s="5812"/>
      <c r="DB102" s="5812"/>
      <c r="DC102" s="5812"/>
      <c r="DD102" s="5812"/>
      <c r="DE102" s="5812"/>
    </row>
    <row r="103" spans="1:109" ht="12.75" customHeight="1" x14ac:dyDescent="0.2">
      <c r="A103" s="237">
        <v>103</v>
      </c>
      <c r="B103" s="5838"/>
      <c r="C103" s="5812"/>
      <c r="D103" s="5812"/>
      <c r="E103" s="5812"/>
      <c r="F103" s="5812"/>
      <c r="G103" s="5812"/>
      <c r="H103" s="5812"/>
      <c r="I103" s="5812"/>
      <c r="J103" s="5812"/>
      <c r="K103" s="5812"/>
      <c r="L103" s="5812"/>
      <c r="M103" s="5812"/>
      <c r="N103" s="5812"/>
      <c r="O103" s="5812"/>
      <c r="P103" s="5812"/>
      <c r="Q103" s="5812"/>
      <c r="R103" s="5812"/>
      <c r="S103" s="5812"/>
      <c r="T103" s="5812"/>
      <c r="U103" s="5812"/>
      <c r="V103" s="5812"/>
      <c r="W103" s="5812"/>
      <c r="X103" s="5812"/>
      <c r="Y103" s="5812"/>
      <c r="Z103" s="5812"/>
      <c r="AA103" s="5812"/>
      <c r="AB103" s="5812"/>
      <c r="AC103" s="5812"/>
      <c r="AD103" s="5812"/>
      <c r="AE103" s="5812"/>
      <c r="AF103" s="5812"/>
      <c r="AG103" s="5812"/>
      <c r="AH103" s="5812"/>
      <c r="AI103" s="5812"/>
      <c r="AJ103" s="5812"/>
      <c r="AK103" s="5812"/>
      <c r="AL103" s="5812"/>
      <c r="AM103" s="5812"/>
      <c r="AN103" s="5812"/>
      <c r="AO103" s="5812"/>
      <c r="AP103" s="5812"/>
      <c r="AQ103" s="5812"/>
      <c r="AR103" s="5812"/>
      <c r="AS103" s="5812"/>
      <c r="AT103" s="5812"/>
      <c r="AU103" s="5812"/>
      <c r="AV103" s="5812"/>
      <c r="AW103" s="5812"/>
      <c r="AX103" s="5812"/>
      <c r="AY103" s="5812"/>
      <c r="AZ103" s="5812"/>
      <c r="BA103" s="5812"/>
      <c r="BB103" s="5812"/>
      <c r="BC103" s="5812"/>
      <c r="BD103" s="5812"/>
      <c r="BE103" s="5812"/>
      <c r="BF103" s="5812"/>
      <c r="BG103" s="5812"/>
      <c r="BH103" s="5812"/>
      <c r="BI103" s="5812"/>
      <c r="BJ103" s="5812"/>
      <c r="BK103" s="5812"/>
      <c r="BL103" s="5812"/>
      <c r="BM103" s="5812"/>
      <c r="BN103" s="5812"/>
      <c r="BO103" s="5812"/>
      <c r="BP103" s="5812"/>
      <c r="BQ103" s="5812"/>
      <c r="BR103" s="5812"/>
      <c r="BS103" s="5812"/>
      <c r="BT103" s="5812"/>
      <c r="BU103" s="5812"/>
      <c r="BV103" s="5812"/>
      <c r="BW103" s="5812"/>
      <c r="BX103" s="5812"/>
      <c r="BY103" s="5812"/>
      <c r="BZ103" s="5812"/>
      <c r="CA103" s="5812"/>
      <c r="CB103" s="5812"/>
      <c r="CC103" s="5812"/>
      <c r="CD103" s="5812"/>
      <c r="CE103" s="5812"/>
      <c r="CF103" s="5812"/>
      <c r="CG103" s="5812"/>
      <c r="CH103" s="5812"/>
      <c r="CI103" s="5812"/>
      <c r="CJ103" s="5812"/>
      <c r="CK103" s="5812"/>
      <c r="CL103" s="5812"/>
      <c r="CM103" s="5812"/>
      <c r="CN103" s="5812"/>
      <c r="CO103" s="5812"/>
      <c r="CP103" s="5812"/>
      <c r="CQ103" s="5812"/>
      <c r="CR103" s="5812"/>
      <c r="CS103" s="5812"/>
      <c r="CT103" s="5812"/>
      <c r="CU103" s="5812"/>
      <c r="CV103" s="5812"/>
      <c r="CW103" s="5812"/>
      <c r="CX103" s="5812"/>
      <c r="CY103" s="5812"/>
      <c r="CZ103" s="5812"/>
      <c r="DA103" s="5812"/>
      <c r="DB103" s="5812"/>
      <c r="DC103" s="5812"/>
      <c r="DD103" s="5812"/>
      <c r="DE103" s="5812"/>
    </row>
    <row r="104" spans="1:109" ht="12.75" customHeight="1" thickBot="1" x14ac:dyDescent="0.25">
      <c r="A104" s="237">
        <v>104</v>
      </c>
      <c r="B104" s="5838"/>
      <c r="H104"/>
      <c r="N104"/>
    </row>
    <row r="105" spans="1:109" ht="12.75" customHeight="1" thickBot="1" x14ac:dyDescent="0.25">
      <c r="A105" s="237">
        <v>105</v>
      </c>
      <c r="B105" s="5838"/>
      <c r="C105" s="5960" t="s">
        <v>1936</v>
      </c>
      <c r="D105" s="5960"/>
      <c r="F105" s="5960" t="s">
        <v>1962</v>
      </c>
      <c r="G105" s="5960"/>
      <c r="H105"/>
      <c r="I105" s="6012" t="s">
        <v>1905</v>
      </c>
      <c r="J105" s="6013"/>
      <c r="K105" s="6013"/>
      <c r="L105" s="6013"/>
      <c r="M105" s="6013"/>
      <c r="N105" s="6013"/>
      <c r="O105" s="6013"/>
      <c r="P105" s="6013"/>
      <c r="Q105" s="6013"/>
      <c r="R105" s="6013"/>
      <c r="S105" s="6013"/>
      <c r="T105" s="6013"/>
      <c r="U105" s="6013"/>
      <c r="V105" s="6013"/>
      <c r="W105" s="6013"/>
      <c r="X105" s="6013"/>
      <c r="Y105" s="6013"/>
      <c r="Z105" s="6013"/>
      <c r="AA105" s="6013"/>
      <c r="AB105" s="6013"/>
      <c r="AC105" s="6013"/>
      <c r="AD105" s="6013"/>
      <c r="AE105" s="6013"/>
      <c r="AF105" s="6013"/>
      <c r="AG105" s="6013"/>
      <c r="AH105" s="6013"/>
      <c r="AI105" s="6013"/>
      <c r="AJ105" s="6013"/>
      <c r="AK105" s="6013"/>
      <c r="AL105" s="6013"/>
      <c r="AM105" s="6013"/>
      <c r="AN105" s="6013"/>
      <c r="AO105" s="6013"/>
      <c r="AP105" s="6013"/>
      <c r="AQ105" s="6013"/>
      <c r="AR105" s="6013"/>
      <c r="AS105" s="6013"/>
      <c r="AT105" s="6013"/>
      <c r="AU105" s="6013"/>
      <c r="AV105" s="6013"/>
      <c r="AW105" s="6013"/>
      <c r="AX105" s="6013"/>
      <c r="AY105" s="6013"/>
      <c r="AZ105" s="6013"/>
      <c r="BA105" s="6013"/>
      <c r="BB105" s="6013"/>
      <c r="BC105" s="6013"/>
      <c r="BD105" s="6013"/>
      <c r="BE105" s="6013"/>
      <c r="BF105" s="6013"/>
      <c r="BG105" s="6013"/>
      <c r="BH105" s="6013"/>
      <c r="BI105" s="6013"/>
      <c r="BJ105" s="6013"/>
      <c r="BK105" s="6013"/>
      <c r="BL105" s="6014"/>
    </row>
    <row r="106" spans="1:109" ht="12.75" customHeight="1" thickBot="1" x14ac:dyDescent="0.25">
      <c r="A106" s="237">
        <v>106</v>
      </c>
      <c r="B106" s="5838"/>
      <c r="C106" s="5960"/>
      <c r="D106" s="5960"/>
      <c r="F106" s="5960"/>
      <c r="G106" s="5960"/>
      <c r="H106"/>
      <c r="I106" s="6015"/>
      <c r="J106" s="5898"/>
      <c r="K106" s="5898"/>
      <c r="L106" s="5898"/>
      <c r="M106" s="5898"/>
      <c r="N106" s="5898"/>
      <c r="O106" s="5898"/>
      <c r="P106" s="5898"/>
      <c r="Q106" s="5898"/>
      <c r="R106" s="5898"/>
      <c r="S106" s="5898"/>
      <c r="T106" s="5898"/>
      <c r="U106" s="5898"/>
      <c r="V106" s="5898"/>
      <c r="W106" s="5898"/>
      <c r="X106" s="5898"/>
      <c r="Y106" s="5898"/>
      <c r="Z106" s="5898"/>
      <c r="AA106" s="5898"/>
      <c r="AB106" s="5898"/>
      <c r="AC106" s="5898"/>
      <c r="AD106" s="5898"/>
      <c r="AE106" s="5898"/>
      <c r="AF106" s="5898"/>
      <c r="AG106" s="5898"/>
      <c r="AH106" s="5898"/>
      <c r="AI106" s="5898"/>
      <c r="AJ106" s="5898"/>
      <c r="AK106" s="5898"/>
      <c r="AL106" s="5898"/>
      <c r="AM106" s="5898"/>
      <c r="AN106" s="5898"/>
      <c r="AO106" s="5898"/>
      <c r="AP106" s="5898"/>
      <c r="AQ106" s="5898"/>
      <c r="AR106" s="5898"/>
      <c r="AS106" s="5898"/>
      <c r="AT106" s="5898"/>
      <c r="AU106" s="5898"/>
      <c r="AV106" s="5898"/>
      <c r="AW106" s="5898"/>
      <c r="AX106" s="5898"/>
      <c r="AY106" s="5898"/>
      <c r="AZ106" s="5898"/>
      <c r="BA106" s="5898"/>
      <c r="BB106" s="5898"/>
      <c r="BC106" s="5898"/>
      <c r="BD106" s="5898"/>
      <c r="BE106" s="5898"/>
      <c r="BF106" s="5898"/>
      <c r="BG106" s="5898"/>
      <c r="BH106" s="5898"/>
      <c r="BI106" s="5898"/>
      <c r="BJ106" s="5898"/>
      <c r="BK106" s="5898"/>
      <c r="BL106" s="6016"/>
    </row>
    <row r="107" spans="1:109" ht="13.5" customHeight="1" x14ac:dyDescent="0.2">
      <c r="A107" s="237">
        <v>107</v>
      </c>
      <c r="B107" s="5838"/>
      <c r="C107" s="191" t="s">
        <v>1937</v>
      </c>
      <c r="D107" s="39"/>
      <c r="F107" s="193" t="s">
        <v>9532</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88">
        <v>20</v>
      </c>
      <c r="AD107" s="5888"/>
      <c r="AE107" s="797"/>
      <c r="AF107" s="5888"/>
      <c r="AG107" s="5888"/>
      <c r="AH107" s="797"/>
      <c r="AI107" s="5888"/>
      <c r="AJ107" s="5888"/>
      <c r="AK107" s="797"/>
      <c r="AL107" s="5888"/>
      <c r="AM107" s="5888"/>
      <c r="AN107" s="797"/>
      <c r="AO107" s="5883"/>
      <c r="AP107" s="5883"/>
      <c r="AQ107" s="1192"/>
      <c r="AR107" s="5883"/>
      <c r="AS107" s="5883"/>
      <c r="AT107" s="1192"/>
      <c r="AU107" s="5883"/>
      <c r="AV107" s="5883"/>
      <c r="AW107" s="1192"/>
      <c r="AX107" s="5883"/>
      <c r="AY107" s="5883"/>
      <c r="AZ107" s="1192"/>
      <c r="BA107" s="5883"/>
      <c r="BB107" s="5883"/>
      <c r="BC107" s="1192"/>
      <c r="BD107" s="5883"/>
      <c r="BE107" s="5883"/>
      <c r="BF107" s="1192"/>
      <c r="BG107" s="5883"/>
      <c r="BH107" s="5883"/>
      <c r="BI107" s="1192"/>
      <c r="BJ107" s="5883"/>
      <c r="BK107" s="5883"/>
      <c r="BL107" s="1201"/>
    </row>
    <row r="108" spans="1:109" ht="12.75" customHeight="1" thickBot="1" x14ac:dyDescent="0.25">
      <c r="A108" s="237">
        <v>108</v>
      </c>
      <c r="B108" s="5838"/>
      <c r="C108" s="192" t="s">
        <v>1939</v>
      </c>
      <c r="D108" s="77"/>
      <c r="F108" s="192" t="s">
        <v>9533</v>
      </c>
      <c r="G108" s="77"/>
      <c r="H108"/>
      <c r="I108" s="1241" t="s">
        <v>7391</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61" t="s">
        <v>8598</v>
      </c>
      <c r="AD108" s="5961"/>
      <c r="AE108" s="631"/>
      <c r="AF108" s="5961"/>
      <c r="AG108" s="5961"/>
      <c r="AH108" s="631"/>
      <c r="AI108" s="5961"/>
      <c r="AJ108" s="5961"/>
      <c r="AK108" s="631"/>
      <c r="AL108" s="5961"/>
      <c r="AM108" s="5961"/>
      <c r="AN108" s="631"/>
      <c r="AO108" s="5884"/>
      <c r="AP108" s="5884"/>
      <c r="AQ108" s="182"/>
      <c r="AR108" s="5884"/>
      <c r="AS108" s="5884"/>
      <c r="AT108" s="182"/>
      <c r="AU108" s="5884"/>
      <c r="AV108" s="5884"/>
      <c r="AW108" s="182"/>
      <c r="AX108" s="5884"/>
      <c r="AY108" s="5884"/>
      <c r="AZ108" s="182"/>
      <c r="BA108" s="5884"/>
      <c r="BB108" s="5884"/>
      <c r="BC108" s="182"/>
      <c r="BD108" s="5884"/>
      <c r="BE108" s="5884"/>
      <c r="BF108" s="182"/>
      <c r="BG108" s="5884"/>
      <c r="BH108" s="5884"/>
      <c r="BI108" s="182"/>
      <c r="BJ108" s="5884"/>
      <c r="BK108" s="5884"/>
      <c r="BL108" s="1242"/>
    </row>
    <row r="109" spans="1:109" ht="12.75" customHeight="1" thickBot="1" x14ac:dyDescent="0.25">
      <c r="A109" s="237">
        <v>109</v>
      </c>
      <c r="B109" s="5838"/>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8583</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838"/>
      <c r="C110" s="5960" t="s">
        <v>1942</v>
      </c>
      <c r="D110" s="5960"/>
      <c r="F110" s="3324" t="s">
        <v>1827</v>
      </c>
      <c r="G110" s="3324"/>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838"/>
      <c r="C111" s="5960"/>
      <c r="D111" s="5960"/>
      <c r="F111" s="3324"/>
      <c r="G111" s="3324"/>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838"/>
      <c r="C112" s="193" t="s">
        <v>1945</v>
      </c>
      <c r="D112" s="39"/>
      <c r="F112" s="5980" t="s">
        <v>1938</v>
      </c>
      <c r="G112" s="5980"/>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838"/>
      <c r="C113" s="193" t="s">
        <v>1947</v>
      </c>
      <c r="D113" s="39"/>
      <c r="F113" s="5980" t="s">
        <v>1940</v>
      </c>
      <c r="G113" s="5980"/>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838"/>
      <c r="C114" s="193" t="s">
        <v>1948</v>
      </c>
      <c r="D114" s="39"/>
      <c r="F114" s="5980" t="s">
        <v>1941</v>
      </c>
      <c r="G114" s="5980"/>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838"/>
      <c r="C115" s="193" t="s">
        <v>1949</v>
      </c>
      <c r="D115" s="39"/>
      <c r="F115" s="5980" t="s">
        <v>1943</v>
      </c>
      <c r="G115" s="5980"/>
      <c r="H115"/>
      <c r="I115" s="1248" t="str">
        <f t="shared" si="28"/>
        <v/>
      </c>
      <c r="J115" s="970" t="s">
        <v>7383</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838"/>
      <c r="C116" s="193" t="s">
        <v>1950</v>
      </c>
      <c r="D116" s="39"/>
      <c r="F116" s="5980" t="s">
        <v>1944</v>
      </c>
      <c r="G116" s="5980"/>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8590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838"/>
      <c r="C117" s="193" t="s">
        <v>1951</v>
      </c>
      <c r="D117" s="39"/>
      <c r="F117" s="6041" t="s">
        <v>1946</v>
      </c>
      <c r="G117" s="6041"/>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10159</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838"/>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7112</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838"/>
      <c r="C119" s="193" t="s">
        <v>1953</v>
      </c>
      <c r="D119" s="39"/>
      <c r="F119" s="5960" t="s">
        <v>1977</v>
      </c>
      <c r="G119" s="5960"/>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8591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838"/>
      <c r="C120" s="193" t="s">
        <v>1954</v>
      </c>
      <c r="D120" s="39"/>
      <c r="F120" s="5960"/>
      <c r="G120" s="5960"/>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8592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838"/>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8593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838"/>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838"/>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838"/>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838"/>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838"/>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838"/>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838"/>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838"/>
      <c r="C129" s="3228" t="s">
        <v>8670</v>
      </c>
      <c r="D129" s="3302"/>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7112</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838"/>
      <c r="C130" s="5824"/>
      <c r="D130" s="5581"/>
      <c r="H130"/>
      <c r="J130" s="5968" t="s">
        <v>7504</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838"/>
      <c r="C131" s="1375" t="s">
        <v>1384</v>
      </c>
      <c r="D131" s="1376"/>
      <c r="H131"/>
      <c r="J131" s="5969"/>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838"/>
      <c r="C132" s="1377" t="s">
        <v>8671</v>
      </c>
      <c r="D132" s="1378"/>
      <c r="F132" s="592"/>
      <c r="H132"/>
      <c r="L132" s="592"/>
      <c r="N132"/>
    </row>
    <row r="133" spans="1:110" ht="12.75" customHeight="1" thickBot="1" x14ac:dyDescent="0.25">
      <c r="A133" s="237">
        <v>133</v>
      </c>
      <c r="B133" s="5838"/>
      <c r="C133" s="1379" t="s">
        <v>8935</v>
      </c>
      <c r="D133" s="1380"/>
      <c r="F133" s="5899" t="s">
        <v>6449</v>
      </c>
      <c r="G133" s="5900"/>
      <c r="H133" s="5900"/>
      <c r="I133" s="5900"/>
      <c r="J133" s="5900"/>
      <c r="K133" s="5900"/>
      <c r="L133" s="5900"/>
      <c r="M133" s="5900"/>
      <c r="N133" s="5900"/>
      <c r="O133" s="5900"/>
      <c r="P133" s="5900"/>
      <c r="Q133" s="5900"/>
      <c r="R133" s="5900"/>
      <c r="S133" s="5900"/>
      <c r="T133" s="5900"/>
      <c r="U133" s="5900"/>
      <c r="V133" s="5900"/>
      <c r="W133" s="5900"/>
      <c r="X133" s="5900"/>
      <c r="Y133" s="5900"/>
      <c r="Z133" s="5900"/>
      <c r="AA133" s="5900"/>
      <c r="AB133" s="5900"/>
      <c r="AC133" s="5900"/>
      <c r="AD133" s="5900"/>
      <c r="AE133" s="5900"/>
      <c r="AF133" s="5900"/>
      <c r="AG133" s="5900"/>
      <c r="AH133" s="5900"/>
      <c r="AI133" s="5900"/>
      <c r="AJ133" s="5900"/>
      <c r="AK133" s="5900"/>
      <c r="AL133" s="5900"/>
      <c r="AM133" s="5900"/>
      <c r="AN133" s="5900"/>
      <c r="AO133" s="5900"/>
      <c r="AP133" s="5900"/>
      <c r="AQ133" s="5900"/>
      <c r="AR133" s="5900"/>
      <c r="AS133" s="5900"/>
      <c r="AT133" s="5900"/>
      <c r="AU133" s="5900"/>
      <c r="AV133" s="5900"/>
      <c r="AW133" s="5900"/>
      <c r="AX133" s="5900"/>
      <c r="AY133" s="5900"/>
      <c r="AZ133" s="5900"/>
      <c r="BA133" s="5900"/>
      <c r="BB133" s="5900"/>
      <c r="BC133" s="5900"/>
      <c r="BD133" s="5900"/>
      <c r="BE133" s="5900"/>
      <c r="BF133" s="5900"/>
      <c r="BG133" s="5900"/>
      <c r="BH133" s="5900"/>
      <c r="BI133" s="5900"/>
      <c r="BJ133" s="5900"/>
      <c r="BK133" s="5900"/>
      <c r="BL133" s="5900"/>
      <c r="BM133" s="5900"/>
      <c r="BN133" s="5900"/>
      <c r="BO133" s="5900"/>
      <c r="BP133" s="5900"/>
      <c r="BQ133" s="5900"/>
      <c r="BR133" s="5900"/>
      <c r="BS133" s="5900"/>
      <c r="BT133" s="5900"/>
      <c r="BU133" s="5900"/>
      <c r="BV133" s="5900"/>
      <c r="BW133" s="5900"/>
      <c r="BX133" s="5900"/>
      <c r="BY133" s="5900"/>
      <c r="BZ133" s="5900"/>
      <c r="CA133" s="5900"/>
      <c r="CB133" s="5900"/>
      <c r="CC133" s="5900"/>
      <c r="CD133" s="5900"/>
      <c r="CE133" s="5900"/>
      <c r="CF133" s="5900"/>
      <c r="CG133" s="5900"/>
      <c r="CH133" s="5900"/>
      <c r="CI133" s="5900"/>
      <c r="CJ133" s="5900"/>
      <c r="CK133" s="5900"/>
      <c r="CL133" s="5900"/>
      <c r="CM133" s="5900"/>
      <c r="CN133" s="5900"/>
      <c r="CO133" s="5900"/>
      <c r="CP133" s="5900"/>
      <c r="CQ133" s="5900"/>
      <c r="CR133" s="5900"/>
      <c r="CS133" s="5900"/>
      <c r="CT133" s="5900"/>
      <c r="CU133" s="5900"/>
      <c r="CV133" s="5900"/>
      <c r="CW133" s="5900"/>
      <c r="CX133" s="5900"/>
      <c r="CY133" s="5900"/>
      <c r="CZ133" s="5900"/>
      <c r="DA133" s="5900"/>
      <c r="DB133" s="5900"/>
      <c r="DC133" s="5900"/>
      <c r="DD133" s="5900"/>
      <c r="DE133" s="5900"/>
      <c r="DF133" s="5901"/>
    </row>
    <row r="134" spans="1:110" ht="12.75" customHeight="1" x14ac:dyDescent="0.2">
      <c r="A134" s="237">
        <v>134</v>
      </c>
      <c r="B134" s="5838"/>
      <c r="F134" s="5902"/>
      <c r="G134" s="5972"/>
      <c r="H134" s="5972"/>
      <c r="I134" s="5972"/>
      <c r="J134" s="5972"/>
      <c r="K134" s="5972"/>
      <c r="L134" s="5972"/>
      <c r="M134" s="5972"/>
      <c r="N134" s="5972"/>
      <c r="O134" s="5972"/>
      <c r="P134" s="5972"/>
      <c r="Q134" s="5972"/>
      <c r="R134" s="5972"/>
      <c r="S134" s="5972"/>
      <c r="T134" s="5972"/>
      <c r="U134" s="5972"/>
      <c r="V134" s="5972"/>
      <c r="W134" s="5972"/>
      <c r="X134" s="5972"/>
      <c r="Y134" s="5972"/>
      <c r="Z134" s="5972"/>
      <c r="AA134" s="5972"/>
      <c r="AB134" s="5972"/>
      <c r="AC134" s="5972"/>
      <c r="AD134" s="5972"/>
      <c r="AE134" s="5972"/>
      <c r="AF134" s="5972"/>
      <c r="AG134" s="5972"/>
      <c r="AH134" s="5972"/>
      <c r="AI134" s="5972"/>
      <c r="AJ134" s="5972"/>
      <c r="AK134" s="5972"/>
      <c r="AL134" s="5972"/>
      <c r="AM134" s="5972"/>
      <c r="AN134" s="5972"/>
      <c r="AO134" s="5972"/>
      <c r="AP134" s="5972"/>
      <c r="AQ134" s="5972"/>
      <c r="AR134" s="5972"/>
      <c r="AS134" s="5972"/>
      <c r="AT134" s="5972"/>
      <c r="AU134" s="5972"/>
      <c r="AV134" s="5972"/>
      <c r="AW134" s="5972"/>
      <c r="AX134" s="5972"/>
      <c r="AY134" s="5972"/>
      <c r="AZ134" s="5972"/>
      <c r="BA134" s="5972"/>
      <c r="BB134" s="5972"/>
      <c r="BC134" s="5972"/>
      <c r="BD134" s="5972"/>
      <c r="BE134" s="5972"/>
      <c r="BF134" s="5972"/>
      <c r="BG134" s="5972"/>
      <c r="BH134" s="5972"/>
      <c r="BI134" s="5972"/>
      <c r="BJ134" s="5972"/>
      <c r="BK134" s="5972"/>
      <c r="BL134" s="5972"/>
      <c r="BM134" s="5972"/>
      <c r="BN134" s="5972"/>
      <c r="BO134" s="5972"/>
      <c r="BP134" s="5972"/>
      <c r="BQ134" s="5972"/>
      <c r="BR134" s="5972"/>
      <c r="BS134" s="5972"/>
      <c r="BT134" s="5972"/>
      <c r="BU134" s="5972"/>
      <c r="BV134" s="5972"/>
      <c r="BW134" s="5972"/>
      <c r="BX134" s="5972"/>
      <c r="BY134" s="5972"/>
      <c r="BZ134" s="5972"/>
      <c r="CA134" s="5972"/>
      <c r="CB134" s="5972"/>
      <c r="CC134" s="5972"/>
      <c r="CD134" s="5972"/>
      <c r="CE134" s="5972"/>
      <c r="CF134" s="5972"/>
      <c r="CG134" s="5972"/>
      <c r="CH134" s="5972"/>
      <c r="CI134" s="5972"/>
      <c r="CJ134" s="5972"/>
      <c r="CK134" s="5972"/>
      <c r="CL134" s="5972"/>
      <c r="CM134" s="5972"/>
      <c r="CN134" s="5972"/>
      <c r="CO134" s="5972"/>
      <c r="CP134" s="5972"/>
      <c r="CQ134" s="5972"/>
      <c r="CR134" s="5972"/>
      <c r="CS134" s="5972"/>
      <c r="CT134" s="5972"/>
      <c r="CU134" s="5972"/>
      <c r="CV134" s="5972"/>
      <c r="CW134" s="5972"/>
      <c r="CX134" s="5972"/>
      <c r="CY134" s="5972"/>
      <c r="CZ134" s="5972"/>
      <c r="DA134" s="5972"/>
      <c r="DB134" s="5972"/>
      <c r="DC134" s="5972"/>
      <c r="DD134" s="5972"/>
      <c r="DE134" s="5972"/>
      <c r="DF134" s="5904"/>
    </row>
    <row r="135" spans="1:110" ht="12.75" customHeight="1" thickBot="1" x14ac:dyDescent="0.25">
      <c r="A135" s="237">
        <v>135</v>
      </c>
      <c r="B135" s="5838"/>
      <c r="F135" s="5966" t="s">
        <v>6457</v>
      </c>
      <c r="G135" s="5967"/>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838"/>
      <c r="C136" s="5899" t="s">
        <v>6442</v>
      </c>
      <c r="D136" s="5901"/>
      <c r="F136" s="2855" t="str">
        <f>IF(ISNA(HLOOKUP($I$136&amp;$A1,$H$139:$DF$140,2,FALSE))," ",HLOOKUP($I$136&amp;$A1,$H$139:$DF$140,2,FALSE))</f>
        <v xml:space="preserve"> </v>
      </c>
      <c r="G136" s="1035"/>
      <c r="H136" s="2856" t="s">
        <v>6456</v>
      </c>
      <c r="I136" s="5964" t="str">
        <f>IF(Region="","",Region)</f>
        <v/>
      </c>
      <c r="J136" s="5965"/>
      <c r="K136" s="2857" t="s">
        <v>7484</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838"/>
      <c r="C137" s="5902"/>
      <c r="D137" s="5904"/>
      <c r="F137" s="2855" t="str">
        <f t="shared" ref="F137:F140" si="31">IF(ISNA(HLOOKUP($I$136&amp;$A2,$H$139:$DF$140,2,FALSE))," ",HLOOKUP($I$136&amp;$A2,$H$139:$DF$140,2,FALSE))</f>
        <v xml:space="preserve"> </v>
      </c>
      <c r="G137" s="1035"/>
      <c r="H137" s="1036" t="s">
        <v>1366</v>
      </c>
      <c r="I137" s="5962" t="str">
        <f>IF(ClaseSocial="","",ClaseSocial)</f>
        <v/>
      </c>
      <c r="J137" s="5963"/>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838"/>
      <c r="C138" s="597" t="s">
        <v>6450</v>
      </c>
      <c r="D138" s="594"/>
      <c r="F138" s="2855" t="str">
        <f t="shared" si="31"/>
        <v xml:space="preserve"> </v>
      </c>
      <c r="G138" s="1035"/>
      <c r="H138" s="5906" t="s">
        <v>6394</v>
      </c>
      <c r="I138" s="5906"/>
      <c r="J138" s="5906"/>
      <c r="K138" s="5906" t="s">
        <v>6395</v>
      </c>
      <c r="L138" s="5906"/>
      <c r="M138" s="5906" t="s">
        <v>6396</v>
      </c>
      <c r="N138" s="5906"/>
      <c r="O138" s="5906"/>
      <c r="P138" s="5906" t="s">
        <v>6397</v>
      </c>
      <c r="Q138" s="5906"/>
      <c r="R138" s="5906" t="s">
        <v>6398</v>
      </c>
      <c r="S138" s="5906"/>
      <c r="T138" s="2826" t="s">
        <v>6399</v>
      </c>
      <c r="U138" s="5906" t="s">
        <v>6400</v>
      </c>
      <c r="V138" s="5906"/>
      <c r="W138" s="5840" t="s">
        <v>6401</v>
      </c>
      <c r="X138" s="5841"/>
      <c r="Y138" s="5909" t="s">
        <v>6402</v>
      </c>
      <c r="Z138" s="5910"/>
      <c r="AA138" s="5911"/>
      <c r="AB138" s="5909" t="s">
        <v>6403</v>
      </c>
      <c r="AC138" s="5911"/>
      <c r="AD138" s="5909" t="s">
        <v>6404</v>
      </c>
      <c r="AE138" s="5911"/>
      <c r="AF138" s="5909" t="s">
        <v>6405</v>
      </c>
      <c r="AG138" s="5910"/>
      <c r="AH138" s="5911"/>
      <c r="AI138" s="5909" t="s">
        <v>6406</v>
      </c>
      <c r="AJ138" s="5910"/>
      <c r="AK138" s="5911"/>
      <c r="AL138" s="5909" t="s">
        <v>6407</v>
      </c>
      <c r="AM138" s="5910"/>
      <c r="AN138" s="5910"/>
      <c r="AO138" s="5911"/>
      <c r="AP138" s="5840" t="s">
        <v>6408</v>
      </c>
      <c r="AQ138" s="5842"/>
      <c r="AR138" s="5841"/>
      <c r="AS138" s="5840" t="s">
        <v>6409</v>
      </c>
      <c r="AT138" s="5841"/>
      <c r="AU138" s="5840" t="s">
        <v>6410</v>
      </c>
      <c r="AV138" s="5842"/>
      <c r="AW138" s="5841"/>
      <c r="AX138" s="5840" t="s">
        <v>6411</v>
      </c>
      <c r="AY138" s="5841"/>
      <c r="AZ138" s="5840" t="s">
        <v>6412</v>
      </c>
      <c r="BA138" s="5841"/>
      <c r="BB138" s="5840" t="s">
        <v>6413</v>
      </c>
      <c r="BC138" s="5841"/>
      <c r="BD138" s="5840" t="s">
        <v>6414</v>
      </c>
      <c r="BE138" s="5841"/>
      <c r="BF138" s="5840" t="s">
        <v>6415</v>
      </c>
      <c r="BG138" s="5841"/>
      <c r="BH138" s="2826" t="s">
        <v>6416</v>
      </c>
      <c r="BI138" s="5840" t="s">
        <v>6378</v>
      </c>
      <c r="BJ138" s="5841"/>
      <c r="BK138" s="2865" t="s">
        <v>6379</v>
      </c>
      <c r="BL138" s="2866"/>
      <c r="BM138" s="2826" t="s">
        <v>10273</v>
      </c>
      <c r="BN138" s="5840" t="s">
        <v>6380</v>
      </c>
      <c r="BO138" s="5841"/>
      <c r="BP138" s="5840" t="s">
        <v>6417</v>
      </c>
      <c r="BQ138" s="5842"/>
      <c r="BR138" s="5841"/>
      <c r="BS138" s="5840" t="s">
        <v>6418</v>
      </c>
      <c r="BT138" s="5841"/>
      <c r="BU138" s="5840" t="s">
        <v>6381</v>
      </c>
      <c r="BV138" s="5842"/>
      <c r="BW138" s="5842"/>
      <c r="BX138" s="5841"/>
      <c r="BY138" s="5840" t="s">
        <v>6382</v>
      </c>
      <c r="BZ138" s="5842"/>
      <c r="CA138" s="5841"/>
      <c r="CB138" s="5840" t="s">
        <v>6383</v>
      </c>
      <c r="CC138" s="5842"/>
      <c r="CD138" s="5841"/>
      <c r="CE138" s="5840" t="s">
        <v>6384</v>
      </c>
      <c r="CF138" s="5841"/>
      <c r="CG138" s="5840" t="s">
        <v>6385</v>
      </c>
      <c r="CH138" s="5842"/>
      <c r="CI138" s="5841"/>
      <c r="CJ138" s="5840" t="s">
        <v>8527</v>
      </c>
      <c r="CK138" s="5842"/>
      <c r="CL138" s="5842"/>
      <c r="CM138" s="5841"/>
      <c r="CN138" s="5840" t="s">
        <v>6386</v>
      </c>
      <c r="CO138" s="5841"/>
      <c r="CP138" s="5840" t="s">
        <v>6387</v>
      </c>
      <c r="CQ138" s="5841"/>
      <c r="CR138" s="5840" t="s">
        <v>6388</v>
      </c>
      <c r="CS138" s="5842"/>
      <c r="CT138" s="5841"/>
      <c r="CU138" s="5840" t="s">
        <v>6389</v>
      </c>
      <c r="CV138" s="5841"/>
      <c r="CW138" s="5840" t="s">
        <v>6390</v>
      </c>
      <c r="CX138" s="5842"/>
      <c r="CY138" s="5841"/>
      <c r="CZ138" s="2867" t="s">
        <v>6391</v>
      </c>
      <c r="DA138" s="5840" t="s">
        <v>6392</v>
      </c>
      <c r="DB138" s="5842"/>
      <c r="DC138" s="5841"/>
      <c r="DD138" s="5840" t="s">
        <v>6393</v>
      </c>
      <c r="DE138" s="5841"/>
      <c r="DF138" s="2876" t="str">
        <f>IF(Personalización!C20="","",Personalización!C20)</f>
        <v/>
      </c>
    </row>
    <row r="139" spans="1:110" ht="12.75" customHeight="1" x14ac:dyDescent="0.2">
      <c r="A139" s="237">
        <v>139</v>
      </c>
      <c r="B139" s="5838"/>
      <c r="C139" s="597" t="s">
        <v>6451</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838"/>
      <c r="C140" s="593" t="s">
        <v>6394</v>
      </c>
      <c r="D140" s="594"/>
      <c r="F140" s="2868" t="str">
        <f t="shared" si="31"/>
        <v xml:space="preserve"> </v>
      </c>
      <c r="G140" s="2869"/>
      <c r="H140" s="606" t="s">
        <v>6458</v>
      </c>
      <c r="I140" s="2872" t="s">
        <v>6419</v>
      </c>
      <c r="J140" s="607" t="s">
        <v>86</v>
      </c>
      <c r="K140" s="2873" t="s">
        <v>6458</v>
      </c>
      <c r="L140" s="2873" t="s">
        <v>86</v>
      </c>
      <c r="M140" s="606" t="s">
        <v>6458</v>
      </c>
      <c r="N140" s="2873" t="s">
        <v>2568</v>
      </c>
      <c r="O140" s="798" t="s">
        <v>86</v>
      </c>
      <c r="P140" s="2873" t="s">
        <v>6458</v>
      </c>
      <c r="Q140" s="2873" t="s">
        <v>86</v>
      </c>
      <c r="R140" s="606" t="s">
        <v>6458</v>
      </c>
      <c r="S140" s="607" t="s">
        <v>86</v>
      </c>
      <c r="T140" s="2873" t="s">
        <v>6459</v>
      </c>
      <c r="U140" s="606" t="s">
        <v>6458</v>
      </c>
      <c r="V140" s="607" t="s">
        <v>6419</v>
      </c>
      <c r="W140" s="2873" t="s">
        <v>6458</v>
      </c>
      <c r="X140" s="2873" t="s">
        <v>86</v>
      </c>
      <c r="Y140" s="1309" t="s">
        <v>6458</v>
      </c>
      <c r="Z140" s="2872" t="s">
        <v>6419</v>
      </c>
      <c r="AA140" s="798" t="s">
        <v>86</v>
      </c>
      <c r="AB140" s="2872" t="s">
        <v>7485</v>
      </c>
      <c r="AC140" s="2872" t="s">
        <v>6460</v>
      </c>
      <c r="AD140" s="1309" t="s">
        <v>6458</v>
      </c>
      <c r="AE140" s="798" t="s">
        <v>86</v>
      </c>
      <c r="AF140" s="2872" t="s">
        <v>6461</v>
      </c>
      <c r="AG140" s="2872" t="s">
        <v>6420</v>
      </c>
      <c r="AH140" s="2872" t="s">
        <v>6462</v>
      </c>
      <c r="AI140" s="1309" t="s">
        <v>6420</v>
      </c>
      <c r="AJ140" s="2872" t="s">
        <v>6421</v>
      </c>
      <c r="AK140" s="798" t="s">
        <v>6422</v>
      </c>
      <c r="AL140" s="2872" t="s">
        <v>6423</v>
      </c>
      <c r="AM140" s="2872" t="s">
        <v>6420</v>
      </c>
      <c r="AN140" s="2872" t="s">
        <v>6424</v>
      </c>
      <c r="AO140" s="2872" t="s">
        <v>7486</v>
      </c>
      <c r="AP140" s="606" t="s">
        <v>6458</v>
      </c>
      <c r="AQ140" s="2873" t="s">
        <v>6425</v>
      </c>
      <c r="AR140" s="607" t="s">
        <v>86</v>
      </c>
      <c r="AS140" s="2873" t="s">
        <v>6463</v>
      </c>
      <c r="AT140" s="2873" t="s">
        <v>6426</v>
      </c>
      <c r="AU140" s="606" t="s">
        <v>6464</v>
      </c>
      <c r="AV140" s="2873" t="s">
        <v>6419</v>
      </c>
      <c r="AW140" s="607" t="s">
        <v>86</v>
      </c>
      <c r="AX140" s="2873" t="s">
        <v>6458</v>
      </c>
      <c r="AY140" s="2873" t="s">
        <v>6460</v>
      </c>
      <c r="AZ140" s="606" t="s">
        <v>6458</v>
      </c>
      <c r="BA140" s="607" t="s">
        <v>6465</v>
      </c>
      <c r="BB140" s="2873" t="s">
        <v>6458</v>
      </c>
      <c r="BC140" s="2873" t="s">
        <v>86</v>
      </c>
      <c r="BD140" s="606" t="s">
        <v>6458</v>
      </c>
      <c r="BE140" s="607" t="s">
        <v>6460</v>
      </c>
      <c r="BF140" s="2873" t="s">
        <v>6458</v>
      </c>
      <c r="BG140" s="2873" t="s">
        <v>6466</v>
      </c>
      <c r="BH140" s="608" t="s">
        <v>6427</v>
      </c>
      <c r="BI140" s="606" t="s">
        <v>6428</v>
      </c>
      <c r="BJ140" s="607" t="s">
        <v>6467</v>
      </c>
      <c r="BK140" s="2873" t="s">
        <v>6458</v>
      </c>
      <c r="BL140" s="2873" t="s">
        <v>6468</v>
      </c>
      <c r="BM140" s="608" t="s">
        <v>6429</v>
      </c>
      <c r="BN140" s="2873" t="s">
        <v>6430</v>
      </c>
      <c r="BO140" s="2873" t="s">
        <v>6431</v>
      </c>
      <c r="BP140" s="606" t="s">
        <v>6432</v>
      </c>
      <c r="BQ140" s="2873" t="s">
        <v>6469</v>
      </c>
      <c r="BR140" s="607" t="s">
        <v>6433</v>
      </c>
      <c r="BS140" s="2873" t="s">
        <v>6458</v>
      </c>
      <c r="BT140" s="2873" t="s">
        <v>6470</v>
      </c>
      <c r="BU140" s="606" t="s">
        <v>6471</v>
      </c>
      <c r="BV140" s="2873" t="s">
        <v>6434</v>
      </c>
      <c r="BW140" s="2873" t="s">
        <v>6419</v>
      </c>
      <c r="BX140" s="607" t="s">
        <v>86</v>
      </c>
      <c r="BY140" s="2873" t="s">
        <v>2566</v>
      </c>
      <c r="BZ140" s="2873" t="s">
        <v>6435</v>
      </c>
      <c r="CA140" s="2873" t="s">
        <v>6436</v>
      </c>
      <c r="CB140" s="606" t="s">
        <v>6458</v>
      </c>
      <c r="CC140" s="2873" t="s">
        <v>6419</v>
      </c>
      <c r="CD140" s="607" t="s">
        <v>86</v>
      </c>
      <c r="CE140" s="2873" t="s">
        <v>6458</v>
      </c>
      <c r="CF140" s="2873" t="s">
        <v>6426</v>
      </c>
      <c r="CG140" s="606" t="s">
        <v>6437</v>
      </c>
      <c r="CH140" s="2873" t="s">
        <v>2567</v>
      </c>
      <c r="CI140" s="607" t="s">
        <v>86</v>
      </c>
      <c r="CJ140" s="2873" t="s">
        <v>6432</v>
      </c>
      <c r="CK140" s="2873" t="s">
        <v>6438</v>
      </c>
      <c r="CL140" s="2873" t="s">
        <v>6419</v>
      </c>
      <c r="CM140" s="2873" t="s">
        <v>6439</v>
      </c>
      <c r="CN140" s="606" t="s">
        <v>6458</v>
      </c>
      <c r="CO140" s="607" t="s">
        <v>6419</v>
      </c>
      <c r="CP140" s="2873" t="s">
        <v>6458</v>
      </c>
      <c r="CQ140" s="2873" t="s">
        <v>6440</v>
      </c>
      <c r="CR140" s="606" t="s">
        <v>6458</v>
      </c>
      <c r="CS140" s="2873" t="s">
        <v>6419</v>
      </c>
      <c r="CT140" s="607" t="s">
        <v>86</v>
      </c>
      <c r="CU140" s="2873" t="s">
        <v>2568</v>
      </c>
      <c r="CV140" s="2873" t="s">
        <v>6436</v>
      </c>
      <c r="CW140" s="606" t="s">
        <v>6458</v>
      </c>
      <c r="CX140" s="2873" t="s">
        <v>6419</v>
      </c>
      <c r="CY140" s="607" t="s">
        <v>86</v>
      </c>
      <c r="CZ140" s="2873" t="s">
        <v>6472</v>
      </c>
      <c r="DA140" s="606" t="s">
        <v>6458</v>
      </c>
      <c r="DB140" s="2873" t="s">
        <v>6419</v>
      </c>
      <c r="DC140" s="607" t="s">
        <v>86</v>
      </c>
      <c r="DD140" s="2873" t="s">
        <v>6458</v>
      </c>
      <c r="DE140" s="607" t="s">
        <v>6419</v>
      </c>
      <c r="DF140" s="609" t="str">
        <f>IF(Personalización!C21="","",Personalización!C21)</f>
        <v/>
      </c>
    </row>
    <row r="141" spans="1:110" ht="12.75" customHeight="1" x14ac:dyDescent="0.2">
      <c r="A141" s="237">
        <v>141</v>
      </c>
      <c r="B141" s="5838"/>
      <c r="C141" s="593" t="s">
        <v>6395</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838"/>
      <c r="C142" s="593" t="s">
        <v>6396</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838"/>
      <c r="C143" s="593" t="s">
        <v>6397</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838"/>
      <c r="C144" s="593" t="s">
        <v>6398</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838"/>
      <c r="C145" s="593" t="s">
        <v>6399</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838"/>
      <c r="C146" s="593" t="s">
        <v>6400</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838"/>
      <c r="C147" s="593" t="s">
        <v>6401</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838"/>
      <c r="C148" s="593" t="s">
        <v>6443</v>
      </c>
      <c r="D148" s="594"/>
      <c r="F148" s="2871">
        <v>8</v>
      </c>
      <c r="G148" s="336" t="s">
        <v>6372</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838"/>
      <c r="C149" s="593" t="s">
        <v>6402</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838"/>
      <c r="C150" s="593" t="s">
        <v>6403</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838"/>
      <c r="C151" s="593" t="s">
        <v>6404</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838"/>
      <c r="C152" s="593" t="s">
        <v>6444</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838"/>
      <c r="C153" s="593" t="s">
        <v>6405</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838"/>
      <c r="C154" s="593" t="s">
        <v>6406</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838"/>
      <c r="C155" s="593" t="s">
        <v>6407</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838"/>
      <c r="C156" s="593" t="s">
        <v>6445</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838"/>
      <c r="C157" s="593" t="s">
        <v>6408</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838"/>
      <c r="C158" s="593" t="s">
        <v>6409</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838"/>
      <c r="C159" s="593" t="s">
        <v>6446</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838"/>
      <c r="C160" s="593" t="s">
        <v>6410</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838"/>
      <c r="C161" s="593" t="s">
        <v>6411</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838"/>
      <c r="C162" s="593" t="s">
        <v>6447</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838"/>
      <c r="C163" s="593" t="s">
        <v>6412</v>
      </c>
      <c r="D163" s="594"/>
      <c r="F163" s="2871">
        <v>23</v>
      </c>
      <c r="G163" s="336" t="s">
        <v>1443</v>
      </c>
      <c r="H163" s="2829" t="s">
        <v>6481</v>
      </c>
      <c r="I163" s="2874" t="s">
        <v>6481</v>
      </c>
      <c r="J163" s="993" t="s">
        <v>6481</v>
      </c>
      <c r="K163" s="2874">
        <v>20</v>
      </c>
      <c r="L163" s="2874"/>
      <c r="M163" s="2829"/>
      <c r="N163" s="2874"/>
      <c r="O163" s="993"/>
      <c r="P163" s="2874" t="s">
        <v>6481</v>
      </c>
      <c r="Q163" s="2874" t="s">
        <v>6481</v>
      </c>
      <c r="R163" s="2829"/>
      <c r="S163" s="993" t="s">
        <v>6481</v>
      </c>
      <c r="T163" s="2874"/>
      <c r="U163" s="2829" t="s">
        <v>6481</v>
      </c>
      <c r="V163" s="993" t="s">
        <v>6481</v>
      </c>
      <c r="W163" s="2874"/>
      <c r="X163" s="2874" t="s">
        <v>6481</v>
      </c>
      <c r="Y163" s="2827" t="s">
        <v>6481</v>
      </c>
      <c r="Z163" s="2660" t="s">
        <v>6481</v>
      </c>
      <c r="AA163" s="2828" t="s">
        <v>6481</v>
      </c>
      <c r="AB163" s="2660"/>
      <c r="AC163" s="2660" t="s">
        <v>6481</v>
      </c>
      <c r="AD163" s="2827" t="s">
        <v>6481</v>
      </c>
      <c r="AE163" s="2828" t="s">
        <v>6481</v>
      </c>
      <c r="AF163" s="2660"/>
      <c r="AG163" s="2660"/>
      <c r="AH163" s="2660"/>
      <c r="AI163" s="2827"/>
      <c r="AJ163" s="2660"/>
      <c r="AK163" s="2828" t="s">
        <v>6481</v>
      </c>
      <c r="AL163" s="2660" t="s">
        <v>6481</v>
      </c>
      <c r="AM163" s="2660" t="s">
        <v>6481</v>
      </c>
      <c r="AN163" s="2660"/>
      <c r="AO163" s="2660" t="s">
        <v>6481</v>
      </c>
      <c r="AP163" s="2829"/>
      <c r="AQ163" s="2874"/>
      <c r="AR163" s="993"/>
      <c r="AS163" s="2874"/>
      <c r="AT163" s="2874"/>
      <c r="AU163" s="2829" t="s">
        <v>6481</v>
      </c>
      <c r="AV163" s="2874">
        <v>20</v>
      </c>
      <c r="AW163" s="993">
        <v>20</v>
      </c>
      <c r="AX163" s="2874" t="s">
        <v>6481</v>
      </c>
      <c r="AY163" s="2874" t="s">
        <v>6481</v>
      </c>
      <c r="AZ163" s="2829" t="s">
        <v>7163</v>
      </c>
      <c r="BA163" s="993" t="s">
        <v>7164</v>
      </c>
      <c r="BB163" s="2874" t="s">
        <v>6481</v>
      </c>
      <c r="BC163" s="2874" t="s">
        <v>6482</v>
      </c>
      <c r="BD163" s="2829"/>
      <c r="BE163" s="993" t="s">
        <v>6481</v>
      </c>
      <c r="BF163" s="2874" t="s">
        <v>6481</v>
      </c>
      <c r="BG163" s="2874" t="s">
        <v>6482</v>
      </c>
      <c r="BH163" s="994"/>
      <c r="BI163" s="2829"/>
      <c r="BJ163" s="993"/>
      <c r="BK163" s="2874">
        <v>20</v>
      </c>
      <c r="BL163" s="2874">
        <v>20</v>
      </c>
      <c r="BM163" s="994"/>
      <c r="BN163" s="2874">
        <v>10</v>
      </c>
      <c r="BO163" s="2874"/>
      <c r="BP163" s="2829"/>
      <c r="BQ163" s="2874" t="s">
        <v>6481</v>
      </c>
      <c r="BR163" s="993" t="s">
        <v>6481</v>
      </c>
      <c r="BS163" s="2874"/>
      <c r="BT163" s="2874">
        <v>20</v>
      </c>
      <c r="BU163" s="2829" t="s">
        <v>6481</v>
      </c>
      <c r="BV163" s="2874"/>
      <c r="BW163" s="2874" t="s">
        <v>6481</v>
      </c>
      <c r="BX163" s="993" t="s">
        <v>6482</v>
      </c>
      <c r="BY163" s="2874"/>
      <c r="BZ163" s="2874"/>
      <c r="CA163" s="2874"/>
      <c r="CB163" s="2829" t="s">
        <v>6481</v>
      </c>
      <c r="CC163" s="2874" t="s">
        <v>6481</v>
      </c>
      <c r="CD163" s="993" t="s">
        <v>6481</v>
      </c>
      <c r="CE163" s="2874"/>
      <c r="CF163" s="2874"/>
      <c r="CG163" s="2829"/>
      <c r="CH163" s="2874"/>
      <c r="CI163" s="993" t="s">
        <v>6481</v>
      </c>
      <c r="CJ163" s="2874" t="s">
        <v>6481</v>
      </c>
      <c r="CK163" s="2874" t="s">
        <v>6481</v>
      </c>
      <c r="CL163" s="2874" t="s">
        <v>6481</v>
      </c>
      <c r="CM163" s="2874" t="s">
        <v>6481</v>
      </c>
      <c r="CN163" s="2829" t="s">
        <v>6482</v>
      </c>
      <c r="CO163" s="993" t="s">
        <v>6482</v>
      </c>
      <c r="CP163" s="2874"/>
      <c r="CQ163" s="2874"/>
      <c r="CR163" s="2829" t="s">
        <v>6481</v>
      </c>
      <c r="CS163" s="2874" t="s">
        <v>6481</v>
      </c>
      <c r="CT163" s="993" t="s">
        <v>6481</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838"/>
      <c r="C164" s="593" t="s">
        <v>6413</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838"/>
      <c r="C165" s="593" t="s">
        <v>6448</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838"/>
      <c r="C166" s="593" t="s">
        <v>6414</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838"/>
      <c r="C167" s="593" t="s">
        <v>6415</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838"/>
      <c r="C168" s="593" t="s">
        <v>6416</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6483</v>
      </c>
      <c r="AE168" s="2828" t="s">
        <v>6483</v>
      </c>
      <c r="AF168" s="2660"/>
      <c r="AG168" s="2660"/>
      <c r="AH168" s="2660"/>
      <c r="AI168" s="2827"/>
      <c r="AJ168" s="2660"/>
      <c r="AK168" s="2828"/>
      <c r="AL168" s="2660"/>
      <c r="AM168" s="2660"/>
      <c r="AN168" s="2660"/>
      <c r="AO168" s="2660"/>
      <c r="AP168" s="2829" t="s">
        <v>6488</v>
      </c>
      <c r="AQ168" s="2874" t="s">
        <v>6489</v>
      </c>
      <c r="AR168" s="993" t="s">
        <v>6490</v>
      </c>
      <c r="AS168" s="2874"/>
      <c r="AT168" s="2874"/>
      <c r="AU168" s="2829"/>
      <c r="AV168" s="2874"/>
      <c r="AW168" s="993"/>
      <c r="AX168" s="2874"/>
      <c r="AY168" s="2874"/>
      <c r="AZ168" s="2829" t="s">
        <v>6484</v>
      </c>
      <c r="BA168" s="993" t="s">
        <v>6485</v>
      </c>
      <c r="BB168" s="2874" t="s">
        <v>6486</v>
      </c>
      <c r="BC168" s="2874" t="s">
        <v>6483</v>
      </c>
      <c r="BD168" s="2829" t="s">
        <v>6487</v>
      </c>
      <c r="BE168" s="993" t="s">
        <v>6483</v>
      </c>
      <c r="BF168" s="2874" t="s">
        <v>6483</v>
      </c>
      <c r="BG168" s="2874" t="s">
        <v>6486</v>
      </c>
      <c r="BH168" s="994"/>
      <c r="BI168" s="2829"/>
      <c r="BJ168" s="993"/>
      <c r="BK168" s="2874"/>
      <c r="BL168" s="2874"/>
      <c r="BM168" s="994"/>
      <c r="BN168" s="2874"/>
      <c r="BO168" s="2874"/>
      <c r="BP168" s="2829" t="s">
        <v>6483</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6491</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838"/>
      <c r="C169" s="593" t="s">
        <v>6452</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838"/>
      <c r="C170" s="593" t="s">
        <v>6378</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838"/>
      <c r="C171" s="593" t="s">
        <v>6379</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838"/>
      <c r="C172" s="593" t="s">
        <v>10273</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838"/>
      <c r="C173" s="593" t="s">
        <v>6380</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838"/>
      <c r="C174" s="593" t="s">
        <v>6453</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838"/>
      <c r="C175" s="593" t="s">
        <v>6417</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838"/>
      <c r="C176" s="593" t="s">
        <v>6418</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838"/>
      <c r="C177" s="597" t="s">
        <v>6454</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838"/>
      <c r="C178" s="593" t="s">
        <v>6381</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838"/>
      <c r="C179" s="593" t="s">
        <v>6382</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838"/>
      <c r="C180" s="593" t="s">
        <v>6383</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838"/>
      <c r="C181" s="593" t="s">
        <v>6384</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838"/>
      <c r="C182" s="593" t="s">
        <v>6385</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838"/>
      <c r="C183" s="593" t="s">
        <v>8527</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838"/>
      <c r="C184" s="593" t="s">
        <v>6386</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838"/>
      <c r="C185" s="593" t="s">
        <v>6387</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838"/>
      <c r="C186" s="593" t="s">
        <v>6388</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838"/>
      <c r="C187" s="593" t="s">
        <v>6389</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838"/>
      <c r="C188" s="593" t="s">
        <v>6455</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838"/>
      <c r="C189" s="593" t="s">
        <v>6390</v>
      </c>
      <c r="D189" s="594"/>
      <c r="F189" s="2871">
        <v>49</v>
      </c>
      <c r="G189" s="336" t="s">
        <v>6373</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838"/>
      <c r="C190" s="593" t="s">
        <v>6391</v>
      </c>
      <c r="D190" s="594"/>
      <c r="F190" s="2871">
        <v>50</v>
      </c>
      <c r="G190" s="336" t="s">
        <v>6374</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838"/>
      <c r="C191" s="593" t="s">
        <v>6392</v>
      </c>
      <c r="D191" s="594"/>
      <c r="F191" s="2871">
        <v>51</v>
      </c>
      <c r="G191" s="336" t="s">
        <v>6375</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838"/>
      <c r="C192" s="593" t="s">
        <v>6393</v>
      </c>
      <c r="D192" s="594"/>
      <c r="F192" s="2871">
        <v>52</v>
      </c>
      <c r="G192" s="336" t="s">
        <v>6376</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838"/>
      <c r="C193" s="593" t="str">
        <f>IF(ISNA(VLOOKUP(Personalización!C20,Tablas!$C$138:$C$192,1,0)),"&gt;&gt; PERSONALIZACIÓN","")</f>
        <v>&gt;&gt; PERSONALIZACIÓN</v>
      </c>
      <c r="D193" s="594"/>
      <c r="F193" s="2871">
        <v>53</v>
      </c>
      <c r="G193" s="604"/>
      <c r="H193" s="2829"/>
      <c r="I193" s="2874"/>
      <c r="J193" s="993" t="s">
        <v>6473</v>
      </c>
      <c r="K193" s="2874"/>
      <c r="L193" s="2874" t="s">
        <v>6473</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6475</v>
      </c>
      <c r="AI193" s="2827"/>
      <c r="AJ193" s="2660"/>
      <c r="AK193" s="2828"/>
      <c r="AL193" s="2660"/>
      <c r="AM193" s="2660"/>
      <c r="AN193" s="2660"/>
      <c r="AO193" s="2660"/>
      <c r="AP193" s="2829"/>
      <c r="AQ193" s="2874"/>
      <c r="AR193" s="993"/>
      <c r="AS193" s="2874"/>
      <c r="AT193" s="2874"/>
      <c r="AU193" s="2829"/>
      <c r="AV193" s="2874" t="s">
        <v>6477</v>
      </c>
      <c r="AW193" s="993" t="s">
        <v>6477</v>
      </c>
      <c r="AX193" s="2874"/>
      <c r="AY193" s="2874" t="s">
        <v>6477</v>
      </c>
      <c r="AZ193" s="2829"/>
      <c r="BA193" s="993"/>
      <c r="BB193" s="2874"/>
      <c r="BC193" s="2874"/>
      <c r="BD193" s="2829"/>
      <c r="BE193" s="993"/>
      <c r="BF193" s="2874"/>
      <c r="BG193" s="2874"/>
      <c r="BH193" s="994"/>
      <c r="BI193" s="2829"/>
      <c r="BJ193" s="993"/>
      <c r="BK193" s="2874"/>
      <c r="BL193" s="2874" t="s">
        <v>6473</v>
      </c>
      <c r="BM193" s="994"/>
      <c r="BN193" s="2874"/>
      <c r="BO193" s="2874"/>
      <c r="BP193" s="2829"/>
      <c r="BQ193" s="2874"/>
      <c r="BR193" s="993"/>
      <c r="BS193" s="2874"/>
      <c r="BT193" s="2874" t="s">
        <v>6477</v>
      </c>
      <c r="BU193" s="2829"/>
      <c r="BV193" s="2874"/>
      <c r="BW193" s="2874"/>
      <c r="BX193" s="993" t="s">
        <v>6473</v>
      </c>
      <c r="BY193" s="2874"/>
      <c r="BZ193" s="2874"/>
      <c r="CA193" s="2874"/>
      <c r="CB193" s="2829"/>
      <c r="CC193" s="2874"/>
      <c r="CD193" s="993"/>
      <c r="CE193" s="2874"/>
      <c r="CF193" s="2874"/>
      <c r="CG193" s="2829"/>
      <c r="CH193" s="2874"/>
      <c r="CI193" s="993"/>
      <c r="CJ193" s="2874"/>
      <c r="CK193" s="2874" t="s">
        <v>6441</v>
      </c>
      <c r="CL193" s="2874"/>
      <c r="CM193" s="2874" t="s">
        <v>6441</v>
      </c>
      <c r="CN193" s="2829"/>
      <c r="CO193" s="993"/>
      <c r="CP193" s="2874"/>
      <c r="CQ193" s="2874"/>
      <c r="CR193" s="2829"/>
      <c r="CS193" s="2874"/>
      <c r="CT193" s="993"/>
      <c r="CU193" s="2874"/>
      <c r="CV193" s="2874"/>
      <c r="CW193" s="2829"/>
      <c r="CX193" s="2874"/>
      <c r="CY193" s="993"/>
      <c r="CZ193" s="2874"/>
      <c r="DA193" s="2829"/>
      <c r="DB193" s="2874"/>
      <c r="DC193" s="993" t="s">
        <v>6473</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838"/>
      <c r="C194" s="595" t="str">
        <f>IF(ISNA(VLOOKUP(Personalización!C20,Tablas!$C$138:$C$192,1,0)),IF(Personalización!C20&lt;&gt;"",Personalización!C20,"Región Personalizada"),"")</f>
        <v>Región Personalizada</v>
      </c>
      <c r="D194" s="596"/>
      <c r="F194" s="2871">
        <v>54</v>
      </c>
      <c r="G194" s="336"/>
      <c r="H194" s="2829"/>
      <c r="I194" s="2874"/>
      <c r="J194" s="993" t="s">
        <v>6474</v>
      </c>
      <c r="K194" s="2874"/>
      <c r="L194" s="2874" t="s">
        <v>6474</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6473</v>
      </c>
      <c r="AI194" s="2827"/>
      <c r="AJ194" s="2660"/>
      <c r="AK194" s="2828"/>
      <c r="AL194" s="2660"/>
      <c r="AM194" s="2660"/>
      <c r="AN194" s="2660"/>
      <c r="AO194" s="2660"/>
      <c r="AP194" s="2829"/>
      <c r="AQ194" s="2874"/>
      <c r="AR194" s="993"/>
      <c r="AS194" s="2874"/>
      <c r="AT194" s="2874"/>
      <c r="AU194" s="2829"/>
      <c r="AV194" s="2874" t="s">
        <v>6476</v>
      </c>
      <c r="AW194" s="993" t="s">
        <v>6476</v>
      </c>
      <c r="AX194" s="2874"/>
      <c r="AY194" s="2874" t="s">
        <v>6476</v>
      </c>
      <c r="AZ194" s="2829"/>
      <c r="BA194" s="993"/>
      <c r="BB194" s="2874"/>
      <c r="BC194" s="2874"/>
      <c r="BD194" s="2829"/>
      <c r="BE194" s="993"/>
      <c r="BF194" s="2874"/>
      <c r="BG194" s="2874"/>
      <c r="BH194" s="994"/>
      <c r="BI194" s="2829"/>
      <c r="BJ194" s="993"/>
      <c r="BK194" s="2874"/>
      <c r="BL194" s="2874" t="s">
        <v>6474</v>
      </c>
      <c r="BM194" s="994"/>
      <c r="BN194" s="2874"/>
      <c r="BO194" s="2874"/>
      <c r="BP194" s="2829"/>
      <c r="BQ194" s="2874"/>
      <c r="BR194" s="993"/>
      <c r="BS194" s="2874"/>
      <c r="BT194" s="2874" t="s">
        <v>6476</v>
      </c>
      <c r="BU194" s="2829"/>
      <c r="BV194" s="2874"/>
      <c r="BW194" s="2874"/>
      <c r="BX194" s="993" t="s">
        <v>6474</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6474</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838"/>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6672</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838"/>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6481</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838"/>
      <c r="H197"/>
      <c r="N197"/>
    </row>
    <row r="198" spans="1:110" ht="12.75" customHeight="1" thickBot="1" x14ac:dyDescent="0.25">
      <c r="A198" s="237">
        <v>198</v>
      </c>
      <c r="B198" s="5838"/>
      <c r="C198" s="5839" t="s">
        <v>2035</v>
      </c>
      <c r="D198" s="5839"/>
      <c r="E198" s="5839"/>
      <c r="F198" s="5839"/>
      <c r="G198" s="5839"/>
      <c r="H198" s="5839"/>
      <c r="I198" s="5839"/>
      <c r="J198" s="5839"/>
      <c r="K198" s="5839"/>
      <c r="L198" s="5839"/>
      <c r="M198" s="5839"/>
      <c r="N198" s="5839"/>
      <c r="O198" s="5839"/>
      <c r="P198" s="5839"/>
      <c r="Q198" s="5839"/>
      <c r="R198" s="5839"/>
      <c r="S198" s="5839"/>
      <c r="T198" s="5839"/>
      <c r="U198" s="5839"/>
      <c r="V198" s="5839"/>
      <c r="W198" s="5839"/>
      <c r="X198" s="5839"/>
      <c r="Y198" s="5839"/>
      <c r="Z198" s="5839"/>
      <c r="AA198" s="5839"/>
      <c r="AB198" s="5839"/>
      <c r="AC198" s="5839"/>
      <c r="AD198" s="5839"/>
      <c r="AE198" s="5839"/>
      <c r="AF198" s="5839"/>
      <c r="AG198" s="5839"/>
      <c r="AH198" s="5839"/>
      <c r="AI198" s="5839"/>
      <c r="AJ198" s="5839"/>
      <c r="AK198" s="5839"/>
      <c r="AL198" s="5839"/>
      <c r="AM198" s="5839"/>
      <c r="AN198" s="5839"/>
      <c r="AO198" s="5839"/>
      <c r="AP198" s="5839"/>
      <c r="AQ198" s="5839"/>
      <c r="AR198" s="5839"/>
      <c r="AS198" s="5839"/>
      <c r="AT198" s="5839"/>
      <c r="AU198" s="5839"/>
      <c r="AV198" s="5839"/>
      <c r="AW198" s="5839"/>
      <c r="AX198" s="5839"/>
      <c r="AY198" s="5839"/>
      <c r="AZ198" s="5839"/>
      <c r="BA198" s="5839"/>
      <c r="BB198" s="5839"/>
      <c r="BC198" s="5839"/>
      <c r="BD198" s="5839"/>
      <c r="BE198" s="5839"/>
      <c r="BF198" s="5839"/>
      <c r="BG198" s="5839"/>
      <c r="BH198" s="5839"/>
      <c r="BI198" s="5839"/>
      <c r="BJ198" s="5839"/>
      <c r="BK198" s="5839"/>
      <c r="BL198" s="5839"/>
      <c r="BM198" s="5839"/>
      <c r="BN198" s="5839"/>
      <c r="BO198" s="5839"/>
      <c r="BP198" s="5839"/>
      <c r="BQ198" s="5839"/>
      <c r="BR198" s="5839"/>
      <c r="BS198" s="5839"/>
      <c r="BT198" s="5839"/>
      <c r="BU198" s="5839"/>
      <c r="BV198" s="5839"/>
      <c r="BW198" s="5839"/>
      <c r="BX198" s="5839"/>
      <c r="BY198" s="5839"/>
      <c r="BZ198" s="5839"/>
      <c r="CA198" s="5839"/>
      <c r="CB198" s="5839"/>
      <c r="CC198" s="5839"/>
      <c r="CD198" s="5839"/>
      <c r="CE198" s="5839"/>
      <c r="CF198" s="5839"/>
      <c r="CG198" s="5839"/>
      <c r="CH198" s="5839"/>
      <c r="CI198" s="5839"/>
    </row>
    <row r="199" spans="1:110" ht="12.75" customHeight="1" x14ac:dyDescent="0.2">
      <c r="A199" s="237">
        <v>199</v>
      </c>
      <c r="B199" s="5838"/>
      <c r="C199" s="5839"/>
      <c r="D199" s="5839"/>
      <c r="E199" s="5839"/>
      <c r="F199" s="5839"/>
      <c r="G199" s="5839"/>
      <c r="H199" s="5839"/>
      <c r="I199" s="5839"/>
      <c r="J199" s="5839"/>
      <c r="K199" s="5839"/>
      <c r="L199" s="5839"/>
      <c r="M199" s="5839"/>
      <c r="N199" s="5839"/>
      <c r="O199" s="5839"/>
      <c r="P199" s="5839"/>
      <c r="Q199" s="5839"/>
      <c r="R199" s="5839"/>
      <c r="S199" s="5839"/>
      <c r="T199" s="5839"/>
      <c r="U199" s="5839"/>
      <c r="V199" s="5839"/>
      <c r="W199" s="5839"/>
      <c r="X199" s="5839"/>
      <c r="Y199" s="5839"/>
      <c r="Z199" s="5839"/>
      <c r="AA199" s="5839"/>
      <c r="AB199" s="5839"/>
      <c r="AC199" s="5839"/>
      <c r="AD199" s="5839"/>
      <c r="AE199" s="5839"/>
      <c r="AF199" s="5839"/>
      <c r="AG199" s="5839"/>
      <c r="AH199" s="5839"/>
      <c r="AI199" s="5839"/>
      <c r="AJ199" s="5839"/>
      <c r="AK199" s="5839"/>
      <c r="AL199" s="5839"/>
      <c r="AM199" s="5839"/>
      <c r="AN199" s="5839"/>
      <c r="AO199" s="5839"/>
      <c r="AP199" s="5839"/>
      <c r="AQ199" s="5839"/>
      <c r="AR199" s="5839"/>
      <c r="AS199" s="5839"/>
      <c r="AT199" s="5839"/>
      <c r="AU199" s="5839"/>
      <c r="AV199" s="5839"/>
      <c r="AW199" s="5839"/>
      <c r="AX199" s="5839"/>
      <c r="AY199" s="5839"/>
      <c r="AZ199" s="5839"/>
      <c r="BA199" s="5839"/>
      <c r="BB199" s="5839"/>
      <c r="BC199" s="5839"/>
      <c r="BD199" s="5839"/>
      <c r="BE199" s="5839"/>
      <c r="BF199" s="5839"/>
      <c r="BG199" s="5839"/>
      <c r="BH199" s="5839"/>
      <c r="BI199" s="5839"/>
      <c r="BJ199" s="5839"/>
      <c r="BK199" s="5839"/>
      <c r="BL199" s="5839"/>
      <c r="BM199" s="5839"/>
      <c r="BN199" s="5839"/>
      <c r="BO199" s="5839"/>
      <c r="BP199" s="5839"/>
      <c r="BQ199" s="5839"/>
      <c r="BR199" s="5839"/>
      <c r="BS199" s="5839"/>
      <c r="BT199" s="5839"/>
      <c r="BU199" s="5839"/>
      <c r="BV199" s="5839"/>
      <c r="BW199" s="5839"/>
      <c r="BX199" s="5839"/>
      <c r="BY199" s="5839"/>
      <c r="BZ199" s="5839"/>
      <c r="CA199" s="5839"/>
      <c r="CB199" s="5839"/>
      <c r="CC199" s="5839"/>
      <c r="CD199" s="5839"/>
      <c r="CE199" s="5839"/>
      <c r="CF199" s="5839"/>
      <c r="CG199" s="5839"/>
      <c r="CH199" s="5839"/>
      <c r="CI199" s="5839"/>
    </row>
    <row r="200" spans="1:110" ht="12.75" customHeight="1" x14ac:dyDescent="0.2">
      <c r="A200" s="237">
        <v>200</v>
      </c>
      <c r="B200" s="5838"/>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838"/>
      <c r="C201" s="208" t="s">
        <v>1406</v>
      </c>
      <c r="D201" s="209" t="s">
        <v>1492</v>
      </c>
      <c r="E201" s="209" t="s">
        <v>1396</v>
      </c>
      <c r="F201" s="209" t="s">
        <v>7159</v>
      </c>
      <c r="G201" s="209" t="s">
        <v>2036</v>
      </c>
      <c r="H201" s="209" t="s">
        <v>1504</v>
      </c>
      <c r="I201" s="623" t="s">
        <v>2037</v>
      </c>
      <c r="J201" s="209" t="s">
        <v>2038</v>
      </c>
      <c r="K201" s="209" t="s">
        <v>2039</v>
      </c>
      <c r="L201" s="209" t="s">
        <v>10165</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7407</v>
      </c>
      <c r="X201" s="979" t="str">
        <f>"Coste"&amp;PDs!$E$90</f>
        <v>CosteZeón</v>
      </c>
      <c r="Y201" s="1310" t="s">
        <v>7160</v>
      </c>
      <c r="Z201" s="1310" t="str">
        <f>"Coste"&amp;PDs!$E$93</f>
        <v>CosteProyección Mágica</v>
      </c>
      <c r="AA201" s="1310" t="s">
        <v>2041</v>
      </c>
      <c r="AB201" s="1310" t="str">
        <f>"Coste"&amp;PDs!$E$96</f>
        <v>CosteControlar</v>
      </c>
      <c r="AC201" s="1310" t="s">
        <v>2042</v>
      </c>
      <c r="AD201" s="1310" t="s">
        <v>7408</v>
      </c>
      <c r="AE201" s="1310" t="s">
        <v>2043</v>
      </c>
      <c r="AF201" s="1310" t="str">
        <f>"Coste"&amp;PDs!$E$109</f>
        <v>CosteProyección psíquica</v>
      </c>
      <c r="AG201" s="1310" t="str">
        <f>"Coste"&amp;PDs!D126</f>
        <v>CosteAtléticas</v>
      </c>
      <c r="AH201" s="1310" t="s">
        <v>2044</v>
      </c>
      <c r="AI201" s="1310" t="s">
        <v>8536</v>
      </c>
      <c r="AJ201" s="1310" t="str">
        <f>"Coste"&amp;PDs!$D$143</f>
        <v>CosteIntelectuales</v>
      </c>
      <c r="AK201" s="1310" t="s">
        <v>2045</v>
      </c>
      <c r="AL201" s="1310" t="s">
        <v>7409</v>
      </c>
      <c r="AM201" s="1310" t="s">
        <v>7410</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7158</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838"/>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838"/>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838"/>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838"/>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838"/>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838"/>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838"/>
      <c r="C208" s="957">
        <f>SUMIF(PDs!$AD$6:$AD$10,Tablas!D208,PDs!$AE$6:$AE$10)</f>
        <v>0</v>
      </c>
      <c r="D208" s="960" t="s">
        <v>10185</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838"/>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838"/>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838"/>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838"/>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838"/>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838"/>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838"/>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838"/>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838"/>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838"/>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838"/>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838"/>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838"/>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838"/>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838"/>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838"/>
      <c r="C224" s="99"/>
      <c r="D224" s="5970" t="s">
        <v>7505</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838"/>
      <c r="D225" s="5971"/>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838"/>
    </row>
    <row r="227" spans="1:83" ht="12.75" customHeight="1" x14ac:dyDescent="0.2">
      <c r="A227" s="237">
        <v>227</v>
      </c>
      <c r="B227" s="5838"/>
    </row>
    <row r="228" spans="1:83" ht="12.75" customHeight="1" x14ac:dyDescent="0.2">
      <c r="A228" s="237">
        <v>228</v>
      </c>
      <c r="B228" s="5838"/>
      <c r="C228" s="5812" t="s">
        <v>7513</v>
      </c>
      <c r="D228" s="5812"/>
      <c r="E228" s="5812"/>
      <c r="F228" s="5812"/>
      <c r="G228" s="5812"/>
      <c r="H228" s="5812"/>
      <c r="I228" s="5812"/>
      <c r="J228" s="5812"/>
      <c r="K228" s="5812"/>
      <c r="L228" s="5812"/>
      <c r="M228" s="5812"/>
      <c r="N228" s="5812"/>
      <c r="O228" s="5812"/>
      <c r="P228" s="5812"/>
      <c r="Q228" s="5812"/>
      <c r="R228" s="5812"/>
      <c r="S228" s="5812"/>
      <c r="T228" s="5812"/>
      <c r="U228" s="5812"/>
      <c r="V228" s="5812"/>
      <c r="W228" s="5812"/>
      <c r="X228" s="5812"/>
      <c r="Y228" s="5812"/>
      <c r="Z228" s="5812"/>
    </row>
    <row r="229" spans="1:83" ht="12.75" customHeight="1" x14ac:dyDescent="0.2">
      <c r="A229" s="237">
        <v>229</v>
      </c>
      <c r="B229" s="5838"/>
      <c r="C229" s="5812"/>
      <c r="D229" s="5812"/>
      <c r="E229" s="5812"/>
      <c r="F229" s="5812"/>
      <c r="G229" s="5812"/>
      <c r="H229" s="5812"/>
      <c r="I229" s="5812"/>
      <c r="J229" s="5812"/>
      <c r="K229" s="5812"/>
      <c r="L229" s="5812"/>
      <c r="M229" s="5812"/>
      <c r="N229" s="5812"/>
      <c r="O229" s="5812"/>
      <c r="P229" s="5812"/>
      <c r="Q229" s="5812"/>
      <c r="R229" s="5812"/>
      <c r="S229" s="5812"/>
      <c r="T229" s="5812"/>
      <c r="U229" s="5812"/>
      <c r="V229" s="5812"/>
      <c r="W229" s="5812"/>
      <c r="X229" s="5812"/>
      <c r="Y229" s="5812"/>
      <c r="Z229" s="5812"/>
    </row>
    <row r="230" spans="1:83" ht="12.75" customHeight="1" x14ac:dyDescent="0.2">
      <c r="A230" s="237">
        <v>230</v>
      </c>
      <c r="B230" s="5838"/>
      <c r="C230" s="5812"/>
      <c r="D230" s="5812"/>
      <c r="E230" s="5812"/>
      <c r="F230" s="5812"/>
      <c r="G230" s="5812"/>
      <c r="H230" s="5812"/>
      <c r="I230" s="5812"/>
      <c r="J230" s="5812"/>
      <c r="K230" s="5812"/>
      <c r="L230" s="5812"/>
      <c r="M230" s="5812"/>
      <c r="N230" s="5812"/>
      <c r="O230" s="5812"/>
      <c r="P230" s="5812"/>
      <c r="Q230" s="5812"/>
      <c r="R230" s="5812"/>
      <c r="S230" s="5812"/>
      <c r="T230" s="5812"/>
      <c r="U230" s="5812"/>
      <c r="V230" s="5812"/>
      <c r="W230" s="5812"/>
      <c r="X230" s="5812"/>
      <c r="Y230" s="5812"/>
      <c r="Z230" s="5812"/>
    </row>
    <row r="231" spans="1:83" ht="12.75" customHeight="1" thickBot="1" x14ac:dyDescent="0.25">
      <c r="A231" s="237">
        <v>231</v>
      </c>
      <c r="B231" s="5838"/>
      <c r="H231"/>
      <c r="I231" s="592"/>
      <c r="N231"/>
      <c r="O231" s="592"/>
    </row>
    <row r="232" spans="1:83" ht="12.75" customHeight="1" x14ac:dyDescent="0.2">
      <c r="A232" s="237">
        <v>232</v>
      </c>
      <c r="B232" s="5838"/>
      <c r="C232" s="5973" t="s">
        <v>2259</v>
      </c>
      <c r="D232" s="5974"/>
      <c r="E232" s="5974"/>
      <c r="F232" s="5974"/>
      <c r="G232" s="5975"/>
      <c r="H232" s="2733"/>
      <c r="I232" s="592"/>
      <c r="L232" s="5899" t="s">
        <v>2524</v>
      </c>
      <c r="M232" s="5900"/>
      <c r="N232" s="5900"/>
      <c r="O232" s="5900"/>
      <c r="P232" s="5900"/>
      <c r="Q232" s="5900"/>
      <c r="R232" s="5900"/>
      <c r="S232" s="5900"/>
      <c r="T232" s="5901"/>
    </row>
    <row r="233" spans="1:83" ht="12.75" customHeight="1" x14ac:dyDescent="0.2">
      <c r="A233" s="237">
        <v>233</v>
      </c>
      <c r="B233" s="5838"/>
      <c r="C233" s="919" t="s">
        <v>1352</v>
      </c>
      <c r="D233" s="2747" t="s">
        <v>2843</v>
      </c>
      <c r="E233" s="2747" t="s">
        <v>6682</v>
      </c>
      <c r="F233" s="2747" t="s">
        <v>6681</v>
      </c>
      <c r="G233" s="920" t="s">
        <v>7356</v>
      </c>
      <c r="I233" s="592"/>
      <c r="L233" s="5902"/>
      <c r="M233" s="5903"/>
      <c r="N233" s="5903"/>
      <c r="O233" s="5903"/>
      <c r="P233" s="5903"/>
      <c r="Q233" s="5903"/>
      <c r="R233" s="5903"/>
      <c r="S233" s="5903"/>
      <c r="T233" s="5904"/>
    </row>
    <row r="234" spans="1:83" ht="12.75" customHeight="1" thickBot="1" x14ac:dyDescent="0.25">
      <c r="A234" s="237">
        <v>234</v>
      </c>
      <c r="B234" s="5838"/>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84" t="s">
        <v>1553</v>
      </c>
      <c r="S234" s="5930"/>
      <c r="T234" s="1242" t="s">
        <v>8582</v>
      </c>
    </row>
    <row r="235" spans="1:83" ht="12.75" customHeight="1" thickBot="1" x14ac:dyDescent="0.25">
      <c r="A235" s="237">
        <v>235</v>
      </c>
      <c r="B235" s="5838"/>
      <c r="E235" s="917" t="s">
        <v>2280</v>
      </c>
      <c r="F235" s="918" t="s">
        <v>6680</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838"/>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8557</v>
      </c>
      <c r="S236" s="1231"/>
      <c r="T236" s="2322" t="str">
        <f>IF(P236=0,"",R236)</f>
        <v/>
      </c>
    </row>
    <row r="237" spans="1:83" ht="12.75" customHeight="1" thickBot="1" x14ac:dyDescent="0.25">
      <c r="A237" s="237">
        <v>237</v>
      </c>
      <c r="B237" s="5838"/>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8558</v>
      </c>
      <c r="S237" s="1231"/>
      <c r="T237" s="2322" t="str">
        <f t="shared" ref="T237:T251" si="39">IF(P237=0,"",R237)</f>
        <v/>
      </c>
    </row>
    <row r="238" spans="1:83" ht="12.75" customHeight="1" x14ac:dyDescent="0.2">
      <c r="A238" s="237">
        <v>238</v>
      </c>
      <c r="B238" s="5838"/>
      <c r="C238" s="5899" t="s">
        <v>2260</v>
      </c>
      <c r="D238" s="5900"/>
      <c r="E238" s="5900"/>
      <c r="F238" s="5900"/>
      <c r="G238" s="5900"/>
      <c r="H238" s="5901"/>
      <c r="L238" s="597" t="str">
        <f t="shared" si="37"/>
        <v>Esencia Venenosa</v>
      </c>
      <c r="M238" s="926">
        <f t="shared" si="36"/>
        <v>12</v>
      </c>
      <c r="N238" s="55" t="s">
        <v>2528</v>
      </c>
      <c r="O238" s="2036">
        <f>1+IF(Principal!$Y$24="No",1,0)</f>
        <v>1</v>
      </c>
      <c r="P238" s="2031">
        <f>COUNTIF(Principal!$C$35:$J$47,Tablas!N238)</f>
        <v>0</v>
      </c>
      <c r="Q238" s="2030">
        <f t="shared" si="38"/>
        <v>0</v>
      </c>
      <c r="R238" s="2318" t="s">
        <v>8559</v>
      </c>
      <c r="S238" s="1231"/>
      <c r="T238" s="2322" t="str">
        <f>IF(P238=0,"",R238)</f>
        <v/>
      </c>
    </row>
    <row r="239" spans="1:83" ht="12.75" customHeight="1" x14ac:dyDescent="0.2">
      <c r="A239" s="237">
        <v>239</v>
      </c>
      <c r="B239" s="5838"/>
      <c r="C239" s="5902"/>
      <c r="D239" s="5972"/>
      <c r="E239" s="5972"/>
      <c r="F239" s="5972"/>
      <c r="G239" s="5972"/>
      <c r="H239" s="5904"/>
      <c r="L239" s="597" t="str">
        <f t="shared" si="37"/>
        <v>La Sangre de Orochi</v>
      </c>
      <c r="M239" s="926">
        <f t="shared" si="36"/>
        <v>15</v>
      </c>
      <c r="N239" s="55" t="s">
        <v>2529</v>
      </c>
      <c r="O239" s="2036">
        <f>1+IF(Principal!$Y$24="No",1,0)</f>
        <v>1</v>
      </c>
      <c r="P239" s="2031">
        <f>COUNTIF(Principal!$C$35:$J$47,Tablas!N239)</f>
        <v>0</v>
      </c>
      <c r="Q239" s="2030">
        <f t="shared" si="38"/>
        <v>0</v>
      </c>
      <c r="R239" s="2318" t="s">
        <v>8560</v>
      </c>
      <c r="S239" s="1231"/>
      <c r="T239" s="2322" t="str">
        <f t="shared" si="39"/>
        <v/>
      </c>
    </row>
    <row r="240" spans="1:83" ht="12.75" customHeight="1" x14ac:dyDescent="0.2">
      <c r="A240" s="237">
        <v>240</v>
      </c>
      <c r="B240" s="5838"/>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8699</v>
      </c>
      <c r="S240" s="1231"/>
      <c r="T240" s="2322" t="str">
        <f t="shared" si="39"/>
        <v/>
      </c>
    </row>
    <row r="241" spans="1:20" ht="12.75" customHeight="1" x14ac:dyDescent="0.2">
      <c r="A241" s="237">
        <v>241</v>
      </c>
      <c r="B241" s="5838"/>
      <c r="C241" s="513"/>
      <c r="D241" s="2649"/>
      <c r="E241" s="2744" t="s">
        <v>7265</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8561</v>
      </c>
      <c r="S241" s="1231"/>
      <c r="T241" s="2322" t="str">
        <f t="shared" si="39"/>
        <v/>
      </c>
    </row>
    <row r="242" spans="1:20" ht="12.75" customHeight="1" x14ac:dyDescent="0.2">
      <c r="A242" s="237">
        <v>242</v>
      </c>
      <c r="B242" s="5838"/>
      <c r="C242" s="513"/>
      <c r="D242" s="2651"/>
      <c r="E242" s="2745" t="s">
        <v>2643</v>
      </c>
      <c r="F242" s="2030">
        <f>Principal!H50</f>
        <v>0</v>
      </c>
      <c r="G242" s="2030">
        <f>H258+2*H500</f>
        <v>0</v>
      </c>
      <c r="H242" s="594">
        <v>1</v>
      </c>
      <c r="L242" s="597" t="str">
        <f t="shared" si="37"/>
        <v>Los Ojos de la Muerte</v>
      </c>
      <c r="M242" s="926">
        <f t="shared" si="36"/>
        <v>13</v>
      </c>
      <c r="N242" s="55" t="s">
        <v>7264</v>
      </c>
      <c r="O242" s="2036">
        <f>1+IF(Principal!$Y$24="No",1,0)</f>
        <v>1</v>
      </c>
      <c r="P242" s="2031">
        <f>COUNTIF(Principal!$C$35:$J$47,Tablas!N242)</f>
        <v>0</v>
      </c>
      <c r="Q242" s="2030">
        <f t="shared" si="38"/>
        <v>0</v>
      </c>
      <c r="R242" s="2318" t="s">
        <v>8562</v>
      </c>
      <c r="S242" s="1231"/>
      <c r="T242" s="2322" t="str">
        <f t="shared" si="39"/>
        <v/>
      </c>
    </row>
    <row r="243" spans="1:20" ht="12.75" customHeight="1" x14ac:dyDescent="0.2">
      <c r="A243" s="237">
        <v>243</v>
      </c>
      <c r="B243" s="5838"/>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8563</v>
      </c>
      <c r="S243" s="1231"/>
      <c r="T243" s="2322" t="str">
        <f t="shared" si="39"/>
        <v/>
      </c>
    </row>
    <row r="244" spans="1:20" ht="12.75" customHeight="1" x14ac:dyDescent="0.2">
      <c r="A244" s="237">
        <v>244</v>
      </c>
      <c r="B244" s="5838"/>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8564</v>
      </c>
      <c r="S244" s="1231"/>
      <c r="T244" s="2322" t="str">
        <f t="shared" si="39"/>
        <v/>
      </c>
    </row>
    <row r="245" spans="1:20" ht="12.75" customHeight="1" x14ac:dyDescent="0.2">
      <c r="A245" s="237">
        <v>245</v>
      </c>
      <c r="B245" s="5838"/>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8565</v>
      </c>
      <c r="S245" s="1231"/>
      <c r="T245" s="2322" t="str">
        <f t="shared" si="39"/>
        <v/>
      </c>
    </row>
    <row r="246" spans="1:20" ht="12.75" customHeight="1" x14ac:dyDescent="0.2">
      <c r="A246" s="237">
        <v>246</v>
      </c>
      <c r="B246" s="5838"/>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8566</v>
      </c>
      <c r="S246" s="1231"/>
      <c r="T246" s="2322" t="str">
        <f t="shared" si="39"/>
        <v/>
      </c>
    </row>
    <row r="247" spans="1:20" ht="12.75" customHeight="1" x14ac:dyDescent="0.2">
      <c r="A247" s="237">
        <v>247</v>
      </c>
      <c r="B247" s="5838"/>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8567</v>
      </c>
      <c r="S247" s="1231"/>
      <c r="T247" s="2322" t="str">
        <f t="shared" si="39"/>
        <v/>
      </c>
    </row>
    <row r="248" spans="1:20" ht="12.75" customHeight="1" x14ac:dyDescent="0.2">
      <c r="A248" s="237">
        <v>248</v>
      </c>
      <c r="B248" s="5838"/>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8568</v>
      </c>
      <c r="S248" s="1231"/>
      <c r="T248" s="2322" t="str">
        <f t="shared" si="39"/>
        <v/>
      </c>
    </row>
    <row r="249" spans="1:20" ht="12.75" customHeight="1" thickBot="1" x14ac:dyDescent="0.25">
      <c r="A249" s="237">
        <v>249</v>
      </c>
      <c r="B249" s="5838"/>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8569</v>
      </c>
      <c r="S249" s="1231"/>
      <c r="T249" s="2322" t="str">
        <f t="shared" si="39"/>
        <v/>
      </c>
    </row>
    <row r="250" spans="1:20" ht="12.75" customHeight="1" x14ac:dyDescent="0.2">
      <c r="A250" s="237">
        <v>250</v>
      </c>
      <c r="B250" s="5838"/>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8570</v>
      </c>
      <c r="S250" s="1231"/>
      <c r="T250" s="2322" t="str">
        <f t="shared" si="39"/>
        <v/>
      </c>
    </row>
    <row r="251" spans="1:20" ht="12.75" customHeight="1" x14ac:dyDescent="0.2">
      <c r="A251" s="237">
        <v>251</v>
      </c>
      <c r="B251" s="5838"/>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8571</v>
      </c>
      <c r="S251" s="1231"/>
      <c r="T251" s="2322" t="str">
        <f t="shared" si="39"/>
        <v/>
      </c>
    </row>
    <row r="252" spans="1:20" ht="12.75" customHeight="1" thickBot="1" x14ac:dyDescent="0.25">
      <c r="A252" s="237">
        <v>252</v>
      </c>
      <c r="B252" s="5838"/>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8572</v>
      </c>
      <c r="S252" s="1231"/>
      <c r="T252" s="2322" t="str">
        <f t="shared" ref="T252:T257" si="42">IF(P252=0,"",R252)</f>
        <v/>
      </c>
    </row>
    <row r="253" spans="1:20" ht="12.75" customHeight="1" x14ac:dyDescent="0.2">
      <c r="A253" s="237">
        <v>253</v>
      </c>
      <c r="B253" s="5838"/>
      <c r="C253" s="6057" t="s">
        <v>2263</v>
      </c>
      <c r="D253" s="6058"/>
      <c r="E253" s="6058"/>
      <c r="F253" s="6058"/>
      <c r="G253" s="6058"/>
      <c r="H253" s="6058"/>
      <c r="I253" s="6058"/>
      <c r="J253" s="6059"/>
      <c r="L253" s="597" t="str">
        <f t="shared" si="37"/>
        <v>Sangre de El Dragón</v>
      </c>
      <c r="M253" s="926">
        <f t="shared" si="36"/>
        <v>4</v>
      </c>
      <c r="N253" s="55" t="s">
        <v>2543</v>
      </c>
      <c r="O253" s="2036">
        <f>1+IF(Principal!$Y$24="No",1,0)</f>
        <v>1</v>
      </c>
      <c r="P253" s="2031">
        <f>COUNTIF(Principal!$C$35:$J$47,Tablas!N253)</f>
        <v>0</v>
      </c>
      <c r="Q253" s="2030">
        <f t="shared" si="41"/>
        <v>0</v>
      </c>
      <c r="R253" s="2318" t="s">
        <v>8573</v>
      </c>
      <c r="S253" s="1231"/>
      <c r="T253" s="2322" t="str">
        <f t="shared" si="42"/>
        <v/>
      </c>
    </row>
    <row r="254" spans="1:20" ht="12.75" customHeight="1" x14ac:dyDescent="0.2">
      <c r="A254" s="237">
        <v>254</v>
      </c>
      <c r="B254" s="5838"/>
      <c r="C254" s="6060"/>
      <c r="D254" s="5903"/>
      <c r="E254" s="5903"/>
      <c r="F254" s="5903"/>
      <c r="G254" s="5903"/>
      <c r="H254" s="5903"/>
      <c r="I254" s="5903"/>
      <c r="J254" s="6061"/>
      <c r="L254" s="597" t="str">
        <f t="shared" si="37"/>
        <v>Sangre de Grandes Bestias (1)</v>
      </c>
      <c r="M254" s="926">
        <f t="shared" si="36"/>
        <v>2</v>
      </c>
      <c r="N254" s="55" t="s">
        <v>2544</v>
      </c>
      <c r="O254" s="2036">
        <f>2+IF(Principal!$Y$24="No",1,0)</f>
        <v>2</v>
      </c>
      <c r="P254" s="2031">
        <f>COUNTIF(Principal!$C$35:$J$47,Tablas!N254)</f>
        <v>0</v>
      </c>
      <c r="Q254" s="2030">
        <f t="shared" si="41"/>
        <v>0</v>
      </c>
      <c r="R254" s="2318" t="s">
        <v>8574</v>
      </c>
      <c r="S254" s="1231"/>
      <c r="T254" s="2322" t="str">
        <f t="shared" si="42"/>
        <v/>
      </c>
    </row>
    <row r="255" spans="1:20" ht="12.75" customHeight="1" x14ac:dyDescent="0.2">
      <c r="A255" s="237">
        <v>255</v>
      </c>
      <c r="B255" s="5838"/>
      <c r="C255" s="5958" t="s">
        <v>6480</v>
      </c>
      <c r="D255" s="5959"/>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8575</v>
      </c>
      <c r="S255" s="1231"/>
      <c r="T255" s="2322" t="str">
        <f t="shared" si="42"/>
        <v/>
      </c>
    </row>
    <row r="256" spans="1:20" ht="12.75" customHeight="1" x14ac:dyDescent="0.2">
      <c r="A256" s="237">
        <v>256</v>
      </c>
      <c r="B256" s="5838"/>
      <c r="C256" s="2029" t="str">
        <f>"Tablas!"&amp;ADDRESS(ROW(C257),COLUMN(C257))&amp;":"&amp;ADDRESS(ROW(C257)+MAX(D256:D405),COLUMN(C257))</f>
        <v>Tablas!$C$257:$C$398</v>
      </c>
      <c r="D256" s="926">
        <v>0</v>
      </c>
      <c r="E256" s="55" t="s">
        <v>10238</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8576</v>
      </c>
      <c r="S256" s="1231"/>
      <c r="T256" s="2322" t="str">
        <f t="shared" si="42"/>
        <v/>
      </c>
    </row>
    <row r="257" spans="1:41" ht="12.75" customHeight="1" x14ac:dyDescent="0.2">
      <c r="A257" s="237">
        <v>257</v>
      </c>
      <c r="B257" s="5838"/>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8577</v>
      </c>
      <c r="S257" s="1231"/>
      <c r="T257" s="2322" t="str">
        <f t="shared" si="42"/>
        <v/>
      </c>
    </row>
    <row r="258" spans="1:41" ht="12.75" customHeight="1" x14ac:dyDescent="0.2">
      <c r="A258" s="237">
        <v>258</v>
      </c>
      <c r="B258" s="5838"/>
      <c r="C258" s="2034" t="str">
        <f>VLOOKUP(A1,$D$257:$E$405,2,0)</f>
        <v>+1 a característica: AGI</v>
      </c>
      <c r="D258" s="926">
        <f t="shared" si="43"/>
        <v>1</v>
      </c>
      <c r="E258" s="932" t="s">
        <v>10230</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8578</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838"/>
      <c r="C259" s="2034" t="str">
        <f t="shared" ref="C259:C322" si="46">VLOOKUP(A2,$D$257:$E$405,2,0)</f>
        <v>+1 a característica: CON</v>
      </c>
      <c r="D259" s="926">
        <f>COUNTIF($E$257:$E$400,"&lt;="&amp;E259)-COUNTIF($E$257:$E$400,"*&gt;*")</f>
        <v>2</v>
      </c>
      <c r="E259" s="932" t="s">
        <v>10231</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8579</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838"/>
      <c r="C260" s="2034" t="str">
        <f t="shared" si="46"/>
        <v>+1 a característica: DES</v>
      </c>
      <c r="D260" s="926">
        <f t="shared" si="43"/>
        <v>3</v>
      </c>
      <c r="E260" s="932" t="s">
        <v>10232</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8580</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838"/>
      <c r="C261" s="2034" t="str">
        <f t="shared" si="46"/>
        <v>+1 a característica: FUE</v>
      </c>
      <c r="D261" s="926">
        <f t="shared" si="43"/>
        <v>4</v>
      </c>
      <c r="E261" s="932" t="s">
        <v>10233</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8581</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838"/>
      <c r="C262" s="2034" t="str">
        <f t="shared" si="46"/>
        <v>+1 a característica: INT</v>
      </c>
      <c r="D262" s="926">
        <f t="shared" si="43"/>
        <v>5</v>
      </c>
      <c r="E262" s="932" t="s">
        <v>10234</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9795</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838"/>
      <c r="C263" s="2034" t="str">
        <f t="shared" si="46"/>
        <v>+1 a característica: PER</v>
      </c>
      <c r="D263" s="926">
        <f t="shared" si="43"/>
        <v>6</v>
      </c>
      <c r="E263" s="932" t="s">
        <v>10235</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838"/>
      <c r="C264" s="2034" t="str">
        <f t="shared" si="46"/>
        <v>+1 a característica: POD</v>
      </c>
      <c r="D264" s="926">
        <f t="shared" si="43"/>
        <v>7</v>
      </c>
      <c r="E264" s="932" t="s">
        <v>10236</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838"/>
      <c r="C265" s="2034" t="str">
        <f t="shared" si="46"/>
        <v>+1 a característica: VOL</v>
      </c>
      <c r="D265" s="926">
        <f t="shared" si="43"/>
        <v>8</v>
      </c>
      <c r="E265" s="932" t="s">
        <v>10237</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838"/>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843">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838"/>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844"/>
    </row>
    <row r="268" spans="1:41" ht="12.75" customHeight="1" x14ac:dyDescent="0.2">
      <c r="A268" s="237">
        <v>268</v>
      </c>
      <c r="B268" s="5838"/>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838"/>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838"/>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838"/>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838"/>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838"/>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838"/>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838"/>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838"/>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838"/>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899" t="s">
        <v>2492</v>
      </c>
      <c r="M277" s="5900"/>
      <c r="N277" s="5900"/>
      <c r="O277" s="5900"/>
      <c r="P277" s="5900"/>
      <c r="Q277" s="5900"/>
      <c r="R277" s="5900"/>
      <c r="S277" s="5900"/>
      <c r="T277" s="5900"/>
      <c r="U277" s="5900"/>
      <c r="V277" s="5900"/>
      <c r="W277" s="5900"/>
      <c r="X277" s="5900"/>
      <c r="Y277" s="5900"/>
      <c r="Z277" s="5901"/>
    </row>
    <row r="278" spans="1:26" ht="12.75" customHeight="1" x14ac:dyDescent="0.2">
      <c r="A278" s="237">
        <v>278</v>
      </c>
      <c r="B278" s="5838"/>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902"/>
      <c r="M278" s="5903"/>
      <c r="N278" s="5903"/>
      <c r="O278" s="5903"/>
      <c r="P278" s="5903"/>
      <c r="Q278" s="5903"/>
      <c r="R278" s="5903"/>
      <c r="S278" s="5903"/>
      <c r="T278" s="5903"/>
      <c r="U278" s="5903"/>
      <c r="V278" s="5903"/>
      <c r="W278" s="5903"/>
      <c r="X278" s="5903"/>
      <c r="Y278" s="5903"/>
      <c r="Z278" s="5904"/>
    </row>
    <row r="279" spans="1:26" ht="12.75" customHeight="1" x14ac:dyDescent="0.2">
      <c r="A279" s="237">
        <v>279</v>
      </c>
      <c r="B279" s="5838"/>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29" t="s">
        <v>1534</v>
      </c>
      <c r="O279" s="5929"/>
      <c r="P279" s="5905" t="s">
        <v>1536</v>
      </c>
      <c r="Q279" s="5905"/>
      <c r="R279" s="5905" t="s">
        <v>1538</v>
      </c>
      <c r="S279" s="5905"/>
      <c r="T279" s="5905" t="s">
        <v>1535</v>
      </c>
      <c r="U279" s="5905"/>
      <c r="V279" s="5905" t="s">
        <v>1537</v>
      </c>
      <c r="W279" s="5905"/>
      <c r="X279" s="5845" t="s">
        <v>1539</v>
      </c>
      <c r="Y279" s="5846"/>
      <c r="Z279" s="6065" t="s">
        <v>7268</v>
      </c>
    </row>
    <row r="280" spans="1:26" ht="12.75" customHeight="1" thickBot="1" x14ac:dyDescent="0.25">
      <c r="A280" s="237">
        <v>280</v>
      </c>
      <c r="B280" s="5838"/>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6066"/>
    </row>
    <row r="281" spans="1:26" ht="12.75" customHeight="1" x14ac:dyDescent="0.2">
      <c r="A281" s="237">
        <v>281</v>
      </c>
      <c r="B281" s="5838"/>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838"/>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838"/>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838"/>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838"/>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838"/>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838"/>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6372</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838"/>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838"/>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838"/>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838"/>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838"/>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838"/>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838"/>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838"/>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7267</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838"/>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7267</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838"/>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7267</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838"/>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838"/>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838"/>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838"/>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838"/>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838"/>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838"/>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838"/>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838"/>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838"/>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838"/>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838"/>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838"/>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838"/>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838"/>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838"/>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838"/>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838"/>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838"/>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838"/>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838"/>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838"/>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8669</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838"/>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838"/>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838"/>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838"/>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838"/>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838"/>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838"/>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838"/>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838"/>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6373</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838"/>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6374</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838"/>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6375</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838"/>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6376</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838"/>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838"/>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838"/>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838"/>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838"/>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838"/>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838"/>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838"/>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838"/>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838"/>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838"/>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838"/>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838"/>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838"/>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838"/>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838"/>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838"/>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838"/>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838"/>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838"/>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838"/>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838"/>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838"/>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838"/>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838"/>
      <c r="C356" s="2034" t="str">
        <f t="shared" si="51"/>
        <v>Regeneración básica</v>
      </c>
      <c r="D356" s="926">
        <f t="shared" si="53"/>
        <v>-4</v>
      </c>
      <c r="E356" s="55" t="s">
        <v>10239</v>
      </c>
      <c r="F356" s="2030"/>
      <c r="G356" s="2030"/>
      <c r="H356" s="2031"/>
      <c r="I356" s="931"/>
      <c r="J356" s="2035" t="s">
        <v>2843</v>
      </c>
      <c r="N356"/>
    </row>
    <row r="357" spans="1:15" ht="12.75" customHeight="1" x14ac:dyDescent="0.2">
      <c r="A357" s="237">
        <v>357</v>
      </c>
      <c r="B357" s="5838"/>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838"/>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838"/>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838"/>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838"/>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838"/>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838"/>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838"/>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838"/>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838"/>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838"/>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838"/>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838"/>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838"/>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838"/>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838"/>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838"/>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838"/>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838"/>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838"/>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838"/>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838"/>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838"/>
      <c r="C379" s="2037" t="str">
        <f t="shared" si="51"/>
        <v>Tamaño no natural +4</v>
      </c>
      <c r="D379" s="926">
        <f t="shared" si="56"/>
        <v>-6</v>
      </c>
      <c r="E379" s="55" t="s">
        <v>10240</v>
      </c>
      <c r="F379" s="2030"/>
      <c r="G379" s="2030"/>
      <c r="H379" s="2031"/>
      <c r="I379" s="931"/>
      <c r="J379" s="2035" t="s">
        <v>2843</v>
      </c>
      <c r="N379"/>
    </row>
    <row r="380" spans="1:14" ht="12.75" customHeight="1" x14ac:dyDescent="0.2">
      <c r="A380" s="237">
        <v>380</v>
      </c>
      <c r="B380" s="5838"/>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838"/>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838"/>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838"/>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838"/>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838"/>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838"/>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838"/>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838"/>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838"/>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838"/>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838"/>
      <c r="C391" s="2037" t="str">
        <f t="shared" si="58"/>
        <v>Ver lo sobrenatural</v>
      </c>
      <c r="D391" s="926">
        <f t="shared" si="56"/>
        <v>-7</v>
      </c>
      <c r="E391" s="55" t="s">
        <v>10241</v>
      </c>
      <c r="F391" s="2030"/>
      <c r="G391" s="2030"/>
      <c r="H391" s="2031"/>
      <c r="I391" s="931"/>
      <c r="J391" s="2035" t="s">
        <v>2843</v>
      </c>
      <c r="N391"/>
    </row>
    <row r="392" spans="1:14" ht="12.75" customHeight="1" x14ac:dyDescent="0.2">
      <c r="A392" s="237">
        <v>392</v>
      </c>
      <c r="B392" s="5838"/>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838"/>
      <c r="C393" s="2037" t="str">
        <f t="shared" si="58"/>
        <v>Visión nocturna</v>
      </c>
      <c r="D393" s="926">
        <f t="shared" si="56"/>
        <v>70</v>
      </c>
      <c r="E393" s="55" t="s">
        <v>6338</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838"/>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838"/>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838"/>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838"/>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838"/>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838"/>
      <c r="C399" s="2037" t="e">
        <f t="shared" si="58"/>
        <v>#N/A</v>
      </c>
      <c r="D399" s="926">
        <f t="shared" si="60"/>
        <v>-5</v>
      </c>
      <c r="E399" s="55" t="s">
        <v>10242</v>
      </c>
      <c r="F399" s="2030"/>
      <c r="G399" s="2030"/>
      <c r="H399" s="2031"/>
      <c r="I399" s="931"/>
      <c r="J399" s="2035" t="s">
        <v>2843</v>
      </c>
      <c r="N399"/>
    </row>
    <row r="400" spans="1:14" ht="12.75" customHeight="1" x14ac:dyDescent="0.2">
      <c r="A400" s="237">
        <v>400</v>
      </c>
      <c r="B400" s="5838"/>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838"/>
      <c r="C401" s="2037" t="e">
        <f t="shared" si="58"/>
        <v>#N/A</v>
      </c>
      <c r="D401" s="926">
        <f>MAX(D256:D400)+1</f>
        <v>137</v>
      </c>
      <c r="E401" s="55" t="s">
        <v>10243</v>
      </c>
      <c r="F401" s="2030"/>
      <c r="G401" s="2030"/>
      <c r="H401" s="2031"/>
      <c r="I401" s="931"/>
      <c r="J401" s="2035" t="s">
        <v>2843</v>
      </c>
      <c r="K401" s="2554"/>
      <c r="N401"/>
    </row>
    <row r="402" spans="1:14" ht="12.75" customHeight="1" x14ac:dyDescent="0.2">
      <c r="A402" s="237">
        <v>402</v>
      </c>
      <c r="B402" s="5838"/>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838"/>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838"/>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838"/>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838"/>
      <c r="C406" s="2039"/>
      <c r="D406" s="927"/>
      <c r="E406" s="2040" t="s">
        <v>10244</v>
      </c>
      <c r="F406" s="785"/>
      <c r="G406" s="785"/>
      <c r="H406" s="930"/>
      <c r="I406" s="2032"/>
      <c r="J406" s="2033" t="s">
        <v>2280</v>
      </c>
      <c r="N406"/>
    </row>
    <row r="407" spans="1:14" ht="12.75" customHeight="1" x14ac:dyDescent="0.2">
      <c r="A407" s="237">
        <v>407</v>
      </c>
      <c r="B407" s="5838"/>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838"/>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838"/>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838"/>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838"/>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838"/>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838"/>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838"/>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838"/>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838"/>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838"/>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838"/>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838"/>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838"/>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838"/>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838"/>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838"/>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838"/>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838"/>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838"/>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838"/>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838"/>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838"/>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838"/>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838"/>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838"/>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838"/>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838"/>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838"/>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838"/>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838"/>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838"/>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838"/>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838"/>
      <c r="C440" s="2037" t="str">
        <f t="shared" si="63"/>
        <v>Magia innata mejorada (3)</v>
      </c>
      <c r="D440" s="926">
        <f t="shared" si="61"/>
        <v>0</v>
      </c>
      <c r="E440" s="55" t="s">
        <v>10245</v>
      </c>
      <c r="F440" s="2030"/>
      <c r="G440" s="2030"/>
      <c r="H440" s="2031"/>
      <c r="I440" s="931"/>
      <c r="J440" s="2035" t="s">
        <v>2280</v>
      </c>
      <c r="N440"/>
    </row>
    <row r="441" spans="1:14" ht="12.75" customHeight="1" x14ac:dyDescent="0.2">
      <c r="A441" s="237">
        <v>441</v>
      </c>
      <c r="B441" s="5838"/>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838"/>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838"/>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838"/>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838"/>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838"/>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838"/>
      <c r="C447" s="2037" t="str">
        <f t="shared" si="63"/>
        <v>Rec. superior de magia (1)</v>
      </c>
      <c r="D447" s="926">
        <f t="shared" si="61"/>
        <v>-1</v>
      </c>
      <c r="E447" s="55" t="s">
        <v>10246</v>
      </c>
      <c r="F447" s="2030"/>
      <c r="G447" s="2030"/>
      <c r="H447" s="2031"/>
      <c r="I447" s="931"/>
      <c r="J447" s="2035" t="s">
        <v>2280</v>
      </c>
      <c r="N447"/>
    </row>
    <row r="448" spans="1:14" ht="12.75" customHeight="1" x14ac:dyDescent="0.2">
      <c r="A448" s="237">
        <v>448</v>
      </c>
      <c r="B448" s="5838"/>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838"/>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838"/>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838"/>
      <c r="C451" s="2039" t="str">
        <f>E451</f>
        <v xml:space="preserve"> &gt; VENTAJAS: PSIQUICOS</v>
      </c>
      <c r="D451" s="926">
        <f t="shared" ref="D451:D475" si="65">COUNTIF($E$452:$E$475,"&lt;="&amp;E451)-COUNTIF($E$452:$E$475,"*&gt;*")</f>
        <v>0</v>
      </c>
      <c r="E451" s="55" t="s">
        <v>10247</v>
      </c>
      <c r="F451" s="2030"/>
      <c r="G451" s="2030"/>
      <c r="H451" s="2031"/>
      <c r="I451" s="931"/>
      <c r="J451" s="2035" t="s">
        <v>6680</v>
      </c>
      <c r="N451"/>
    </row>
    <row r="452" spans="1:14" ht="12.75" customHeight="1" x14ac:dyDescent="0.2">
      <c r="A452" s="237">
        <v>452</v>
      </c>
      <c r="B452" s="5838"/>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6680</v>
      </c>
      <c r="N452"/>
    </row>
    <row r="453" spans="1:14" ht="12.75" customHeight="1" x14ac:dyDescent="0.2">
      <c r="A453" s="237">
        <v>453</v>
      </c>
      <c r="B453" s="5838"/>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6680</v>
      </c>
      <c r="N453"/>
    </row>
    <row r="454" spans="1:14" ht="12.75" customHeight="1" x14ac:dyDescent="0.2">
      <c r="A454" s="237">
        <v>454</v>
      </c>
      <c r="B454" s="5838"/>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6680</v>
      </c>
      <c r="N454"/>
    </row>
    <row r="455" spans="1:14" ht="12.75" customHeight="1" x14ac:dyDescent="0.2">
      <c r="A455" s="237">
        <v>455</v>
      </c>
      <c r="B455" s="5838"/>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6680</v>
      </c>
      <c r="N455"/>
    </row>
    <row r="456" spans="1:14" ht="12.75" customHeight="1" x14ac:dyDescent="0.2">
      <c r="A456" s="237">
        <v>456</v>
      </c>
      <c r="B456" s="5838"/>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6680</v>
      </c>
      <c r="N456"/>
    </row>
    <row r="457" spans="1:14" ht="12.75" customHeight="1" x14ac:dyDescent="0.2">
      <c r="A457" s="237">
        <v>457</v>
      </c>
      <c r="B457" s="5838"/>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6680</v>
      </c>
      <c r="N457"/>
    </row>
    <row r="458" spans="1:14" ht="12.75" customHeight="1" x14ac:dyDescent="0.2">
      <c r="A458" s="237">
        <v>458</v>
      </c>
      <c r="B458" s="5838"/>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6680</v>
      </c>
      <c r="N458"/>
    </row>
    <row r="459" spans="1:14" ht="12.75" customHeight="1" x14ac:dyDescent="0.2">
      <c r="A459" s="237">
        <v>459</v>
      </c>
      <c r="B459" s="5838"/>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6680</v>
      </c>
      <c r="N459"/>
    </row>
    <row r="460" spans="1:14" ht="12.75" customHeight="1" x14ac:dyDescent="0.2">
      <c r="A460" s="237">
        <v>460</v>
      </c>
      <c r="B460" s="5838"/>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6680</v>
      </c>
      <c r="N460"/>
    </row>
    <row r="461" spans="1:14" ht="12.75" customHeight="1" x14ac:dyDescent="0.2">
      <c r="A461" s="237">
        <v>461</v>
      </c>
      <c r="B461" s="5838"/>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6680</v>
      </c>
      <c r="N461"/>
    </row>
    <row r="462" spans="1:14" ht="12.75" customHeight="1" x14ac:dyDescent="0.2">
      <c r="A462" s="237">
        <v>462</v>
      </c>
      <c r="B462" s="5838"/>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6680</v>
      </c>
      <c r="N462"/>
    </row>
    <row r="463" spans="1:14" ht="12.75" customHeight="1" x14ac:dyDescent="0.2">
      <c r="A463" s="237">
        <v>463</v>
      </c>
      <c r="B463" s="5838"/>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6680</v>
      </c>
      <c r="N463"/>
    </row>
    <row r="464" spans="1:14" ht="12.75" customHeight="1" x14ac:dyDescent="0.2">
      <c r="A464" s="237">
        <v>464</v>
      </c>
      <c r="B464" s="5838"/>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6680</v>
      </c>
      <c r="N464"/>
    </row>
    <row r="465" spans="1:14" ht="12.75" customHeight="1" x14ac:dyDescent="0.2">
      <c r="A465" s="237">
        <v>465</v>
      </c>
      <c r="B465" s="5838"/>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6680</v>
      </c>
      <c r="N465"/>
    </row>
    <row r="466" spans="1:14" ht="12.75" customHeight="1" x14ac:dyDescent="0.2">
      <c r="A466" s="237">
        <v>466</v>
      </c>
      <c r="B466" s="5838"/>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6680</v>
      </c>
      <c r="N466"/>
    </row>
    <row r="467" spans="1:14" ht="12.75" customHeight="1" x14ac:dyDescent="0.2">
      <c r="A467" s="237">
        <v>467</v>
      </c>
      <c r="B467" s="5838"/>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6680</v>
      </c>
      <c r="N467"/>
    </row>
    <row r="468" spans="1:14" ht="12.75" customHeight="1" x14ac:dyDescent="0.2">
      <c r="A468" s="237">
        <v>468</v>
      </c>
      <c r="B468" s="5838"/>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6680</v>
      </c>
      <c r="N468"/>
    </row>
    <row r="469" spans="1:14" ht="12.75" customHeight="1" x14ac:dyDescent="0.2">
      <c r="A469" s="237">
        <v>469</v>
      </c>
      <c r="B469" s="5838"/>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6680</v>
      </c>
      <c r="N469"/>
    </row>
    <row r="470" spans="1:14" ht="12.75" customHeight="1" x14ac:dyDescent="0.2">
      <c r="A470" s="237">
        <v>470</v>
      </c>
      <c r="B470" s="5838"/>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6680</v>
      </c>
      <c r="N470"/>
    </row>
    <row r="471" spans="1:14" ht="12.75" customHeight="1" x14ac:dyDescent="0.2">
      <c r="A471" s="237">
        <v>471</v>
      </c>
      <c r="B471" s="5838"/>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6680</v>
      </c>
      <c r="N471"/>
    </row>
    <row r="472" spans="1:14" ht="12.75" customHeight="1" x14ac:dyDescent="0.2">
      <c r="A472" s="237">
        <v>472</v>
      </c>
      <c r="B472" s="5838"/>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6680</v>
      </c>
      <c r="N472"/>
    </row>
    <row r="473" spans="1:14" ht="12.75" customHeight="1" x14ac:dyDescent="0.2">
      <c r="A473" s="237">
        <v>473</v>
      </c>
      <c r="B473" s="5838"/>
      <c r="C473" s="2039" t="str">
        <f t="shared" si="66"/>
        <v>Recuperación de CVs (3)</v>
      </c>
      <c r="D473" s="926">
        <f t="shared" si="65"/>
        <v>0</v>
      </c>
      <c r="E473" s="55" t="s">
        <v>10248</v>
      </c>
      <c r="F473" s="2030"/>
      <c r="G473" s="2030"/>
      <c r="H473" s="2031"/>
      <c r="I473" s="931"/>
      <c r="J473" s="2035" t="s">
        <v>6680</v>
      </c>
      <c r="N473"/>
    </row>
    <row r="474" spans="1:14" ht="12.75" customHeight="1" x14ac:dyDescent="0.2">
      <c r="A474" s="237">
        <v>474</v>
      </c>
      <c r="B474" s="5838"/>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6680</v>
      </c>
      <c r="N474"/>
    </row>
    <row r="475" spans="1:14" ht="12.75" customHeight="1" x14ac:dyDescent="0.2">
      <c r="A475" s="237">
        <v>475</v>
      </c>
      <c r="B475" s="5838"/>
      <c r="C475" s="2046"/>
      <c r="D475" s="2041">
        <f t="shared" si="65"/>
        <v>19</v>
      </c>
      <c r="E475" s="2042" t="s">
        <v>2464</v>
      </c>
      <c r="F475" s="928">
        <v>1</v>
      </c>
      <c r="G475" s="928">
        <f>COUNTIF(Principal!$C$35:$J$47,Tablas!E475)+COUNTIF(Principal!$C$48:$F$49,Tablas!E475)</f>
        <v>0</v>
      </c>
      <c r="H475" s="2043">
        <f>G475*F475</f>
        <v>0</v>
      </c>
      <c r="I475" s="2044"/>
      <c r="J475" s="2045" t="s">
        <v>6680</v>
      </c>
      <c r="N475"/>
    </row>
    <row r="476" spans="1:14" ht="12.75" customHeight="1" x14ac:dyDescent="0.2">
      <c r="A476" s="237">
        <v>476</v>
      </c>
      <c r="B476" s="5838"/>
      <c r="C476" s="2039" t="str">
        <f t="shared" ref="C476:C498" si="68">VLOOKUP(A1,$D$476:$E$498,2,0)</f>
        <v xml:space="preserve"> &gt; VENTAJAS TRASFONDO</v>
      </c>
      <c r="D476" s="926">
        <f t="shared" ref="D476:D498" si="69">COUNTIF($E$476:$E$498,"&lt;="&amp;E476)</f>
        <v>1</v>
      </c>
      <c r="E476" s="55" t="s">
        <v>10249</v>
      </c>
      <c r="F476" s="2047"/>
      <c r="G476" s="2030"/>
      <c r="H476" s="94"/>
      <c r="I476" s="929"/>
      <c r="J476" s="2035" t="s">
        <v>6681</v>
      </c>
      <c r="N476"/>
    </row>
    <row r="477" spans="1:14" ht="12.75" customHeight="1" x14ac:dyDescent="0.2">
      <c r="A477" s="237">
        <v>477</v>
      </c>
      <c r="B477" s="5838"/>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6681</v>
      </c>
      <c r="N477"/>
    </row>
    <row r="478" spans="1:14" ht="12.75" customHeight="1" x14ac:dyDescent="0.2">
      <c r="A478" s="237">
        <v>478</v>
      </c>
      <c r="B478" s="5838"/>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6681</v>
      </c>
      <c r="N478"/>
    </row>
    <row r="479" spans="1:14" ht="12.75" customHeight="1" x14ac:dyDescent="0.2">
      <c r="A479" s="237">
        <v>479</v>
      </c>
      <c r="B479" s="5838"/>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6681</v>
      </c>
      <c r="N479"/>
    </row>
    <row r="480" spans="1:14" ht="12.75" customHeight="1" x14ac:dyDescent="0.2">
      <c r="A480" s="237">
        <v>480</v>
      </c>
      <c r="B480" s="5838"/>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6681</v>
      </c>
      <c r="N480"/>
    </row>
    <row r="481" spans="1:14" ht="12.75" customHeight="1" x14ac:dyDescent="0.2">
      <c r="A481" s="237">
        <v>481</v>
      </c>
      <c r="B481" s="5838"/>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6681</v>
      </c>
      <c r="N481"/>
    </row>
    <row r="482" spans="1:14" ht="12.75" customHeight="1" x14ac:dyDescent="0.2">
      <c r="A482" s="237">
        <v>482</v>
      </c>
      <c r="B482" s="5838"/>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6681</v>
      </c>
      <c r="N482"/>
    </row>
    <row r="483" spans="1:14" ht="12.75" customHeight="1" x14ac:dyDescent="0.2">
      <c r="A483" s="237">
        <v>483</v>
      </c>
      <c r="B483" s="5838"/>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6681</v>
      </c>
      <c r="N483"/>
    </row>
    <row r="484" spans="1:14" ht="12.75" customHeight="1" x14ac:dyDescent="0.2">
      <c r="A484" s="237">
        <v>484</v>
      </c>
      <c r="B484" s="5838"/>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6681</v>
      </c>
      <c r="N484"/>
    </row>
    <row r="485" spans="1:14" ht="12.75" customHeight="1" x14ac:dyDescent="0.2">
      <c r="A485" s="237">
        <v>485</v>
      </c>
      <c r="B485" s="5838"/>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6681</v>
      </c>
      <c r="N485"/>
    </row>
    <row r="486" spans="1:14" ht="12.75" customHeight="1" x14ac:dyDescent="0.2">
      <c r="A486" s="237">
        <v>486</v>
      </c>
      <c r="B486" s="5838"/>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6681</v>
      </c>
      <c r="N486"/>
    </row>
    <row r="487" spans="1:14" ht="12.75" customHeight="1" x14ac:dyDescent="0.2">
      <c r="A487" s="237">
        <v>487</v>
      </c>
      <c r="B487" s="5838"/>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6681</v>
      </c>
      <c r="N487"/>
    </row>
    <row r="488" spans="1:14" ht="12.75" customHeight="1" x14ac:dyDescent="0.2">
      <c r="A488" s="237">
        <v>488</v>
      </c>
      <c r="B488" s="5838"/>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6681</v>
      </c>
      <c r="N488"/>
    </row>
    <row r="489" spans="1:14" ht="12.75" customHeight="1" x14ac:dyDescent="0.2">
      <c r="A489" s="237">
        <v>489</v>
      </c>
      <c r="B489" s="5838"/>
      <c r="C489" s="2039" t="str">
        <f t="shared" si="68"/>
        <v>Fama (1)</v>
      </c>
      <c r="D489" s="926">
        <f t="shared" si="69"/>
        <v>23</v>
      </c>
      <c r="E489" s="55" t="s">
        <v>2505</v>
      </c>
      <c r="F489" s="2030">
        <v>2</v>
      </c>
      <c r="G489" s="2030">
        <f>COUNTIF(Principal!$C$35:$J$47,Tablas!E489)+COUNTIF(Principal!$C$48:$F$49,Tablas!E489)</f>
        <v>0</v>
      </c>
      <c r="H489" s="94">
        <f t="shared" si="70"/>
        <v>0</v>
      </c>
      <c r="I489" s="929"/>
      <c r="J489" s="2035" t="s">
        <v>6681</v>
      </c>
      <c r="N489"/>
    </row>
    <row r="490" spans="1:14" ht="12.75" customHeight="1" x14ac:dyDescent="0.2">
      <c r="A490" s="237">
        <v>490</v>
      </c>
      <c r="B490" s="5838"/>
      <c r="C490" s="2039" t="str">
        <f t="shared" si="68"/>
        <v>Fama (2)</v>
      </c>
      <c r="D490" s="926">
        <f t="shared" si="69"/>
        <v>19</v>
      </c>
      <c r="E490" s="55" t="s">
        <v>2506</v>
      </c>
      <c r="F490" s="2030">
        <v>1</v>
      </c>
      <c r="G490" s="2030">
        <f>COUNTIF(Principal!$C$35:$J$47,Tablas!E490)+COUNTIF(Principal!$C$48:$F$49,Tablas!E490)</f>
        <v>0</v>
      </c>
      <c r="H490" s="94">
        <f t="shared" si="70"/>
        <v>0</v>
      </c>
      <c r="I490" s="929"/>
      <c r="J490" s="2035" t="s">
        <v>6681</v>
      </c>
      <c r="N490"/>
    </row>
    <row r="491" spans="1:14" ht="12.75" customHeight="1" x14ac:dyDescent="0.2">
      <c r="A491" s="237">
        <v>491</v>
      </c>
      <c r="B491" s="5838"/>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6681</v>
      </c>
      <c r="N491"/>
    </row>
    <row r="492" spans="1:14" ht="12.75" customHeight="1" x14ac:dyDescent="0.2">
      <c r="A492" s="237">
        <v>492</v>
      </c>
      <c r="B492" s="5838"/>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6681</v>
      </c>
      <c r="N492"/>
    </row>
    <row r="493" spans="1:14" ht="12.75" customHeight="1" x14ac:dyDescent="0.2">
      <c r="A493" s="237">
        <v>493</v>
      </c>
      <c r="B493" s="5838"/>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6681</v>
      </c>
      <c r="N493"/>
    </row>
    <row r="494" spans="1:14" ht="12.75" customHeight="1" x14ac:dyDescent="0.2">
      <c r="A494" s="237">
        <v>494</v>
      </c>
      <c r="B494" s="5838"/>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6681</v>
      </c>
      <c r="N494"/>
    </row>
    <row r="495" spans="1:14" ht="12.75" customHeight="1" x14ac:dyDescent="0.2">
      <c r="A495" s="237">
        <v>495</v>
      </c>
      <c r="B495" s="5838"/>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6681</v>
      </c>
      <c r="N495"/>
    </row>
    <row r="496" spans="1:14" ht="12.75" customHeight="1" x14ac:dyDescent="0.2">
      <c r="A496" s="237">
        <v>496</v>
      </c>
      <c r="B496" s="5838"/>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6681</v>
      </c>
      <c r="N496"/>
    </row>
    <row r="497" spans="1:14" ht="12.75" customHeight="1" x14ac:dyDescent="0.2">
      <c r="A497" s="237">
        <v>497</v>
      </c>
      <c r="B497" s="5838"/>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6681</v>
      </c>
      <c r="N497"/>
    </row>
    <row r="498" spans="1:14" ht="12.75" customHeight="1" x14ac:dyDescent="0.2">
      <c r="A498" s="237">
        <v>498</v>
      </c>
      <c r="B498" s="5838"/>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6681</v>
      </c>
      <c r="N498"/>
    </row>
    <row r="499" spans="1:14" ht="12.75" customHeight="1" x14ac:dyDescent="0.2">
      <c r="A499" s="237">
        <v>499</v>
      </c>
      <c r="B499" s="5838"/>
      <c r="C499" s="2072" t="str">
        <f>"Tablas!"&amp;ADDRESS(ROW(C500),COLUMN(C500))&amp;":"&amp;ADDRESS(ROW(C500)+MAX(D499:D570),COLUMN(C500))</f>
        <v>Tablas!$C$500:$C$556</v>
      </c>
      <c r="D499" s="926">
        <f>COUNTIF($E$499:$E$543,"&lt;="&amp;E499)-COUNTIF($E$499:$E$543,"*&gt;*")</f>
        <v>0</v>
      </c>
      <c r="E499" s="55" t="s">
        <v>10250</v>
      </c>
      <c r="F499" s="2030"/>
      <c r="G499" s="2030"/>
      <c r="H499" s="2031"/>
      <c r="I499" s="929"/>
      <c r="J499" s="2035" t="s">
        <v>2843</v>
      </c>
      <c r="N499"/>
    </row>
    <row r="500" spans="1:14" ht="12.75" customHeight="1" x14ac:dyDescent="0.2">
      <c r="A500" s="237">
        <v>500</v>
      </c>
      <c r="B500" s="5838"/>
      <c r="C500" s="2039" t="str">
        <f>E499</f>
        <v xml:space="preserve"> &gt; DESVENTAJAS COMUNES</v>
      </c>
      <c r="D500" s="926">
        <f t="shared" ref="D500:D543" si="71">COUNTIF($E$499:$E$543,"&lt;="&amp;E500)-COUNTIF($E$499:$E$543,"*&gt;*")</f>
        <v>1</v>
      </c>
      <c r="E500" s="932" t="s">
        <v>7357</v>
      </c>
      <c r="F500" s="2030">
        <v>-1</v>
      </c>
      <c r="G500" s="2030">
        <f>COUNTIF(Principal!$C$51:$F$53,Tablas!E500)</f>
        <v>0</v>
      </c>
      <c r="H500" s="2031">
        <f t="shared" ref="H500:H534" si="72">G500*F500</f>
        <v>0</v>
      </c>
      <c r="I500" s="931">
        <v>1</v>
      </c>
      <c r="J500" s="2035" t="s">
        <v>2843</v>
      </c>
      <c r="N500"/>
    </row>
    <row r="501" spans="1:14" ht="12.75" customHeight="1" x14ac:dyDescent="0.2">
      <c r="A501" s="237">
        <v>501</v>
      </c>
      <c r="B501" s="5838"/>
      <c r="C501" s="2039" t="str">
        <f t="shared" ref="C501:C532" si="73">VLOOKUP(A1,$D$499:$E$570,2,0)</f>
        <v>-2 a característica: AGI</v>
      </c>
      <c r="D501" s="926">
        <f t="shared" si="71"/>
        <v>2</v>
      </c>
      <c r="E501" s="932" t="s">
        <v>7358</v>
      </c>
      <c r="F501" s="2030">
        <v>-1</v>
      </c>
      <c r="G501" s="2030">
        <f>COUNTIF(Principal!$C$51:$F$53,Tablas!E501)</f>
        <v>0</v>
      </c>
      <c r="H501" s="2031">
        <f t="shared" si="72"/>
        <v>0</v>
      </c>
      <c r="I501" s="931">
        <v>1</v>
      </c>
      <c r="J501" s="2035" t="s">
        <v>2843</v>
      </c>
      <c r="N501"/>
    </row>
    <row r="502" spans="1:14" ht="12.75" customHeight="1" x14ac:dyDescent="0.2">
      <c r="A502" s="237">
        <v>502</v>
      </c>
      <c r="B502" s="5838"/>
      <c r="C502" s="2039" t="str">
        <f t="shared" si="73"/>
        <v>-2 a característica: CON</v>
      </c>
      <c r="D502" s="926">
        <f t="shared" si="71"/>
        <v>3</v>
      </c>
      <c r="E502" s="932" t="s">
        <v>7359</v>
      </c>
      <c r="F502" s="2030">
        <v>-1</v>
      </c>
      <c r="G502" s="2030">
        <f>COUNTIF(Principal!$C$51:$F$53,Tablas!E502)</f>
        <v>0</v>
      </c>
      <c r="H502" s="2031">
        <f t="shared" si="72"/>
        <v>0</v>
      </c>
      <c r="I502" s="931">
        <v>1</v>
      </c>
      <c r="J502" s="2035" t="s">
        <v>2843</v>
      </c>
      <c r="N502"/>
    </row>
    <row r="503" spans="1:14" ht="12.75" customHeight="1" x14ac:dyDescent="0.2">
      <c r="A503" s="237">
        <v>503</v>
      </c>
      <c r="B503" s="5838"/>
      <c r="C503" s="2039" t="str">
        <f t="shared" si="73"/>
        <v>-2 a característica: DES</v>
      </c>
      <c r="D503" s="926">
        <f t="shared" si="71"/>
        <v>4</v>
      </c>
      <c r="E503" s="932" t="s">
        <v>7360</v>
      </c>
      <c r="F503" s="2030">
        <v>-1</v>
      </c>
      <c r="G503" s="2030">
        <f>COUNTIF(Principal!$C$51:$F$53,Tablas!E503)</f>
        <v>0</v>
      </c>
      <c r="H503" s="2031">
        <f t="shared" si="72"/>
        <v>0</v>
      </c>
      <c r="I503" s="931">
        <v>1</v>
      </c>
      <c r="J503" s="2035" t="s">
        <v>2843</v>
      </c>
      <c r="N503"/>
    </row>
    <row r="504" spans="1:14" ht="12.75" customHeight="1" x14ac:dyDescent="0.2">
      <c r="A504" s="237">
        <v>504</v>
      </c>
      <c r="B504" s="5838"/>
      <c r="C504" s="2039" t="str">
        <f t="shared" si="73"/>
        <v>-2 a característica: FUE</v>
      </c>
      <c r="D504" s="926">
        <f t="shared" si="71"/>
        <v>5</v>
      </c>
      <c r="E504" s="932" t="s">
        <v>7361</v>
      </c>
      <c r="F504" s="2030">
        <v>-1</v>
      </c>
      <c r="G504" s="2030">
        <f>COUNTIF(Principal!$C$51:$F$53,Tablas!E504)</f>
        <v>0</v>
      </c>
      <c r="H504" s="2031">
        <f t="shared" si="72"/>
        <v>0</v>
      </c>
      <c r="I504" s="931">
        <v>1</v>
      </c>
      <c r="J504" s="2035" t="s">
        <v>2843</v>
      </c>
      <c r="N504"/>
    </row>
    <row r="505" spans="1:14" ht="12.75" customHeight="1" x14ac:dyDescent="0.2">
      <c r="A505" s="237">
        <v>505</v>
      </c>
      <c r="B505" s="5838"/>
      <c r="C505" s="2039" t="str">
        <f t="shared" si="73"/>
        <v>-2 a característica: INT</v>
      </c>
      <c r="D505" s="926">
        <f t="shared" si="71"/>
        <v>6</v>
      </c>
      <c r="E505" s="932" t="s">
        <v>7362</v>
      </c>
      <c r="F505" s="2030">
        <v>-1</v>
      </c>
      <c r="G505" s="2030">
        <f>COUNTIF(Principal!$C$51:$F$53,Tablas!E505)</f>
        <v>0</v>
      </c>
      <c r="H505" s="2031">
        <f t="shared" si="72"/>
        <v>0</v>
      </c>
      <c r="I505" s="931">
        <v>1</v>
      </c>
      <c r="J505" s="2035" t="s">
        <v>2843</v>
      </c>
      <c r="N505"/>
    </row>
    <row r="506" spans="1:14" ht="12.75" customHeight="1" x14ac:dyDescent="0.2">
      <c r="A506" s="237">
        <v>506</v>
      </c>
      <c r="B506" s="5838"/>
      <c r="C506" s="2039" t="str">
        <f t="shared" si="73"/>
        <v>-2 a característica: PER</v>
      </c>
      <c r="D506" s="926">
        <f t="shared" si="71"/>
        <v>7</v>
      </c>
      <c r="E506" s="932" t="s">
        <v>7363</v>
      </c>
      <c r="F506" s="2030">
        <v>-1</v>
      </c>
      <c r="G506" s="2030">
        <f>COUNTIF(Principal!$C$51:$F$53,Tablas!E506)</f>
        <v>0</v>
      </c>
      <c r="H506" s="2031">
        <f t="shared" si="72"/>
        <v>0</v>
      </c>
      <c r="I506" s="931">
        <v>1</v>
      </c>
      <c r="J506" s="2035" t="s">
        <v>2843</v>
      </c>
      <c r="N506"/>
    </row>
    <row r="507" spans="1:14" ht="12.75" customHeight="1" x14ac:dyDescent="0.2">
      <c r="A507" s="237">
        <v>507</v>
      </c>
      <c r="B507" s="5838"/>
      <c r="C507" s="2039" t="str">
        <f t="shared" si="73"/>
        <v>-2 a característica: POD</v>
      </c>
      <c r="D507" s="926">
        <f t="shared" si="71"/>
        <v>8</v>
      </c>
      <c r="E507" s="932" t="s">
        <v>7364</v>
      </c>
      <c r="F507" s="2030">
        <v>-1</v>
      </c>
      <c r="G507" s="2030">
        <f>COUNTIF(Principal!$C$51:$F$53,Tablas!E507)</f>
        <v>0</v>
      </c>
      <c r="H507" s="2031">
        <f t="shared" si="72"/>
        <v>0</v>
      </c>
      <c r="I507" s="931">
        <v>1</v>
      </c>
      <c r="J507" s="2035" t="s">
        <v>2843</v>
      </c>
      <c r="N507"/>
    </row>
    <row r="508" spans="1:14" ht="12.75" customHeight="1" x14ac:dyDescent="0.2">
      <c r="A508" s="237">
        <v>508</v>
      </c>
      <c r="B508" s="5838"/>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838"/>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838"/>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838"/>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838"/>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838"/>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838"/>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838"/>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838"/>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838"/>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838"/>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838"/>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838"/>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838"/>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838"/>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838"/>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838"/>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838"/>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838"/>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838"/>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838"/>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838"/>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838"/>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838"/>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838"/>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838"/>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838"/>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838"/>
      <c r="C535" s="2039" t="str">
        <f t="shared" si="74"/>
        <v>Reacción lenta (2)</v>
      </c>
      <c r="D535" s="926">
        <f t="shared" si="71"/>
        <v>-1</v>
      </c>
      <c r="E535" s="55" t="s">
        <v>10251</v>
      </c>
      <c r="F535" s="2030"/>
      <c r="G535" s="2030"/>
      <c r="H535" s="2031"/>
      <c r="I535" s="931"/>
      <c r="J535" s="2035" t="s">
        <v>2843</v>
      </c>
      <c r="N535"/>
    </row>
    <row r="536" spans="1:14" ht="12.75" customHeight="1" x14ac:dyDescent="0.2">
      <c r="A536" s="237">
        <v>536</v>
      </c>
      <c r="B536" s="5838"/>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838"/>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838"/>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838"/>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838"/>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838"/>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838"/>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838"/>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838"/>
      <c r="C544" s="2039" t="str">
        <f t="shared" si="74"/>
        <v xml:space="preserve"> &gt; DESVENTAJAS TRASFONDO</v>
      </c>
      <c r="D544" s="926">
        <f>IF(Don,COUNTIF($E$544:$E$552,"&lt;="&amp;E544)+MAX($D$499:$D$543),MIN($D$499:D543)-1)</f>
        <v>-2</v>
      </c>
      <c r="E544" s="55" t="s">
        <v>10252</v>
      </c>
      <c r="F544" s="2030"/>
      <c r="G544" s="2030"/>
      <c r="H544" s="2031"/>
      <c r="I544" s="2058"/>
      <c r="J544" s="2053" t="s">
        <v>2280</v>
      </c>
      <c r="N544"/>
    </row>
    <row r="545" spans="1:14" ht="12.75" customHeight="1" x14ac:dyDescent="0.2">
      <c r="A545" s="237">
        <v>545</v>
      </c>
      <c r="B545" s="5838"/>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838"/>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838"/>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838"/>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838"/>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838"/>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838"/>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838"/>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838"/>
      <c r="C553" s="2039" t="str">
        <f t="shared" si="74"/>
        <v>Desventaja Personalizada #1</v>
      </c>
      <c r="D553" s="926">
        <f>IF(Psíquico,COUNTIF($E$553:$E$557,"&lt;="&amp;E553)+MAX($D$499:$D$552),MIN($D$499:D552)-1)</f>
        <v>-11</v>
      </c>
      <c r="E553" s="2040" t="s">
        <v>10253</v>
      </c>
      <c r="F553" s="785"/>
      <c r="G553" s="785"/>
      <c r="H553" s="930"/>
      <c r="I553" s="2058"/>
      <c r="J553" s="2065" t="s">
        <v>6680</v>
      </c>
      <c r="N553"/>
    </row>
    <row r="554" spans="1:14" ht="12.75" customHeight="1" x14ac:dyDescent="0.2">
      <c r="A554" s="237">
        <v>554</v>
      </c>
      <c r="B554" s="5838"/>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6680</v>
      </c>
      <c r="N554"/>
    </row>
    <row r="555" spans="1:14" ht="12.75" customHeight="1" x14ac:dyDescent="0.2">
      <c r="A555" s="237">
        <v>555</v>
      </c>
      <c r="B555" s="5838"/>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6680</v>
      </c>
      <c r="N555"/>
    </row>
    <row r="556" spans="1:14" ht="12.75" customHeight="1" x14ac:dyDescent="0.2">
      <c r="A556" s="237">
        <v>556</v>
      </c>
      <c r="B556" s="5838"/>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6680</v>
      </c>
      <c r="N556"/>
    </row>
    <row r="557" spans="1:14" ht="12.75" customHeight="1" x14ac:dyDescent="0.2">
      <c r="A557" s="237">
        <v>557</v>
      </c>
      <c r="B557" s="5838"/>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6680</v>
      </c>
      <c r="N557"/>
    </row>
    <row r="558" spans="1:14" ht="12.75" customHeight="1" x14ac:dyDescent="0.2">
      <c r="A558" s="237">
        <v>558</v>
      </c>
      <c r="B558" s="5838"/>
      <c r="C558" s="2039" t="e">
        <f t="shared" si="74"/>
        <v>#N/A</v>
      </c>
      <c r="D558" s="926">
        <f>COUNTIF($E$558:$E$565,"&lt;="&amp;E558)+MAX($D$499:$D$557)</f>
        <v>44</v>
      </c>
      <c r="E558" s="2040" t="s">
        <v>10254</v>
      </c>
      <c r="F558" s="787"/>
      <c r="G558" s="785"/>
      <c r="H558" s="2050"/>
      <c r="I558" s="2061"/>
      <c r="J558" s="2068" t="s">
        <v>6681</v>
      </c>
      <c r="N558"/>
    </row>
    <row r="559" spans="1:14" ht="12.75" customHeight="1" x14ac:dyDescent="0.2">
      <c r="A559" s="237">
        <v>559</v>
      </c>
      <c r="B559" s="5838"/>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6681</v>
      </c>
      <c r="N559"/>
    </row>
    <row r="560" spans="1:14" ht="12.75" customHeight="1" x14ac:dyDescent="0.2">
      <c r="A560" s="237">
        <v>560</v>
      </c>
      <c r="B560" s="5838"/>
      <c r="C560" s="2039" t="e">
        <f t="shared" si="74"/>
        <v>#N/A</v>
      </c>
      <c r="D560" s="926">
        <f t="shared" si="77"/>
        <v>50</v>
      </c>
      <c r="E560" s="55" t="s">
        <v>2518</v>
      </c>
      <c r="F560" s="2030">
        <v>-1</v>
      </c>
      <c r="G560" s="2030">
        <f>COUNTIF(Principal!$C$51:$F$53,Tablas!E560)</f>
        <v>0</v>
      </c>
      <c r="H560" s="94">
        <f t="shared" si="78"/>
        <v>0</v>
      </c>
      <c r="I560" s="2062"/>
      <c r="J560" s="2067" t="s">
        <v>6681</v>
      </c>
      <c r="N560"/>
    </row>
    <row r="561" spans="1:73" ht="12.75" customHeight="1" x14ac:dyDescent="0.2">
      <c r="A561" s="237">
        <v>561</v>
      </c>
      <c r="B561" s="5838"/>
      <c r="C561" s="2039" t="e">
        <f t="shared" si="74"/>
        <v>#N/A</v>
      </c>
      <c r="D561" s="926">
        <f t="shared" si="77"/>
        <v>47</v>
      </c>
      <c r="E561" s="55" t="s">
        <v>2519</v>
      </c>
      <c r="F561" s="2030">
        <v>-1</v>
      </c>
      <c r="G561" s="2030">
        <f>COUNTIF(Principal!$C$51:$F$53,Tablas!E561)</f>
        <v>0</v>
      </c>
      <c r="H561" s="94">
        <f t="shared" si="78"/>
        <v>0</v>
      </c>
      <c r="I561" s="2063"/>
      <c r="J561" s="2067" t="s">
        <v>6681</v>
      </c>
      <c r="N561"/>
    </row>
    <row r="562" spans="1:73" ht="12.75" customHeight="1" x14ac:dyDescent="0.2">
      <c r="A562" s="237">
        <v>562</v>
      </c>
      <c r="B562" s="5838"/>
      <c r="C562" s="2039" t="e">
        <f t="shared" si="74"/>
        <v>#N/A</v>
      </c>
      <c r="D562" s="926">
        <f t="shared" si="77"/>
        <v>48</v>
      </c>
      <c r="E562" s="55" t="s">
        <v>2520</v>
      </c>
      <c r="F562" s="2030">
        <v>-2</v>
      </c>
      <c r="G562" s="2030">
        <f>COUNTIF(Principal!$C$51:$F$53,Tablas!E562)</f>
        <v>0</v>
      </c>
      <c r="H562" s="94">
        <f t="shared" si="78"/>
        <v>0</v>
      </c>
      <c r="I562" s="2063"/>
      <c r="J562" s="2067" t="s">
        <v>6681</v>
      </c>
      <c r="N562"/>
    </row>
    <row r="563" spans="1:73" ht="12.75" customHeight="1" x14ac:dyDescent="0.2">
      <c r="A563" s="237">
        <v>563</v>
      </c>
      <c r="B563" s="5838"/>
      <c r="C563" s="2039" t="e">
        <f t="shared" si="74"/>
        <v>#N/A</v>
      </c>
      <c r="D563" s="926">
        <f t="shared" si="77"/>
        <v>46</v>
      </c>
      <c r="E563" s="55" t="s">
        <v>2521</v>
      </c>
      <c r="F563" s="2030">
        <v>-1</v>
      </c>
      <c r="G563" s="2030">
        <f>COUNTIF(Principal!$C$51:$F$53,Tablas!E563)</f>
        <v>0</v>
      </c>
      <c r="H563" s="94">
        <f t="shared" si="78"/>
        <v>0</v>
      </c>
      <c r="I563" s="2063"/>
      <c r="J563" s="2067" t="s">
        <v>6681</v>
      </c>
      <c r="N563"/>
    </row>
    <row r="564" spans="1:73" ht="12.75" customHeight="1" x14ac:dyDescent="0.2">
      <c r="A564" s="237">
        <v>564</v>
      </c>
      <c r="B564" s="5838"/>
      <c r="C564" s="2039" t="e">
        <f t="shared" si="74"/>
        <v>#N/A</v>
      </c>
      <c r="D564" s="926">
        <f t="shared" si="77"/>
        <v>45</v>
      </c>
      <c r="E564" s="55" t="s">
        <v>2522</v>
      </c>
      <c r="F564" s="2030">
        <v>-1</v>
      </c>
      <c r="G564" s="2030">
        <f>COUNTIF(Principal!$C$51:$F$53,Tablas!E564)</f>
        <v>0</v>
      </c>
      <c r="H564" s="94">
        <f t="shared" si="78"/>
        <v>0</v>
      </c>
      <c r="I564" s="2063"/>
      <c r="J564" s="2067" t="s">
        <v>6681</v>
      </c>
      <c r="N564"/>
    </row>
    <row r="565" spans="1:73" ht="12.75" customHeight="1" x14ac:dyDescent="0.2">
      <c r="A565" s="237">
        <v>565</v>
      </c>
      <c r="B565" s="5838"/>
      <c r="C565" s="2039" t="e">
        <f t="shared" ref="C565:C570" si="79">VLOOKUP(A65,$D$499:$E$570,2,0)</f>
        <v>#N/A</v>
      </c>
      <c r="D565" s="926">
        <f t="shared" si="77"/>
        <v>51</v>
      </c>
      <c r="E565" s="55" t="s">
        <v>2523</v>
      </c>
      <c r="F565" s="2030">
        <v>-1</v>
      </c>
      <c r="G565" s="2030">
        <f>COUNTIF(Principal!$C$51:$F$53,Tablas!E565)</f>
        <v>0</v>
      </c>
      <c r="H565" s="94">
        <f t="shared" si="78"/>
        <v>0</v>
      </c>
      <c r="I565" s="2064"/>
      <c r="J565" s="2067" t="s">
        <v>6681</v>
      </c>
      <c r="K565" s="2554"/>
      <c r="N565"/>
    </row>
    <row r="566" spans="1:73" ht="12.75" customHeight="1" x14ac:dyDescent="0.2">
      <c r="A566" s="237">
        <v>566</v>
      </c>
      <c r="B566" s="5838"/>
      <c r="C566" s="2039" t="e">
        <f t="shared" si="79"/>
        <v>#N/A</v>
      </c>
      <c r="D566" s="2070">
        <f>MAX($D$499:$D$565)+1</f>
        <v>52</v>
      </c>
      <c r="E566" s="2032" t="s">
        <v>10255</v>
      </c>
      <c r="F566" s="2051"/>
      <c r="G566" s="2052"/>
      <c r="H566" s="2051"/>
      <c r="I566" s="2052"/>
      <c r="J566" s="2068" t="s">
        <v>2843</v>
      </c>
      <c r="K566" s="2554"/>
      <c r="N566"/>
    </row>
    <row r="567" spans="1:73" ht="12.75" customHeight="1" x14ac:dyDescent="0.2">
      <c r="A567" s="237">
        <v>567</v>
      </c>
      <c r="B567" s="5838"/>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838"/>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838"/>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838"/>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838"/>
      <c r="H571"/>
      <c r="I571" s="592"/>
      <c r="N571"/>
      <c r="O571" s="592"/>
    </row>
    <row r="572" spans="1:73" ht="12.75" customHeight="1" x14ac:dyDescent="0.2">
      <c r="A572" s="237">
        <v>572</v>
      </c>
      <c r="B572" s="5838"/>
      <c r="H572"/>
      <c r="I572" s="592"/>
      <c r="N572"/>
      <c r="O572" s="592"/>
    </row>
    <row r="573" spans="1:73" ht="12.75" customHeight="1" x14ac:dyDescent="0.2">
      <c r="A573" s="237">
        <v>573</v>
      </c>
      <c r="B573" s="5838"/>
      <c r="H573"/>
      <c r="I573" s="592"/>
      <c r="N573"/>
      <c r="O573" s="592"/>
    </row>
    <row r="574" spans="1:73" ht="12.75" customHeight="1" x14ac:dyDescent="0.2">
      <c r="A574" s="237">
        <v>574</v>
      </c>
      <c r="B574" s="5838"/>
      <c r="H574"/>
      <c r="I574" s="592"/>
      <c r="N574"/>
      <c r="O574" s="592"/>
    </row>
    <row r="575" spans="1:73" ht="12.75" customHeight="1" x14ac:dyDescent="0.2">
      <c r="A575" s="237">
        <v>575</v>
      </c>
      <c r="B575" s="5838"/>
      <c r="H575"/>
      <c r="I575" s="592"/>
      <c r="N575"/>
      <c r="O575" s="592"/>
    </row>
    <row r="576" spans="1:73" ht="12.75" customHeight="1" x14ac:dyDescent="0.2">
      <c r="A576" s="237">
        <v>576</v>
      </c>
      <c r="B576" s="5838"/>
      <c r="C576" s="5812" t="s">
        <v>7514</v>
      </c>
      <c r="D576" s="5812"/>
      <c r="E576" s="5812"/>
      <c r="F576" s="5812"/>
      <c r="G576" s="5812"/>
      <c r="H576" s="5812"/>
      <c r="I576" s="5812"/>
      <c r="J576" s="5812"/>
      <c r="K576" s="5812"/>
      <c r="L576" s="5812"/>
      <c r="M576" s="5812"/>
      <c r="N576" s="5812"/>
      <c r="O576" s="5812"/>
      <c r="P576" s="5812"/>
      <c r="Q576" s="5812"/>
      <c r="R576" s="5812"/>
      <c r="S576" s="5812"/>
      <c r="T576" s="5812"/>
      <c r="U576" s="5812"/>
      <c r="V576" s="5812"/>
      <c r="W576" s="5812"/>
      <c r="X576" s="5812"/>
      <c r="Y576" s="5812"/>
      <c r="Z576" s="5812"/>
      <c r="AA576" s="5812"/>
      <c r="AB576" s="5812"/>
      <c r="AC576" s="5812"/>
      <c r="AD576" s="5812"/>
      <c r="AE576" s="5812"/>
      <c r="AF576" s="5812"/>
      <c r="AG576" s="5812"/>
      <c r="AH576" s="5812"/>
      <c r="AI576" s="5812"/>
      <c r="AJ576" s="5812"/>
      <c r="AK576" s="5812"/>
      <c r="AL576" s="5812"/>
      <c r="AM576" s="5812"/>
      <c r="AN576" s="5812"/>
      <c r="AO576" s="5812"/>
      <c r="AP576" s="5812"/>
      <c r="AQ576" s="5812"/>
      <c r="AR576" s="5812"/>
      <c r="AS576" s="5812"/>
      <c r="AT576" s="5812"/>
      <c r="AU576" s="5812"/>
      <c r="AV576" s="5812"/>
      <c r="AW576" s="5812"/>
      <c r="AX576" s="5812"/>
      <c r="AY576" s="5812"/>
      <c r="AZ576" s="5812"/>
      <c r="BA576" s="5812"/>
      <c r="BB576" s="5812"/>
      <c r="BC576" s="5812"/>
      <c r="BD576" s="5812"/>
      <c r="BE576" s="5812"/>
      <c r="BF576" s="5812"/>
      <c r="BG576" s="5812"/>
      <c r="BH576" s="5812"/>
      <c r="BI576" s="5812"/>
      <c r="BJ576" s="5812"/>
      <c r="BK576" s="5812"/>
      <c r="BL576" s="5812"/>
      <c r="BM576" s="5812"/>
      <c r="BN576" s="5812"/>
      <c r="BO576" s="5812"/>
      <c r="BP576" s="5812"/>
      <c r="BQ576" s="5812"/>
      <c r="BR576" s="5812"/>
      <c r="BS576" s="5812"/>
      <c r="BT576" s="5812"/>
      <c r="BU576" s="5812"/>
    </row>
    <row r="577" spans="1:73" ht="12.75" customHeight="1" x14ac:dyDescent="0.2">
      <c r="A577" s="237">
        <v>577</v>
      </c>
      <c r="B577" s="5838"/>
      <c r="C577" s="5812"/>
      <c r="D577" s="5812"/>
      <c r="E577" s="5812"/>
      <c r="F577" s="5812"/>
      <c r="G577" s="5812"/>
      <c r="H577" s="5812"/>
      <c r="I577" s="5812"/>
      <c r="J577" s="5812"/>
      <c r="K577" s="5812"/>
      <c r="L577" s="5812"/>
      <c r="M577" s="5812"/>
      <c r="N577" s="5812"/>
      <c r="O577" s="5812"/>
      <c r="P577" s="5812"/>
      <c r="Q577" s="5812"/>
      <c r="R577" s="5812"/>
      <c r="S577" s="5812"/>
      <c r="T577" s="5812"/>
      <c r="U577" s="5812"/>
      <c r="V577" s="5812"/>
      <c r="W577" s="5812"/>
      <c r="X577" s="5812"/>
      <c r="Y577" s="5812"/>
      <c r="Z577" s="5812"/>
      <c r="AA577" s="5812"/>
      <c r="AB577" s="5812"/>
      <c r="AC577" s="5812"/>
      <c r="AD577" s="5812"/>
      <c r="AE577" s="5812"/>
      <c r="AF577" s="5812"/>
      <c r="AG577" s="5812"/>
      <c r="AH577" s="5812"/>
      <c r="AI577" s="5812"/>
      <c r="AJ577" s="5812"/>
      <c r="AK577" s="5812"/>
      <c r="AL577" s="5812"/>
      <c r="AM577" s="5812"/>
      <c r="AN577" s="5812"/>
      <c r="AO577" s="5812"/>
      <c r="AP577" s="5812"/>
      <c r="AQ577" s="5812"/>
      <c r="AR577" s="5812"/>
      <c r="AS577" s="5812"/>
      <c r="AT577" s="5812"/>
      <c r="AU577" s="5812"/>
      <c r="AV577" s="5812"/>
      <c r="AW577" s="5812"/>
      <c r="AX577" s="5812"/>
      <c r="AY577" s="5812"/>
      <c r="AZ577" s="5812"/>
      <c r="BA577" s="5812"/>
      <c r="BB577" s="5812"/>
      <c r="BC577" s="5812"/>
      <c r="BD577" s="5812"/>
      <c r="BE577" s="5812"/>
      <c r="BF577" s="5812"/>
      <c r="BG577" s="5812"/>
      <c r="BH577" s="5812"/>
      <c r="BI577" s="5812"/>
      <c r="BJ577" s="5812"/>
      <c r="BK577" s="5812"/>
      <c r="BL577" s="5812"/>
      <c r="BM577" s="5812"/>
      <c r="BN577" s="5812"/>
      <c r="BO577" s="5812"/>
      <c r="BP577" s="5812"/>
      <c r="BQ577" s="5812"/>
      <c r="BR577" s="5812"/>
      <c r="BS577" s="5812"/>
      <c r="BT577" s="5812"/>
      <c r="BU577" s="5812"/>
    </row>
    <row r="578" spans="1:73" ht="12.75" customHeight="1" x14ac:dyDescent="0.2">
      <c r="A578" s="237">
        <v>578</v>
      </c>
      <c r="B578" s="5838"/>
      <c r="C578" s="5812"/>
      <c r="D578" s="5812"/>
      <c r="E578" s="5812"/>
      <c r="F578" s="5812"/>
      <c r="G578" s="5812"/>
      <c r="H578" s="5812"/>
      <c r="I578" s="5812"/>
      <c r="J578" s="5812"/>
      <c r="K578" s="5812"/>
      <c r="L578" s="5812"/>
      <c r="M578" s="5812"/>
      <c r="N578" s="5812"/>
      <c r="O578" s="5812"/>
      <c r="P578" s="5812"/>
      <c r="Q578" s="5812"/>
      <c r="R578" s="5812"/>
      <c r="S578" s="5812"/>
      <c r="T578" s="5812"/>
      <c r="U578" s="5812"/>
      <c r="V578" s="5812"/>
      <c r="W578" s="5812"/>
      <c r="X578" s="5812"/>
      <c r="Y578" s="5812"/>
      <c r="Z578" s="5812"/>
      <c r="AA578" s="5812"/>
      <c r="AB578" s="5812"/>
      <c r="AC578" s="5812"/>
      <c r="AD578" s="5812"/>
      <c r="AE578" s="5812"/>
      <c r="AF578" s="5812"/>
      <c r="AG578" s="5812"/>
      <c r="AH578" s="5812"/>
      <c r="AI578" s="5812"/>
      <c r="AJ578" s="5812"/>
      <c r="AK578" s="5812"/>
      <c r="AL578" s="5812"/>
      <c r="AM578" s="5812"/>
      <c r="AN578" s="5812"/>
      <c r="AO578" s="5812"/>
      <c r="AP578" s="5812"/>
      <c r="AQ578" s="5812"/>
      <c r="AR578" s="5812"/>
      <c r="AS578" s="5812"/>
      <c r="AT578" s="5812"/>
      <c r="AU578" s="5812"/>
      <c r="AV578" s="5812"/>
      <c r="AW578" s="5812"/>
      <c r="AX578" s="5812"/>
      <c r="AY578" s="5812"/>
      <c r="AZ578" s="5812"/>
      <c r="BA578" s="5812"/>
      <c r="BB578" s="5812"/>
      <c r="BC578" s="5812"/>
      <c r="BD578" s="5812"/>
      <c r="BE578" s="5812"/>
      <c r="BF578" s="5812"/>
      <c r="BG578" s="5812"/>
      <c r="BH578" s="5812"/>
      <c r="BI578" s="5812"/>
      <c r="BJ578" s="5812"/>
      <c r="BK578" s="5812"/>
      <c r="BL578" s="5812"/>
      <c r="BM578" s="5812"/>
      <c r="BN578" s="5812"/>
      <c r="BO578" s="5812"/>
      <c r="BP578" s="5812"/>
      <c r="BQ578" s="5812"/>
      <c r="BR578" s="5812"/>
      <c r="BS578" s="5812"/>
      <c r="BT578" s="5812"/>
      <c r="BU578" s="5812"/>
    </row>
    <row r="579" spans="1:73" ht="12.75" customHeight="1" thickBot="1" x14ac:dyDescent="0.25">
      <c r="A579" s="237">
        <v>579</v>
      </c>
      <c r="B579" s="5838"/>
      <c r="H579"/>
      <c r="I579" s="592"/>
      <c r="N579"/>
      <c r="O579" s="592"/>
      <c r="AL579"/>
    </row>
    <row r="580" spans="1:73" ht="12.75" customHeight="1" thickBot="1" x14ac:dyDescent="0.25">
      <c r="A580" s="237">
        <v>580</v>
      </c>
      <c r="B580" s="5838"/>
      <c r="C580" s="5950" t="s">
        <v>1157</v>
      </c>
      <c r="D580" s="5951"/>
      <c r="E580" s="5951"/>
      <c r="F580" s="5951"/>
      <c r="G580" s="5951"/>
      <c r="H580" s="5951"/>
      <c r="I580" s="5951"/>
      <c r="J580" s="5951"/>
      <c r="K580" s="5951"/>
      <c r="L580" s="5951"/>
      <c r="M580" s="5951"/>
      <c r="N580" s="5951"/>
      <c r="O580" s="5951"/>
      <c r="P580" s="5951"/>
      <c r="Q580" s="5951"/>
      <c r="R580" s="5952"/>
      <c r="T580" s="5947" t="s">
        <v>1209</v>
      </c>
      <c r="U580" s="5947"/>
      <c r="X580" s="5847" t="s">
        <v>2552</v>
      </c>
      <c r="Y580" s="5848"/>
      <c r="Z580" s="5848"/>
      <c r="AA580" s="5849"/>
      <c r="AC580" s="5907" t="s">
        <v>1151</v>
      </c>
      <c r="AG580" s="5847" t="s">
        <v>8803</v>
      </c>
      <c r="AH580" s="5848"/>
      <c r="AI580" s="5848"/>
      <c r="AJ580" s="5848"/>
      <c r="AK580" s="5849"/>
      <c r="AL580"/>
    </row>
    <row r="581" spans="1:73" ht="12.75" customHeight="1" thickBot="1" x14ac:dyDescent="0.25">
      <c r="A581" s="237">
        <v>581</v>
      </c>
      <c r="B581" s="5838"/>
      <c r="C581" s="5953"/>
      <c r="D581" s="5954"/>
      <c r="E581" s="5954"/>
      <c r="F581" s="5954"/>
      <c r="G581" s="5954"/>
      <c r="H581" s="5954"/>
      <c r="I581" s="5954"/>
      <c r="J581" s="5954"/>
      <c r="K581" s="5954"/>
      <c r="L581" s="5954"/>
      <c r="M581" s="5954"/>
      <c r="N581" s="5954"/>
      <c r="O581" s="5954"/>
      <c r="P581" s="5954"/>
      <c r="Q581" s="5954"/>
      <c r="R581" s="5955"/>
      <c r="T581" s="181" t="s">
        <v>2107</v>
      </c>
      <c r="U581" s="183" t="s">
        <v>1210</v>
      </c>
      <c r="X581" s="5850"/>
      <c r="Y581" s="4595"/>
      <c r="Z581" s="4595"/>
      <c r="AA581" s="5851"/>
      <c r="AC581" s="5907"/>
      <c r="AE581" s="1478" t="s">
        <v>2107</v>
      </c>
      <c r="AF581" s="1473"/>
      <c r="AG581" s="5850"/>
      <c r="AH581" s="4595"/>
      <c r="AI581" s="4595"/>
      <c r="AJ581" s="4595"/>
      <c r="AK581" s="5851"/>
      <c r="AL581"/>
    </row>
    <row r="582" spans="1:73" ht="12.75" customHeight="1" thickBot="1" x14ac:dyDescent="0.25">
      <c r="A582" s="237">
        <v>582</v>
      </c>
      <c r="B582" s="5838"/>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8872</v>
      </c>
      <c r="AF582" s="1473"/>
      <c r="AG582" s="986" t="s">
        <v>8793</v>
      </c>
      <c r="AH582" s="645" t="s">
        <v>8804</v>
      </c>
      <c r="AI582" s="645" t="s">
        <v>8807</v>
      </c>
      <c r="AJ582" s="645" t="s">
        <v>8805</v>
      </c>
      <c r="AK582" s="651" t="s">
        <v>8806</v>
      </c>
      <c r="AL582"/>
    </row>
    <row r="583" spans="1:73" ht="12.75" customHeight="1" thickBot="1" x14ac:dyDescent="0.25">
      <c r="A583" s="237">
        <v>583</v>
      </c>
      <c r="B583" s="5838"/>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8873</v>
      </c>
      <c r="AG583" s="597" t="s">
        <v>1602</v>
      </c>
      <c r="AH583" s="236" t="s">
        <v>1732</v>
      </c>
      <c r="AI583" s="236">
        <v>40</v>
      </c>
      <c r="AJ583" s="236">
        <v>2</v>
      </c>
      <c r="AK583" s="891">
        <v>0</v>
      </c>
      <c r="AL583"/>
    </row>
    <row r="584" spans="1:73" ht="12.75" customHeight="1" thickBot="1" x14ac:dyDescent="0.25">
      <c r="A584" s="237">
        <v>584</v>
      </c>
      <c r="B584" s="5838"/>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8794</v>
      </c>
      <c r="AH584" s="236" t="s">
        <v>1735</v>
      </c>
      <c r="AI584" s="236">
        <v>60</v>
      </c>
      <c r="AJ584" s="236">
        <v>2</v>
      </c>
      <c r="AK584" s="891">
        <v>1</v>
      </c>
      <c r="AL584"/>
    </row>
    <row r="585" spans="1:73" ht="12.75" customHeight="1" thickBot="1" x14ac:dyDescent="0.25">
      <c r="A585" s="237">
        <v>585</v>
      </c>
      <c r="B585" s="5838"/>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8818</v>
      </c>
      <c r="AH585" s="236" t="s">
        <v>6335</v>
      </c>
      <c r="AI585" s="236">
        <v>80</v>
      </c>
      <c r="AJ585" s="236">
        <v>3</v>
      </c>
      <c r="AK585" s="891">
        <v>1</v>
      </c>
      <c r="AL585"/>
    </row>
    <row r="586" spans="1:73" ht="12.75" customHeight="1" thickBot="1" x14ac:dyDescent="0.25">
      <c r="A586" s="237">
        <v>586</v>
      </c>
      <c r="B586" s="5838"/>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8795</v>
      </c>
      <c r="AH586" s="236" t="s">
        <v>1739</v>
      </c>
      <c r="AI586" s="236">
        <v>100</v>
      </c>
      <c r="AJ586" s="236">
        <v>3</v>
      </c>
      <c r="AK586" s="891">
        <v>2</v>
      </c>
      <c r="AL586"/>
    </row>
    <row r="587" spans="1:73" ht="12.75" customHeight="1" thickBot="1" x14ac:dyDescent="0.25">
      <c r="A587" s="237">
        <v>587</v>
      </c>
      <c r="B587" s="5838"/>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8796</v>
      </c>
      <c r="AH587" s="236" t="s">
        <v>6336</v>
      </c>
      <c r="AI587" s="236">
        <v>140</v>
      </c>
      <c r="AJ587" s="236">
        <v>4</v>
      </c>
      <c r="AK587" s="891">
        <v>3</v>
      </c>
      <c r="AL587"/>
    </row>
    <row r="588" spans="1:73" ht="12.75" customHeight="1" thickBot="1" x14ac:dyDescent="0.25">
      <c r="A588" s="237">
        <v>588</v>
      </c>
      <c r="B588" s="5838"/>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931" t="s">
        <v>7286</v>
      </c>
      <c r="U588" s="5932"/>
      <c r="V588" s="5933"/>
      <c r="X588" s="992" t="s">
        <v>2564</v>
      </c>
      <c r="Y588" s="644">
        <v>50</v>
      </c>
      <c r="Z588" s="987" t="s">
        <v>2565</v>
      </c>
      <c r="AA588" s="596"/>
      <c r="AC588" s="1315" t="s">
        <v>1155</v>
      </c>
      <c r="AG588" s="597" t="s">
        <v>8797</v>
      </c>
      <c r="AH588" s="236" t="s">
        <v>1742</v>
      </c>
      <c r="AI588" s="236">
        <v>180</v>
      </c>
      <c r="AJ588" s="236">
        <v>4</v>
      </c>
      <c r="AK588" s="891">
        <v>4</v>
      </c>
      <c r="AL588"/>
    </row>
    <row r="589" spans="1:73" ht="12.75" customHeight="1" x14ac:dyDescent="0.2">
      <c r="A589" s="237">
        <v>589</v>
      </c>
      <c r="B589" s="5838"/>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48" t="s">
        <v>1530</v>
      </c>
      <c r="U589" s="5949"/>
      <c r="V589" s="900" t="s">
        <v>2261</v>
      </c>
      <c r="X589" s="5852" t="str">
        <f>X588</f>
        <v>Tabla de armas arquetípicas</v>
      </c>
      <c r="Y589" s="5853"/>
      <c r="Z589" s="5853"/>
      <c r="AA589" s="5854"/>
      <c r="AC589" s="1315" t="s">
        <v>1156</v>
      </c>
      <c r="AG589" s="597" t="s">
        <v>8798</v>
      </c>
      <c r="AH589" s="236" t="s">
        <v>1744</v>
      </c>
      <c r="AI589" s="236">
        <v>240</v>
      </c>
      <c r="AJ589" s="236">
        <v>5</v>
      </c>
      <c r="AK589" s="891">
        <v>5</v>
      </c>
      <c r="AL589"/>
    </row>
    <row r="590" spans="1:73" ht="12.75" customHeight="1" thickBot="1" x14ac:dyDescent="0.25">
      <c r="A590" s="237">
        <v>590</v>
      </c>
      <c r="B590" s="5838"/>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78" t="s">
        <v>1641</v>
      </c>
      <c r="U590" s="5879"/>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8799</v>
      </c>
      <c r="AH590" s="1122" t="s">
        <v>1687</v>
      </c>
      <c r="AI590" s="1122">
        <v>280</v>
      </c>
      <c r="AJ590" s="1122">
        <v>6</v>
      </c>
      <c r="AK590" s="1458">
        <v>6</v>
      </c>
      <c r="AL590"/>
    </row>
    <row r="591" spans="1:73" ht="12.75" customHeight="1" thickBot="1" x14ac:dyDescent="0.25">
      <c r="A591" s="237">
        <v>591</v>
      </c>
      <c r="B591" s="5838"/>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78" t="s">
        <v>1644</v>
      </c>
      <c r="U591" s="5879"/>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838"/>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78" t="s">
        <v>2141</v>
      </c>
      <c r="U592" s="5879"/>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880" t="s">
        <v>8718</v>
      </c>
      <c r="AD592" s="5881"/>
      <c r="AE592" s="5881"/>
      <c r="AF592" s="5882"/>
    </row>
    <row r="593" spans="1:32" ht="12.75" customHeight="1" thickBot="1" x14ac:dyDescent="0.25">
      <c r="A593" s="237">
        <v>593</v>
      </c>
      <c r="B593" s="5838"/>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78" t="s">
        <v>7287</v>
      </c>
      <c r="U593" s="5879"/>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8719</v>
      </c>
      <c r="AF593" s="1402" t="s">
        <v>8720</v>
      </c>
    </row>
    <row r="594" spans="1:32" ht="12.75" customHeight="1" x14ac:dyDescent="0.2">
      <c r="A594" s="237">
        <v>594</v>
      </c>
      <c r="B594" s="5838"/>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78" t="s">
        <v>7288</v>
      </c>
      <c r="U594" s="5879"/>
      <c r="V594" s="902">
        <f>IF($P$256&gt;0,MIN(COUNTIF(Personalización!$V$83:$X$86,Tablas!$T594),1),0)</f>
        <v>0</v>
      </c>
      <c r="X594" s="948" t="s">
        <v>2566</v>
      </c>
      <c r="Y594" s="236"/>
      <c r="Z594" s="236" t="s">
        <v>8848</v>
      </c>
      <c r="AA594" s="933">
        <f>COUNTIF(PDs!$Y$40:$AA$45,Tablas!X594)</f>
        <v>0</v>
      </c>
      <c r="AC594" s="1403" t="s">
        <v>8726</v>
      </c>
      <c r="AD594" s="808">
        <v>0</v>
      </c>
      <c r="AE594" s="808">
        <v>0</v>
      </c>
      <c r="AF594" s="1338">
        <v>0</v>
      </c>
    </row>
    <row r="595" spans="1:32" ht="12.75" customHeight="1" x14ac:dyDescent="0.2">
      <c r="A595" s="237">
        <v>595</v>
      </c>
      <c r="B595" s="5838"/>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78" t="s">
        <v>7289</v>
      </c>
      <c r="U595" s="5879"/>
      <c r="V595" s="902">
        <f>IF($P$256&gt;0,MIN(COUNTIF(Personalización!$V$83:$X$86,Tablas!$T595),2),0)</f>
        <v>0</v>
      </c>
      <c r="X595" s="948" t="s">
        <v>2567</v>
      </c>
      <c r="Y595" s="236"/>
      <c r="Z595" s="236" t="s">
        <v>8865</v>
      </c>
      <c r="AA595" s="933">
        <f>COUNTIF(PDs!$Y$40:$AA$45,Tablas!X595)</f>
        <v>0</v>
      </c>
      <c r="AC595" s="1403" t="s">
        <v>8722</v>
      </c>
      <c r="AD595" s="808">
        <v>10</v>
      </c>
      <c r="AE595" s="808">
        <v>-10</v>
      </c>
      <c r="AF595" s="1338">
        <v>0</v>
      </c>
    </row>
    <row r="596" spans="1:32" ht="12.75" customHeight="1" x14ac:dyDescent="0.2">
      <c r="A596" s="237">
        <v>596</v>
      </c>
      <c r="B596" s="5838"/>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78" t="s">
        <v>7290</v>
      </c>
      <c r="U596" s="5879"/>
      <c r="V596" s="902">
        <f>IF($P$256&gt;0,MIN(COUNTIF(Personalización!$V$83:$X$86,Tablas!$T596),1),0)</f>
        <v>0</v>
      </c>
      <c r="X596" s="948" t="s">
        <v>2568</v>
      </c>
      <c r="Y596" s="236"/>
      <c r="Z596" s="236" t="s">
        <v>2569</v>
      </c>
      <c r="AA596" s="933">
        <f>COUNTIF(PDs!$Y$40:$AA$45,Tablas!X596)</f>
        <v>0</v>
      </c>
      <c r="AC596" s="1403" t="s">
        <v>8723</v>
      </c>
      <c r="AD596" s="808">
        <v>10</v>
      </c>
      <c r="AE596" s="808">
        <v>0</v>
      </c>
      <c r="AF596" s="1338">
        <v>-5</v>
      </c>
    </row>
    <row r="597" spans="1:32" ht="12.75" customHeight="1" x14ac:dyDescent="0.2">
      <c r="A597" s="237">
        <v>597</v>
      </c>
      <c r="B597" s="5838"/>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78" t="s">
        <v>7291</v>
      </c>
      <c r="U597" s="5879"/>
      <c r="V597" s="902">
        <f>IF($P$256&gt;0,MIN(COUNTIF(Personalización!$V$83:$X$86,Tablas!$T597),1),0)</f>
        <v>0</v>
      </c>
      <c r="X597" s="948" t="s">
        <v>2570</v>
      </c>
      <c r="Y597" s="236"/>
      <c r="Z597" s="236" t="s">
        <v>2571</v>
      </c>
      <c r="AA597" s="933">
        <f>COUNTIF(PDs!$Y$40:$AA$45,Tablas!X597)</f>
        <v>0</v>
      </c>
      <c r="AC597" s="1403" t="s">
        <v>8721</v>
      </c>
      <c r="AD597" s="808">
        <v>20</v>
      </c>
      <c r="AE597" s="808">
        <v>-20</v>
      </c>
      <c r="AF597" s="1338">
        <v>0</v>
      </c>
    </row>
    <row r="598" spans="1:32" ht="12.75" customHeight="1" thickBot="1" x14ac:dyDescent="0.25">
      <c r="A598" s="237">
        <v>598</v>
      </c>
      <c r="B598" s="5838"/>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56" t="s">
        <v>7292</v>
      </c>
      <c r="U598" s="5957"/>
      <c r="V598" s="905">
        <f>IF($P$256&gt;0,MIN(COUNTIF(Personalización!$V$83:$X$86,Tablas!$T598),1),0)</f>
        <v>0</v>
      </c>
      <c r="X598" s="948" t="s">
        <v>2572</v>
      </c>
      <c r="Y598" s="236"/>
      <c r="Z598" s="236" t="s">
        <v>8617</v>
      </c>
      <c r="AA598" s="933">
        <f>COUNTIF(PDs!$Y$40:$AA$45,Tablas!X598)</f>
        <v>0</v>
      </c>
      <c r="AC598" s="1404" t="s">
        <v>8724</v>
      </c>
      <c r="AD598" s="1306">
        <v>20</v>
      </c>
      <c r="AE598" s="1306">
        <v>0</v>
      </c>
      <c r="AF598" s="1343">
        <v>-10</v>
      </c>
    </row>
    <row r="599" spans="1:32" ht="12.75" customHeight="1" thickBot="1" x14ac:dyDescent="0.25">
      <c r="A599" s="237">
        <v>599</v>
      </c>
      <c r="B599" s="5838"/>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838"/>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931" t="s">
        <v>7294</v>
      </c>
      <c r="U600" s="5932"/>
      <c r="V600" s="5933"/>
      <c r="X600" s="948" t="s">
        <v>2068</v>
      </c>
      <c r="Y600" s="236"/>
      <c r="Z600" s="236" t="s">
        <v>2575</v>
      </c>
      <c r="AA600" s="933">
        <f>COUNTIF(PDs!$Y$40:$AA$45,Tablas!X600)</f>
        <v>0</v>
      </c>
      <c r="AC600" s="5874" t="s">
        <v>1185</v>
      </c>
    </row>
    <row r="601" spans="1:32" ht="12.75" customHeight="1" x14ac:dyDescent="0.2">
      <c r="A601" s="237">
        <v>601</v>
      </c>
      <c r="B601" s="5838"/>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876" t="s">
        <v>6527</v>
      </c>
      <c r="U601" s="5877"/>
      <c r="V601" s="902">
        <f>COUNTIF(Combate!$AB$55:$AG$64,$E$1004)*COUNTIF(Personalización!$AD$84:$AF$86,Tablas!$T601)</f>
        <v>0</v>
      </c>
      <c r="X601" s="948" t="s">
        <v>2576</v>
      </c>
      <c r="Y601" s="236"/>
      <c r="Z601" s="236" t="s">
        <v>2577</v>
      </c>
      <c r="AA601" s="933">
        <f>COUNTIF(PDs!$Y$40:$AA$45,Tablas!X601)</f>
        <v>0</v>
      </c>
      <c r="AC601" s="5875"/>
    </row>
    <row r="602" spans="1:32" ht="12.75" customHeight="1" x14ac:dyDescent="0.2">
      <c r="A602" s="237">
        <v>602</v>
      </c>
      <c r="B602" s="5838"/>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876" t="s">
        <v>7296</v>
      </c>
      <c r="U602" s="5877"/>
      <c r="V602" s="902">
        <f>COUNTIF(Combate!$AB$55:$AG$64,$E$1004)*COUNTIF(Personalización!$AD$84:$AF$86,Tablas!$T602)</f>
        <v>0</v>
      </c>
      <c r="X602" s="948" t="s">
        <v>2578</v>
      </c>
      <c r="Y602" s="236"/>
      <c r="Z602" s="236" t="s">
        <v>2579</v>
      </c>
      <c r="AA602" s="933">
        <f>COUNTIF(PDs!$Y$40:$AA$45,Tablas!X602)</f>
        <v>0</v>
      </c>
      <c r="AC602" s="750">
        <v>-10</v>
      </c>
    </row>
    <row r="603" spans="1:32" ht="12.75" customHeight="1" x14ac:dyDescent="0.2">
      <c r="A603" s="237">
        <v>603</v>
      </c>
      <c r="B603" s="5838"/>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876" t="s">
        <v>134</v>
      </c>
      <c r="U603" s="5877"/>
      <c r="V603" s="902">
        <f>COUNTIF(Combate!$AB$55:$AG$64,$E$1004)*COUNTIF(Personalización!$AD$84:$AF$86,Tablas!$T603)</f>
        <v>0</v>
      </c>
      <c r="X603" s="948" t="s">
        <v>2580</v>
      </c>
      <c r="Y603" s="236"/>
      <c r="Z603" s="236" t="s">
        <v>10178</v>
      </c>
      <c r="AA603" s="933">
        <f>COUNTIF(PDs!$Y$40:$AA$45,Tablas!X603)</f>
        <v>0</v>
      </c>
      <c r="AC603" s="750">
        <v>-5</v>
      </c>
    </row>
    <row r="604" spans="1:32" ht="12.75" customHeight="1" x14ac:dyDescent="0.2">
      <c r="A604" s="237">
        <v>604</v>
      </c>
      <c r="B604" s="5838"/>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876" t="s">
        <v>7299</v>
      </c>
      <c r="U604" s="5877"/>
      <c r="V604" s="902">
        <f>COUNTIF(Combate!$AB$55:$AG$64,$E$1004)*COUNTIF(Personalización!$AD$84:$AF$86,Tablas!$T604)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838"/>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876" t="s">
        <v>7301</v>
      </c>
      <c r="U605" s="5877"/>
      <c r="V605" s="902">
        <f>COUNTIF(Combate!$AB$55:$AG$64,$E$1004)*COUNTIF(Personalización!$AD$84:$AF$86,Tablas!$T605)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838"/>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863" t="s">
        <v>7303</v>
      </c>
      <c r="U606" s="5864"/>
      <c r="V606" s="905">
        <f>COUNTIF(Combate!$AB$55:$AG$64,$E$1004)*COUNTIF(Personalización!$AD$84:$AF$86,Tablas!$T606)</f>
        <v>0</v>
      </c>
      <c r="X606" s="5852" t="str">
        <f>X586</f>
        <v>Tabla de tipología</v>
      </c>
      <c r="Y606" s="5853"/>
      <c r="Z606" s="5853"/>
      <c r="AA606" s="5854"/>
      <c r="AC606" s="750">
        <v>10</v>
      </c>
    </row>
    <row r="607" spans="1:32" ht="12.75" customHeight="1" thickBot="1" x14ac:dyDescent="0.25">
      <c r="A607" s="237">
        <v>607</v>
      </c>
      <c r="B607" s="5838"/>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838"/>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931" t="s">
        <v>7293</v>
      </c>
      <c r="U608" s="5933"/>
      <c r="X608" s="948" t="s">
        <v>2118</v>
      </c>
      <c r="Y608" s="236"/>
      <c r="Z608" s="236" t="s">
        <v>8473</v>
      </c>
      <c r="AA608" s="933">
        <f>COUNTIF(PDs!$Y$40:$AA$45,Tablas!X608)</f>
        <v>0</v>
      </c>
      <c r="AC608" s="750">
        <v>20</v>
      </c>
    </row>
    <row r="609" spans="1:35" ht="12.75" customHeight="1" x14ac:dyDescent="0.2">
      <c r="A609" s="237">
        <v>609</v>
      </c>
      <c r="B609" s="5838"/>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7287</v>
      </c>
      <c r="U609" s="902">
        <f>COUNTIF(Combate!$AB$55:$AG$64,$E$995)*COUNTIF(Personalización!$AH$83:$AJ$85,Tablas!$T609)</f>
        <v>0</v>
      </c>
      <c r="X609" s="948" t="s">
        <v>2130</v>
      </c>
      <c r="Y609" s="236"/>
      <c r="Z609" s="236" t="s">
        <v>8474</v>
      </c>
      <c r="AA609" s="933">
        <f>COUNTIF(PDs!$Y$40:$AA$45,Tablas!X609)</f>
        <v>0</v>
      </c>
      <c r="AC609" s="750">
        <v>25</v>
      </c>
    </row>
    <row r="610" spans="1:35" ht="12.75" customHeight="1" x14ac:dyDescent="0.2">
      <c r="A610" s="237">
        <v>610</v>
      </c>
      <c r="B610" s="5838"/>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7295</v>
      </c>
      <c r="U610" s="902">
        <f>COUNTIF(Combate!$AB$55:$AG$64,$E$995)*COUNTIF(Personalización!$AH$83:$AJ$85,Tablas!$T610)</f>
        <v>0</v>
      </c>
      <c r="X610" s="948" t="s">
        <v>2127</v>
      </c>
      <c r="Y610" s="236"/>
      <c r="Z610" s="236" t="s">
        <v>8475</v>
      </c>
      <c r="AA610" s="933">
        <f>COUNTIF(PDs!$Y$40:$AA$45,Tablas!X610)</f>
        <v>0</v>
      </c>
      <c r="AC610" s="750">
        <v>30</v>
      </c>
    </row>
    <row r="611" spans="1:35" ht="12.75" customHeight="1" x14ac:dyDescent="0.2">
      <c r="A611" s="237">
        <v>611</v>
      </c>
      <c r="B611" s="5838"/>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7297</v>
      </c>
      <c r="U611" s="902">
        <f>COUNTIF(Combate!$AB$55:$AG$64,$E$995)*COUNTIF(Personalización!$AH$83:$AJ$85,Tablas!$T611)</f>
        <v>0</v>
      </c>
      <c r="X611" s="948" t="s">
        <v>2176</v>
      </c>
      <c r="Y611" s="236"/>
      <c r="Z611" s="236" t="s">
        <v>8476</v>
      </c>
      <c r="AA611" s="933">
        <f>COUNTIF(PDs!$Y$40:$AA$45,Tablas!X611)</f>
        <v>0</v>
      </c>
      <c r="AC611" s="750">
        <v>35</v>
      </c>
    </row>
    <row r="612" spans="1:35" ht="12.75" customHeight="1" x14ac:dyDescent="0.2">
      <c r="A612" s="237">
        <v>612</v>
      </c>
      <c r="B612" s="5838"/>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7298</v>
      </c>
      <c r="U612" s="902">
        <f>COUNTIF(Combate!$AB$55:$AG$64,$E$995)*COUNTIF(Personalización!$AH$83:$AJ$85,Tablas!$T612)</f>
        <v>0</v>
      </c>
      <c r="X612" s="948" t="s">
        <v>2132</v>
      </c>
      <c r="Y612" s="236"/>
      <c r="Z612" s="236" t="s">
        <v>8477</v>
      </c>
      <c r="AA612" s="933">
        <f>COUNTIF(PDs!$Y$40:$AA$45,Tablas!X612)</f>
        <v>0</v>
      </c>
      <c r="AC612" s="750">
        <v>40</v>
      </c>
    </row>
    <row r="613" spans="1:35" ht="12.75" customHeight="1" x14ac:dyDescent="0.2">
      <c r="A613" s="237">
        <v>613</v>
      </c>
      <c r="B613" s="5838"/>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7300</v>
      </c>
      <c r="U613" s="902">
        <f>COUNTIF(Combate!$AB$55:$AG$64,$E$995)*COUNTIF(Personalización!$AH$83:$AJ$85,Tablas!$T613)</f>
        <v>0</v>
      </c>
      <c r="X613" s="948" t="s">
        <v>2152</v>
      </c>
      <c r="Y613" s="236"/>
      <c r="Z613" s="236" t="s">
        <v>8478</v>
      </c>
      <c r="AA613" s="933">
        <f>COUNTIF(PDs!$Y$40:$AA$45,Tablas!X613)</f>
        <v>0</v>
      </c>
      <c r="AC613" s="750">
        <v>45</v>
      </c>
    </row>
    <row r="614" spans="1:35" ht="12.75" customHeight="1" thickBot="1" x14ac:dyDescent="0.25">
      <c r="A614" s="237">
        <v>614</v>
      </c>
      <c r="B614" s="5838"/>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7302</v>
      </c>
      <c r="U614" s="905">
        <f>COUNTIF(Combate!$AB$55:$AG$64,$E$995)*COUNTIF(Personalización!$AH$83:$AJ$85,Tablas!$T614)</f>
        <v>0</v>
      </c>
      <c r="X614" s="948" t="s">
        <v>2119</v>
      </c>
      <c r="Y614" s="236"/>
      <c r="Z614" s="236" t="s">
        <v>8479</v>
      </c>
      <c r="AA614" s="933">
        <f>COUNTIF(PDs!$Y$40:$AA$45,Tablas!X614)</f>
        <v>0</v>
      </c>
      <c r="AC614" s="751">
        <v>50</v>
      </c>
    </row>
    <row r="615" spans="1:35" ht="12.75" customHeight="1" x14ac:dyDescent="0.2">
      <c r="A615" s="237">
        <v>615</v>
      </c>
      <c r="B615" s="5838"/>
      <c r="C615" s="5865" t="s">
        <v>7515</v>
      </c>
      <c r="D615" s="5866"/>
      <c r="E615" s="5866"/>
      <c r="F615" s="5866"/>
      <c r="G615" s="5866"/>
      <c r="H615" s="5866"/>
      <c r="I615" s="592"/>
      <c r="N615"/>
      <c r="O615" s="592"/>
      <c r="X615" s="948" t="s">
        <v>2148</v>
      </c>
      <c r="Y615" s="236"/>
      <c r="Z615" s="236" t="s">
        <v>8480</v>
      </c>
      <c r="AA615" s="933">
        <f>COUNTIF(PDs!$Y$40:$AA$45,Tablas!X615)</f>
        <v>0</v>
      </c>
      <c r="AC615" s="237"/>
    </row>
    <row r="616" spans="1:35" ht="12.75" customHeight="1" thickBot="1" x14ac:dyDescent="0.25">
      <c r="A616" s="237">
        <v>616</v>
      </c>
      <c r="B616" s="5838"/>
      <c r="H616"/>
      <c r="I616" s="592"/>
      <c r="N616"/>
      <c r="O616" s="592"/>
      <c r="X616" s="948" t="s">
        <v>2122</v>
      </c>
      <c r="Y616" s="236"/>
      <c r="Z616" s="236" t="s">
        <v>8481</v>
      </c>
      <c r="AA616" s="933">
        <f>COUNTIF(PDs!$Y$40:$AA$45,Tablas!X616)</f>
        <v>0</v>
      </c>
      <c r="AC616" s="237"/>
    </row>
    <row r="617" spans="1:35" ht="12.75" customHeight="1" x14ac:dyDescent="0.2">
      <c r="A617" s="237">
        <v>617</v>
      </c>
      <c r="B617" s="5838"/>
      <c r="C617" s="5898" t="s">
        <v>1186</v>
      </c>
      <c r="D617" s="5898"/>
      <c r="E617" s="5898"/>
      <c r="F617" s="5898"/>
      <c r="G617" s="5898"/>
      <c r="H617" s="5898"/>
      <c r="I617" s="5898"/>
      <c r="J617" s="5898"/>
      <c r="K617" s="5898"/>
      <c r="L617" s="5898"/>
      <c r="M617" s="5898"/>
      <c r="N617" s="5898"/>
      <c r="O617" s="5898"/>
      <c r="P617" s="5898"/>
      <c r="Q617" s="5898"/>
      <c r="X617" s="948" t="s">
        <v>2206</v>
      </c>
      <c r="Y617" s="236"/>
      <c r="Z617" s="236" t="s">
        <v>8784</v>
      </c>
      <c r="AA617" s="933">
        <f>COUNTIF(PDs!$Y$40:$AA$45,Tablas!X617)</f>
        <v>0</v>
      </c>
    </row>
    <row r="618" spans="1:35" ht="12.75" customHeight="1" thickBot="1" x14ac:dyDescent="0.25">
      <c r="A618" s="237">
        <v>618</v>
      </c>
      <c r="B618" s="5838"/>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8482</v>
      </c>
      <c r="AA618" s="1105">
        <f>COUNTIF(PDs!$Y$40:$AA$45,Tablas!X618)</f>
        <v>0</v>
      </c>
    </row>
    <row r="619" spans="1:35" ht="12.75" customHeight="1" thickBot="1" x14ac:dyDescent="0.25">
      <c r="A619" s="237">
        <v>619</v>
      </c>
      <c r="B619" s="5838"/>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838"/>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50" t="s">
        <v>7452</v>
      </c>
      <c r="T620" s="4595"/>
      <c r="U620" s="4595"/>
      <c r="V620" s="4595"/>
      <c r="W620" s="4595"/>
      <c r="X620" s="4595"/>
      <c r="Y620" s="4595"/>
      <c r="Z620" s="4595"/>
      <c r="AA620" s="4595"/>
      <c r="AC620" s="5928" t="s">
        <v>1196</v>
      </c>
      <c r="AD620" s="5928"/>
      <c r="AE620" s="5928"/>
      <c r="AF620" s="5928"/>
      <c r="AG620" s="5928"/>
      <c r="AH620" s="5928"/>
      <c r="AI620" s="5928"/>
    </row>
    <row r="621" spans="1:35" ht="12.75" customHeight="1" thickBot="1" x14ac:dyDescent="0.25">
      <c r="A621" s="237">
        <v>621</v>
      </c>
      <c r="B621" s="5838"/>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50"/>
      <c r="T621" s="4595"/>
      <c r="U621" s="4595"/>
      <c r="V621" s="4595"/>
      <c r="W621" s="4595"/>
      <c r="X621" s="4595"/>
      <c r="Y621" s="4595"/>
      <c r="Z621" s="4595"/>
      <c r="AA621" s="4595"/>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838"/>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62" t="s">
        <v>8483</v>
      </c>
      <c r="T622" s="6063"/>
      <c r="U622" s="1098" t="str">
        <f>Arma_Desarrollada</f>
        <v>Desarmado</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838"/>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913" t="s">
        <v>8487</v>
      </c>
      <c r="T623" s="5914"/>
      <c r="U623" s="1098" t="str">
        <f>IF(V623="","",", "&amp;V623)&amp;IF(W623="","",", "&amp;W623)&amp;IF(X623="","",", "&amp;X623)&amp;IF(Y623="","",", "&amp;Y623)&amp;IF(Z623="","",", "&amp;Z623)&amp;IF(AA623="","",", "&amp;AA623)</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838"/>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913" t="s">
        <v>8484</v>
      </c>
      <c r="T624" s="5914"/>
      <c r="U624" s="1098" t="str">
        <f>IF(V624="","",", "&amp;V624)&amp;IF(W624="","",", "&amp;W624)&amp;IF(X624="","",", "&amp;X624)&amp;IF(Y624="","",", "&amp;Y624)&amp;IF(Z624="","",", "&amp;Z624)&amp;IF(AA624="","",", "&amp;AA624)</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838"/>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913" t="s">
        <v>8485</v>
      </c>
      <c r="T625" s="5914"/>
      <c r="U625" s="1098" t="str">
        <f>IF(V625="","",", "&amp;V625)&amp;IF(W625="","",", "&amp;W625)&amp;IF(X625="","",", "&amp;X625)</f>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838"/>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913" t="s">
        <v>8486</v>
      </c>
      <c r="T626" s="5914"/>
      <c r="U626" s="1099" t="str">
        <f>IF(V626="","",", "&amp;V626)&amp;IF(W626="","",", "&amp;W626)&amp;IF(X626="","",", "&amp;X626)&amp;IF(Y626="","",", "&amp;Y626)&amp;IF(Z626="","",", "&amp;Z626)&amp;IF(AA626="","",", "&amp;AA626)</f>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838"/>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43" t="s">
        <v>3218</v>
      </c>
      <c r="T627" s="5912"/>
      <c r="U627" s="1100" t="str">
        <f>U622&amp;U623&amp;U624&amp;U625&amp;U626</f>
        <v>Desarmado</v>
      </c>
      <c r="V627" s="1101"/>
      <c r="W627" s="1101"/>
      <c r="X627" s="1101"/>
      <c r="Y627" s="1323"/>
      <c r="Z627" s="1323"/>
      <c r="AA627" s="1324"/>
    </row>
    <row r="628" spans="1:73" ht="12.75" customHeight="1" thickBot="1" x14ac:dyDescent="0.25">
      <c r="A628" s="237">
        <v>628</v>
      </c>
      <c r="B628" s="5838"/>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838"/>
    </row>
    <row r="630" spans="1:73" ht="12.75" customHeight="1" x14ac:dyDescent="0.2">
      <c r="A630" s="237">
        <v>630</v>
      </c>
      <c r="B630" s="5838"/>
    </row>
    <row r="631" spans="1:73" ht="12.75" customHeight="1" x14ac:dyDescent="0.2">
      <c r="A631" s="237">
        <v>631</v>
      </c>
      <c r="B631" s="5838"/>
    </row>
    <row r="632" spans="1:73" ht="12.75" customHeight="1" x14ac:dyDescent="0.2">
      <c r="A632" s="237">
        <v>632</v>
      </c>
      <c r="B632" s="5838"/>
      <c r="AG632" s="5885" t="s">
        <v>8937</v>
      </c>
      <c r="AH632" s="5885"/>
      <c r="AI632" s="5885"/>
      <c r="AJ632" s="5885"/>
      <c r="AK632" s="5885"/>
      <c r="AL632" s="5885"/>
      <c r="AM632" s="5885"/>
      <c r="AN632" s="5885"/>
      <c r="AO632" s="5885"/>
      <c r="AP632" s="5885"/>
      <c r="AQ632" s="5885"/>
      <c r="AR632" s="5885"/>
      <c r="AS632" s="5885"/>
      <c r="AT632" s="5885"/>
      <c r="AU632" s="5885"/>
      <c r="AV632" s="5885"/>
      <c r="AW632" s="5885"/>
      <c r="AX632" s="5885"/>
      <c r="AY632" s="5885"/>
      <c r="AZ632" s="5885"/>
      <c r="BA632" s="5885"/>
      <c r="BB632" s="5885"/>
      <c r="BC632" s="5885"/>
      <c r="BD632" s="5885"/>
      <c r="BE632" s="5885"/>
      <c r="BF632" s="5885"/>
      <c r="BG632" s="5885"/>
      <c r="BH632" s="5885"/>
      <c r="BI632" s="5885"/>
      <c r="BJ632" s="5885"/>
      <c r="BK632" s="5885"/>
      <c r="BL632" s="5885"/>
      <c r="BM632" s="5885"/>
      <c r="BN632" s="5885"/>
      <c r="BO632" s="5885"/>
      <c r="BP632" s="5885"/>
      <c r="BQ632" s="5885"/>
      <c r="BR632" s="5885"/>
      <c r="BS632" s="5885"/>
      <c r="BT632" s="5885"/>
      <c r="BU632" s="5885"/>
    </row>
    <row r="633" spans="1:73" ht="12.75" customHeight="1" thickBot="1" x14ac:dyDescent="0.25">
      <c r="A633" s="237">
        <v>633</v>
      </c>
      <c r="B633" s="5838"/>
      <c r="AG633" s="5885"/>
      <c r="AH633" s="5885"/>
      <c r="AI633" s="5885"/>
      <c r="AJ633" s="5885"/>
      <c r="AK633" s="5885"/>
      <c r="AL633" s="5885"/>
      <c r="AM633" s="5885"/>
      <c r="AN633" s="5885"/>
      <c r="AO633" s="5885"/>
      <c r="AP633" s="5885"/>
      <c r="AQ633" s="5885"/>
      <c r="AR633" s="5885"/>
      <c r="AS633" s="5885"/>
      <c r="AT633" s="5885"/>
      <c r="AU633" s="5885"/>
      <c r="AV633" s="5885"/>
      <c r="AW633" s="5885"/>
      <c r="AX633" s="5885"/>
      <c r="AY633" s="5885"/>
      <c r="AZ633" s="5885"/>
      <c r="BA633" s="5885"/>
      <c r="BB633" s="5885"/>
      <c r="BC633" s="5885"/>
      <c r="BD633" s="5885"/>
      <c r="BE633" s="5885"/>
      <c r="BF633" s="5885"/>
      <c r="BG633" s="5885"/>
      <c r="BH633" s="5885"/>
      <c r="BI633" s="5885"/>
      <c r="BJ633" s="5885"/>
      <c r="BK633" s="5885"/>
      <c r="BL633" s="5885"/>
      <c r="BM633" s="5885"/>
      <c r="BN633" s="5885"/>
      <c r="BO633" s="5885"/>
      <c r="BP633" s="5885"/>
      <c r="BQ633" s="5885"/>
      <c r="BR633" s="5885"/>
      <c r="BS633" s="5885"/>
      <c r="BT633" s="5885"/>
      <c r="BU633" s="5885"/>
    </row>
    <row r="634" spans="1:73" ht="12.75" customHeight="1" thickBot="1" x14ac:dyDescent="0.25">
      <c r="A634" s="237">
        <v>634</v>
      </c>
      <c r="B634" s="5838"/>
      <c r="C634" s="5868" t="s">
        <v>2102</v>
      </c>
      <c r="D634" s="5869"/>
      <c r="E634" s="5869"/>
      <c r="F634" s="5869"/>
      <c r="G634" s="5869"/>
      <c r="H634" s="5869"/>
      <c r="I634" s="5869"/>
      <c r="J634" s="5869"/>
      <c r="K634" s="5869"/>
      <c r="L634" s="5869"/>
      <c r="M634" s="5869"/>
      <c r="N634" s="5869"/>
      <c r="O634" s="5869"/>
      <c r="P634" s="5869"/>
      <c r="Q634" s="5869"/>
      <c r="R634" s="5869"/>
      <c r="S634" s="5869"/>
      <c r="T634" s="5869"/>
      <c r="U634" s="5869"/>
      <c r="V634" s="5869"/>
      <c r="W634" s="5869"/>
      <c r="X634" s="5869"/>
      <c r="Y634" s="5870"/>
      <c r="Z634" s="5368" t="s">
        <v>7424</v>
      </c>
      <c r="AB634" s="1444"/>
      <c r="AC634" s="1444"/>
      <c r="AD634" s="1444"/>
      <c r="AG634" s="4731" t="s">
        <v>8923</v>
      </c>
      <c r="AH634" s="4761"/>
      <c r="AI634" s="4761"/>
      <c r="AJ634" s="4761"/>
      <c r="AK634" s="4762"/>
      <c r="AL634" s="1444">
        <f>PDs!Y40</f>
        <v>0</v>
      </c>
      <c r="AM634" s="5867"/>
      <c r="AN634" s="4731" t="s">
        <v>8924</v>
      </c>
      <c r="AO634" s="4761"/>
      <c r="AP634" s="4761"/>
      <c r="AQ634" s="5861"/>
      <c r="AR634" s="5862"/>
      <c r="AS634" s="1444">
        <f>PDs!Y41</f>
        <v>0</v>
      </c>
      <c r="AT634" s="5867"/>
      <c r="AU634" s="4731" t="s">
        <v>8925</v>
      </c>
      <c r="AV634" s="4761"/>
      <c r="AW634" s="4761"/>
      <c r="AX634" s="4761"/>
      <c r="AY634" s="4762"/>
      <c r="AZ634" s="1444">
        <f>PDs!Y42</f>
        <v>0</v>
      </c>
      <c r="BA634" s="5867"/>
      <c r="BB634" s="4731" t="s">
        <v>8926</v>
      </c>
      <c r="BC634" s="4761"/>
      <c r="BD634" s="4761"/>
      <c r="BE634" s="4761"/>
      <c r="BF634" s="4762"/>
      <c r="BG634" s="1444">
        <f>PDs!Y43</f>
        <v>0</v>
      </c>
      <c r="BH634" s="5867"/>
      <c r="BI634" s="4731" t="s">
        <v>8927</v>
      </c>
      <c r="BJ634" s="4761"/>
      <c r="BK634" s="4761"/>
      <c r="BL634" s="4761"/>
      <c r="BM634" s="4762"/>
      <c r="BN634" s="1444">
        <f>PDs!Y44</f>
        <v>0</v>
      </c>
      <c r="BO634" s="5867"/>
      <c r="BP634" s="4731" t="s">
        <v>8928</v>
      </c>
      <c r="BQ634" s="4761"/>
      <c r="BR634" s="4761"/>
      <c r="BS634" s="4761"/>
      <c r="BT634" s="4762"/>
      <c r="BU634" s="1444">
        <f>PDs!Y45</f>
        <v>0</v>
      </c>
    </row>
    <row r="635" spans="1:73" ht="12.75" customHeight="1" thickBot="1" x14ac:dyDescent="0.25">
      <c r="A635" s="237">
        <v>635</v>
      </c>
      <c r="B635" s="5838"/>
      <c r="C635" s="5871"/>
      <c r="D635" s="5872"/>
      <c r="E635" s="5872"/>
      <c r="F635" s="5872"/>
      <c r="G635" s="5872"/>
      <c r="H635" s="5872"/>
      <c r="I635" s="5872"/>
      <c r="J635" s="5872"/>
      <c r="K635" s="5872"/>
      <c r="L635" s="5872"/>
      <c r="M635" s="5872"/>
      <c r="N635" s="5872"/>
      <c r="O635" s="5872"/>
      <c r="P635" s="5872"/>
      <c r="Q635" s="5872"/>
      <c r="R635" s="5872"/>
      <c r="S635" s="5872"/>
      <c r="T635" s="5872"/>
      <c r="U635" s="5872"/>
      <c r="V635" s="5872"/>
      <c r="W635" s="5872"/>
      <c r="X635" s="5872"/>
      <c r="Y635" s="5873"/>
      <c r="Z635" s="5859"/>
      <c r="AG635" s="1748" t="s">
        <v>1214</v>
      </c>
      <c r="AH635" s="1749" t="s">
        <v>1213</v>
      </c>
      <c r="AI635" s="1772" t="s">
        <v>1212</v>
      </c>
      <c r="AJ635" s="1748" t="s">
        <v>1214</v>
      </c>
      <c r="AK635" s="1749" t="s">
        <v>1213</v>
      </c>
      <c r="AL635" s="1772" t="s">
        <v>1212</v>
      </c>
      <c r="AM635" s="5867"/>
      <c r="AN635" s="1748" t="s">
        <v>1214</v>
      </c>
      <c r="AO635" s="1749" t="s">
        <v>1213</v>
      </c>
      <c r="AP635" s="1772" t="s">
        <v>1212</v>
      </c>
      <c r="AQ635" s="1748" t="s">
        <v>1214</v>
      </c>
      <c r="AR635" s="1749" t="s">
        <v>1213</v>
      </c>
      <c r="AS635" s="1772" t="s">
        <v>1212</v>
      </c>
      <c r="AT635" s="5867"/>
      <c r="AU635" s="1748" t="s">
        <v>1214</v>
      </c>
      <c r="AV635" s="1749" t="s">
        <v>1213</v>
      </c>
      <c r="AW635" s="1772" t="s">
        <v>1212</v>
      </c>
      <c r="AX635" s="1748" t="s">
        <v>1214</v>
      </c>
      <c r="AY635" s="1749" t="s">
        <v>1213</v>
      </c>
      <c r="AZ635" s="1772" t="s">
        <v>1212</v>
      </c>
      <c r="BA635" s="5867"/>
      <c r="BB635" s="1748" t="s">
        <v>1214</v>
      </c>
      <c r="BC635" s="1749" t="s">
        <v>1213</v>
      </c>
      <c r="BD635" s="1772" t="s">
        <v>1212</v>
      </c>
      <c r="BE635" s="1748" t="s">
        <v>1214</v>
      </c>
      <c r="BF635" s="1749" t="s">
        <v>1213</v>
      </c>
      <c r="BG635" s="1772" t="s">
        <v>1212</v>
      </c>
      <c r="BH635" s="5867"/>
      <c r="BI635" s="1748" t="s">
        <v>1214</v>
      </c>
      <c r="BJ635" s="1749" t="s">
        <v>1213</v>
      </c>
      <c r="BK635" s="1772" t="s">
        <v>1212</v>
      </c>
      <c r="BL635" s="1748" t="s">
        <v>1214</v>
      </c>
      <c r="BM635" s="1749" t="s">
        <v>1213</v>
      </c>
      <c r="BN635" s="1772" t="s">
        <v>1212</v>
      </c>
      <c r="BO635" s="5867"/>
      <c r="BP635" s="1748" t="s">
        <v>1214</v>
      </c>
      <c r="BQ635" s="1749" t="s">
        <v>1213</v>
      </c>
      <c r="BR635" s="1772" t="s">
        <v>1212</v>
      </c>
      <c r="BS635" s="1748" t="s">
        <v>1214</v>
      </c>
      <c r="BT635" s="1749" t="s">
        <v>1213</v>
      </c>
      <c r="BU635" s="1772" t="s">
        <v>1212</v>
      </c>
    </row>
    <row r="636" spans="1:73" ht="12.75" customHeight="1" thickBot="1" x14ac:dyDescent="0.25">
      <c r="A636" s="237">
        <v>636</v>
      </c>
      <c r="B636" s="5838"/>
      <c r="C636" s="1125"/>
      <c r="D636" s="2955">
        <v>1</v>
      </c>
      <c r="E636" s="2955">
        <v>2</v>
      </c>
      <c r="F636" s="2955">
        <v>3</v>
      </c>
      <c r="G636" s="2955">
        <v>4</v>
      </c>
      <c r="H636" s="2955">
        <v>5</v>
      </c>
      <c r="I636" s="2955">
        <v>6</v>
      </c>
      <c r="J636" s="2955">
        <v>7</v>
      </c>
      <c r="K636" s="2955">
        <v>8</v>
      </c>
      <c r="L636" s="2955">
        <v>9</v>
      </c>
      <c r="M636" s="2955">
        <v>10</v>
      </c>
      <c r="N636" s="2955">
        <v>11</v>
      </c>
      <c r="O636" s="2955">
        <v>12</v>
      </c>
      <c r="P636" s="2955">
        <v>13</v>
      </c>
      <c r="Q636" s="2955">
        <v>14</v>
      </c>
      <c r="R636" s="2955">
        <v>15</v>
      </c>
      <c r="S636" s="2955">
        <v>16</v>
      </c>
      <c r="T636" s="2955">
        <v>17</v>
      </c>
      <c r="U636" s="2955">
        <v>18</v>
      </c>
      <c r="V636" s="2955">
        <v>19</v>
      </c>
      <c r="W636" s="2955">
        <v>20</v>
      </c>
      <c r="X636" s="2955">
        <v>21</v>
      </c>
      <c r="Y636" s="1126">
        <v>22</v>
      </c>
      <c r="Z636" s="5369"/>
      <c r="AB636" s="5847" t="s">
        <v>1208</v>
      </c>
      <c r="AC636" s="5848"/>
      <c r="AD636" s="5848"/>
      <c r="AE636" s="5849"/>
      <c r="AF636" s="1459"/>
      <c r="AG636" s="1439" t="s">
        <v>8535</v>
      </c>
      <c r="AH636" s="1440" t="s">
        <v>8535</v>
      </c>
      <c r="AI636" s="1441" t="s">
        <v>8535</v>
      </c>
      <c r="AJ636" s="1439" t="s">
        <v>2665</v>
      </c>
      <c r="AK636" s="1440" t="s">
        <v>2665</v>
      </c>
      <c r="AL636" s="1441" t="s">
        <v>2665</v>
      </c>
      <c r="AM636" s="5867"/>
      <c r="AN636" s="1439" t="s">
        <v>8535</v>
      </c>
      <c r="AO636" s="1440" t="s">
        <v>8535</v>
      </c>
      <c r="AP636" s="1441" t="s">
        <v>8535</v>
      </c>
      <c r="AQ636" s="1439" t="s">
        <v>2665</v>
      </c>
      <c r="AR636" s="1440" t="s">
        <v>2665</v>
      </c>
      <c r="AS636" s="1441" t="s">
        <v>2665</v>
      </c>
      <c r="AT636" s="5867"/>
      <c r="AU636" s="1439" t="s">
        <v>8535</v>
      </c>
      <c r="AV636" s="1440" t="s">
        <v>8535</v>
      </c>
      <c r="AW636" s="1441" t="s">
        <v>8535</v>
      </c>
      <c r="AX636" s="1439" t="s">
        <v>2665</v>
      </c>
      <c r="AY636" s="1440" t="s">
        <v>2665</v>
      </c>
      <c r="AZ636" s="1441" t="s">
        <v>2665</v>
      </c>
      <c r="BA636" s="5867"/>
      <c r="BB636" s="1439" t="s">
        <v>8535</v>
      </c>
      <c r="BC636" s="1440" t="s">
        <v>8535</v>
      </c>
      <c r="BD636" s="1441" t="s">
        <v>8535</v>
      </c>
      <c r="BE636" s="1439" t="s">
        <v>2665</v>
      </c>
      <c r="BF636" s="1440" t="s">
        <v>2665</v>
      </c>
      <c r="BG636" s="1441" t="s">
        <v>2665</v>
      </c>
      <c r="BH636" s="5867"/>
      <c r="BI636" s="1439" t="s">
        <v>8535</v>
      </c>
      <c r="BJ636" s="1440" t="s">
        <v>8535</v>
      </c>
      <c r="BK636" s="1441" t="s">
        <v>8535</v>
      </c>
      <c r="BL636" s="1439" t="s">
        <v>2665</v>
      </c>
      <c r="BM636" s="1440" t="s">
        <v>2665</v>
      </c>
      <c r="BN636" s="1441" t="s">
        <v>2665</v>
      </c>
      <c r="BO636" s="5867"/>
      <c r="BP636" s="1439" t="s">
        <v>8535</v>
      </c>
      <c r="BQ636" s="1440" t="s">
        <v>8535</v>
      </c>
      <c r="BR636" s="1441" t="s">
        <v>8535</v>
      </c>
      <c r="BS636" s="1439" t="s">
        <v>2665</v>
      </c>
      <c r="BT636" s="1440" t="s">
        <v>2665</v>
      </c>
      <c r="BU636" s="1441" t="s">
        <v>2665</v>
      </c>
    </row>
    <row r="637" spans="1:73" ht="12.75" customHeight="1" thickBot="1" x14ac:dyDescent="0.25">
      <c r="A637" s="237">
        <v>637</v>
      </c>
      <c r="B637" s="5838"/>
      <c r="C637" s="2967"/>
      <c r="D637" s="2887" t="s">
        <v>1418</v>
      </c>
      <c r="E637" s="2887" t="s">
        <v>1570</v>
      </c>
      <c r="F637" s="2887" t="s">
        <v>1396</v>
      </c>
      <c r="G637" s="2887" t="s">
        <v>2103</v>
      </c>
      <c r="H637" s="2887" t="s">
        <v>2104</v>
      </c>
      <c r="I637" s="2887" t="s">
        <v>2105</v>
      </c>
      <c r="J637" s="2887" t="s">
        <v>2106</v>
      </c>
      <c r="K637" s="2887" t="s">
        <v>2107</v>
      </c>
      <c r="L637" s="2887" t="s">
        <v>7476</v>
      </c>
      <c r="M637" s="2887" t="s">
        <v>1970</v>
      </c>
      <c r="N637" s="2887" t="s">
        <v>1574</v>
      </c>
      <c r="O637" s="2887" t="s">
        <v>2108</v>
      </c>
      <c r="P637" s="2887" t="s">
        <v>2109</v>
      </c>
      <c r="Q637" s="2887" t="s">
        <v>2110</v>
      </c>
      <c r="R637" s="2887" t="s">
        <v>2111</v>
      </c>
      <c r="S637" s="2887" t="s">
        <v>2112</v>
      </c>
      <c r="T637" s="2887" t="s">
        <v>2113</v>
      </c>
      <c r="U637" s="2887" t="s">
        <v>2114</v>
      </c>
      <c r="V637" s="2968" t="s">
        <v>1480</v>
      </c>
      <c r="W637" s="2968"/>
      <c r="X637" s="2968" t="s">
        <v>1907</v>
      </c>
      <c r="Y637" s="2969" t="s">
        <v>10283</v>
      </c>
      <c r="Z637" s="2970"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$810&amp;$Z$811&amp;$Z$812&amp;$Z$813&amp;$Z$814&amp;$Z$815&amp;$Z$816&amp;$Z$817&amp;$Z$818</f>
        <v/>
      </c>
      <c r="AB637" s="5850"/>
      <c r="AC637" s="4595"/>
      <c r="AD637" s="4595"/>
      <c r="AE637" s="5851"/>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867"/>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867"/>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867"/>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867"/>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867"/>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838"/>
      <c r="C638" s="1208"/>
      <c r="D638" s="2966" t="s">
        <v>2115</v>
      </c>
      <c r="E638" s="2952"/>
      <c r="F638" s="2952"/>
      <c r="G638" s="2952"/>
      <c r="H638" s="2952"/>
      <c r="I638" s="2952"/>
      <c r="J638" s="2952"/>
      <c r="K638" s="2946" t="s">
        <v>7475</v>
      </c>
      <c r="L638" s="2956" t="str">
        <f>IF(ISNUMBER(SEARCH($D638,Armas_Conocidas)),"Conocida",IF(ISNUMBER(SEARCH(LEFT($K638,SEARCH("/",$K638)),Tipologías_Conocidas)),IF(ISNUMBER(SEARCH($K638,Tipologías_Conocidas)),"Similar","Mixta"),"Distinta"))</f>
        <v>Conocida</v>
      </c>
      <c r="M638" s="2952"/>
      <c r="N638" s="2952"/>
      <c r="O638" s="2952"/>
      <c r="P638" s="2952"/>
      <c r="Q638" s="2952"/>
      <c r="R638" s="2952"/>
      <c r="S638" s="2952"/>
      <c r="T638" s="2952"/>
      <c r="U638" s="2952"/>
      <c r="V638" s="2946"/>
      <c r="W638" s="2952"/>
      <c r="X638" s="2945" t="s">
        <v>8886</v>
      </c>
      <c r="Y638" s="2886">
        <f>Bono_Fue</f>
        <v>0</v>
      </c>
      <c r="Z638" s="1326" t="str">
        <f>IF(AND(K638&lt;&gt;"Natural/-",ISNUMBER(SEARCH(D638,Armas_Conocidas))),", "&amp;K638,"")</f>
        <v/>
      </c>
      <c r="AA638" s="592" t="str">
        <f>IF(AND($K$638:$K$817&lt;&gt;"Natural/-",ISNUMBER(SEARCH($D$638:$D$817,Armas_Conocidas))),CONCATENATE($K$638:$K$817),"")</f>
        <v/>
      </c>
      <c r="AB638" s="1439" t="s">
        <v>8823</v>
      </c>
      <c r="AC638" s="1440" t="s">
        <v>1583</v>
      </c>
      <c r="AD638" s="1440" t="s">
        <v>8751</v>
      </c>
      <c r="AE638" s="1441" t="s">
        <v>8824</v>
      </c>
      <c r="AF638" s="1460"/>
      <c r="AG638" s="907" t="str">
        <f t="shared" ref="AG638:AG669" si="81">IF(ISNA(INDEX(Lista_Armas,MATCH($A1,AJ$638:AJ$774,0))),"",INDEX(Lista_Armas,MATCH($A1,AJ$638:AJ$774,0)))</f>
        <v>&gt; ARMAS COMUNES</v>
      </c>
      <c r="AH638" s="86" t="str">
        <f t="shared" ref="AH638:AH669" si="82">IF(ISNA(INDEX(Lista_Armas,MATCH($A1,AK$638:AK$774,0))),"",INDEX(Lista_Armas,MATCH($A1,AK$638:AK$774,0)))</f>
        <v>&gt; ARMAS COMUNES</v>
      </c>
      <c r="AI638" s="86" t="str">
        <f t="shared" ref="AI638:AI669" si="83">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867"/>
      <c r="AN638" s="907" t="str">
        <f t="shared" ref="AN638:AN669" si="84">IF(ISNA(INDEX(Lista_Armas,MATCH($A1,AQ$638:AQ$774,0))),"",INDEX(Lista_Armas,MATCH($A1,AQ$638:AQ$774,0)))</f>
        <v>&gt; ARMAS COMUNES</v>
      </c>
      <c r="AO638" s="86" t="str">
        <f t="shared" ref="AO638:AO669" si="85">IF(ISNA(INDEX(Lista_Armas,MATCH($A1,AR$638:AR$774,0))),"",INDEX(Lista_Armas,MATCH($A1,AR$638:AR$774,0)))</f>
        <v>&gt; ARMAS COMUNES</v>
      </c>
      <c r="AP638" s="86" t="str">
        <f t="shared" ref="AP638:AP669" si="86">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867"/>
      <c r="AU638" s="907" t="str">
        <f t="shared" ref="AU638:AU669" si="87">IF(ISNA(INDEX(Lista_Armas,MATCH($A1,AX$638:AX$774,0))),"",INDEX(Lista_Armas,MATCH($A1,AX$638:AX$774,0)))</f>
        <v>&gt; ARMAS COMUNES</v>
      </c>
      <c r="AV638" s="86" t="str">
        <f t="shared" ref="AV638:AV669" si="88">IF(ISNA(INDEX(Lista_Armas,MATCH($A1,AY$638:AY$774,0))),"",INDEX(Lista_Armas,MATCH($A1,AY$638:AY$774,0)))</f>
        <v>&gt; ARMAS COMUNES</v>
      </c>
      <c r="AW638" s="86" t="str">
        <f t="shared" ref="AW638:AW669" si="89">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867"/>
      <c r="BB638" s="907" t="str">
        <f t="shared" ref="BB638:BB669" si="90">IF(ISNA(INDEX(Lista_Armas,MATCH($A1,BE$638:BE$774,0))),"",INDEX(Lista_Armas,MATCH($A1,BE$638:BE$774,0)))</f>
        <v>&gt; ARMAS COMUNES</v>
      </c>
      <c r="BC638" s="86" t="str">
        <f t="shared" ref="BC638:BC669" si="91">IF(ISNA(INDEX(Lista_Armas,MATCH($A1,BF$638:BF$774,0))),"",INDEX(Lista_Armas,MATCH($A1,BF$638:BF$774,0)))</f>
        <v>&gt; ARMAS COMUNES</v>
      </c>
      <c r="BD638" s="86" t="str">
        <f t="shared" ref="BD638:BD669" si="92">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867"/>
      <c r="BI638" s="907" t="str">
        <f t="shared" ref="BI638:BI669" si="93">IF(ISNA(INDEX(Lista_Armas,MATCH($A1,BL$638:BL$774,0))),"",INDEX(Lista_Armas,MATCH($A1,BL$638:BL$774,0)))</f>
        <v>&gt; ARMAS COMUNES</v>
      </c>
      <c r="BJ638" s="86" t="str">
        <f t="shared" ref="BJ638:BJ669" si="94">IF(ISNA(INDEX(Lista_Armas,MATCH($A1,BM$638:BM$774,0))),"",INDEX(Lista_Armas,MATCH($A1,BM$638:BM$774,0)))</f>
        <v>&gt; ARMAS COMUNES</v>
      </c>
      <c r="BK638" s="86" t="str">
        <f t="shared" ref="BK638:BK669" si="95">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867"/>
      <c r="BP638" s="907" t="str">
        <f t="shared" ref="BP638:BP669" si="96">IF(ISNA(INDEX(Lista_Armas,MATCH($A1,BS$638:BS$774,0))),"",INDEX(Lista_Armas,MATCH($A1,BS$638:BS$774,0)))</f>
        <v>&gt; ARMAS COMUNES</v>
      </c>
      <c r="BQ638" s="86" t="str">
        <f t="shared" ref="BQ638:BQ669" si="97">IF(ISNA(INDEX(Lista_Armas,MATCH($A1,BT$638:BT$774,0))),"",INDEX(Lista_Armas,MATCH($A1,BT$638:BT$774,0)))</f>
        <v>&gt; ARMAS COMUNES</v>
      </c>
      <c r="BR638" s="86" t="str">
        <f t="shared" ref="BR638:BR669" si="98">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838"/>
      <c r="C639" s="1208"/>
      <c r="D639" s="2957" t="s">
        <v>1922</v>
      </c>
      <c r="E639" s="2659">
        <f>IF($P$256&gt;0,40+25*$V$590,IF(Raza="Ebudan",60,IF(OR(Raza="Tuan Dalyr",Raza="Turak"),40,IF(OR(Raza="Daimah",Nephilim="Nephilim Turak"),30,IF(OR(Raza="Jayán",$R$1221&gt;0,$R$1628&gt;0),VLOOKUP(Tamaño,Tabla_CreaciónSeres,8),0)))))</f>
        <v>0</v>
      </c>
      <c r="F639" s="2659">
        <f>20+20*$V$591</f>
        <v>20</v>
      </c>
      <c r="G639" s="2659">
        <v>0</v>
      </c>
      <c r="H639" s="2659">
        <v>0</v>
      </c>
      <c r="I639" s="2659" t="str">
        <f>IF(OR($P$256&gt;0,$R$1221&gt;0),IF(Personalización!$F$31="","-",Personalización!$F$31),IF(OR(Raza="Ebudan",Raza="Turak",Raza="Daimah",Raza="Jayán",Nephilim="Nehpilim Turak"),"FIL",IF(Personalización!$F$31="","-",Personalización!$F$31)))</f>
        <v>-</v>
      </c>
      <c r="J639" s="2659" t="str">
        <f>IF(OR($P$256&gt;0,$R$1221&gt;0),IF(Personalización!$F$31="","-",Personalización!$F$31),IF(OR(Raza="Ebudan",Raza="Turak",Nephilim="Nephilim Turak"),"-",IF(OR(Raza="Daimah",Raza="Jayán"),"PEN",IF(Personalización!$F$32="","-",Personalización!$F$32))))</f>
        <v>-</v>
      </c>
      <c r="K639" s="2944" t="str">
        <f>IF(Raza="Ebudan","Mandoble/-","Natural/-")</f>
        <v>Natural/-</v>
      </c>
      <c r="L639" s="2958" t="str">
        <f>IF(OR(Arma_Desarrollada=$D639,COUNTIF(PDs!Y40:AA45,$D639)&gt;0,$R$1221&gt;0,$P$256&gt;0),"Conocida","Distinta")</f>
        <v>Distinta</v>
      </c>
      <c r="M639" s="2959">
        <f>IF(Raza="Ebudan","20",VLOOKUP(Tamaño,$W$47:$AF$54,10))</f>
        <v>4</v>
      </c>
      <c r="N639" s="2959">
        <f>IF(Raza="Ebudan","5",VLOOKUP(Tamaño,$W$47:$AF$54,9))</f>
        <v>-4</v>
      </c>
      <c r="O639" s="2960"/>
      <c r="P639" s="2659"/>
      <c r="Q639" s="2659"/>
      <c r="R639" s="2659"/>
      <c r="S639" s="2659" t="str">
        <f>IF(R1628=0,"-",IF(R1630&gt;0,0,IF(R1629&gt;0,"1h","1 sem.")))</f>
        <v>-</v>
      </c>
      <c r="T639" s="2659">
        <f>IF($R$1628=0,0,IF($R$1631&gt;0,100,30))</f>
        <v>0</v>
      </c>
      <c r="U639" s="2659">
        <f>FUE</f>
        <v>0</v>
      </c>
      <c r="V639" s="2944"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Turak"),"",IF(R1628&gt;0,"Arma natural a distancia"&amp;IF(R1632&gt;0,"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945" t="str">
        <f t="shared" ref="X639:X643" si="99">IF(K639="/","",IF(OR(ISNUMBER(FIND("Mandoble",K639)),ISNUMBER(FIND("Asta",K639))),"Grande",IF(ISNUMBER(FIND("Corta",K639)),"Pequeña","Mediana")))</f>
        <v>Mediana</v>
      </c>
      <c r="Y639" s="2886">
        <f>Bono_Fue</f>
        <v>0</v>
      </c>
      <c r="Z639" s="1326" t="str">
        <f>IF(AND(K639&lt;&gt;"Natural/-",ISNUMBER(SEARCH(D639,Armas_Conocidas))),", "&amp;K639,"")</f>
        <v/>
      </c>
      <c r="AB639" s="1462" t="str">
        <f>"Tablas!"&amp;ADDRESS(ROW(IF(AB$640&lt;&gt;"",AB$640,IF(AB641&lt;&gt;"",AB641,IF(AB642&lt;&gt;"",AB642,AB643)))),COLUMN(IF(AB$640&lt;&gt;"",AB640,IF(AB641&lt;&gt;"",AB641,IF(AB642&lt;&gt;"",AB642,AB643)))))&amp;":"&amp;ADDRESS(ROW(AB756),COLUMN(AB756))</f>
        <v>Tablas!$AB$640:$AB$756</v>
      </c>
      <c r="AC639" s="1452" t="str">
        <f>"Tablas!"&amp;ADDRESS(ROW(IF(AC$640&lt;&gt;"",AC$640,IF(AC641&lt;&gt;"",AC641,IF(AC642&lt;&gt;"",AC642,AC643)))),COLUMN(IF(AC$640&lt;&gt;"",AC640,IF(AC641&lt;&gt;"",AC641,IF(AC642&lt;&gt;"",AC642,AC643)))))&amp;":"&amp;ADDRESS(ROW(AC690),COLUMN(AC690))</f>
        <v>Tablas!$AC$640:$AC$690</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1"/>
        <v>&gt; ESCUDOS</v>
      </c>
      <c r="AH639" s="86" t="str">
        <f t="shared" si="82"/>
        <v>&gt; ESCUDOS</v>
      </c>
      <c r="AI639" s="86" t="str">
        <f t="shared" si="83"/>
        <v>Arma #1</v>
      </c>
      <c r="AJ639" s="1327">
        <f>IF(OR($L639=AJ$635,$L639="",$D639=$AL$634),MAX(AJ$637:AJ638)+1,0)</f>
        <v>0</v>
      </c>
      <c r="AK639" s="1328">
        <f>IF(OR($L639=AK$635,$L639="",$D639=$AL$634),MAX(AK$637:AK638)+1,0)</f>
        <v>0</v>
      </c>
      <c r="AL639" s="1329">
        <f>IF(OR($L639=AL$635,$L639="",$D639=$AL$634),MAX(AL$637:AL638)+1,0)</f>
        <v>1</v>
      </c>
      <c r="AM639" s="5867"/>
      <c r="AN639" s="907" t="str">
        <f t="shared" si="84"/>
        <v>&gt; ESCUDOS</v>
      </c>
      <c r="AO639" s="86" t="str">
        <f t="shared" si="85"/>
        <v>&gt; ESCUDOS</v>
      </c>
      <c r="AP639" s="86" t="str">
        <f t="shared" si="86"/>
        <v>Arma #1</v>
      </c>
      <c r="AQ639" s="1327">
        <f>IF(OR($L639=AQ$635,$L639="",$D639=$AS$634),MAX(AQ$637:AQ638)+1,0)</f>
        <v>0</v>
      </c>
      <c r="AR639" s="1328">
        <f>IF(OR($L639=AR$635,$L639="",$D639=$AS$634),MAX(AR$637:AR638)+1,0)</f>
        <v>0</v>
      </c>
      <c r="AS639" s="1329">
        <f>IF(OR($L639=AS$635,$L639="",$D639=$AS$634),MAX(AS$637:AS638)+1,0)</f>
        <v>1</v>
      </c>
      <c r="AT639" s="5867"/>
      <c r="AU639" s="907" t="str">
        <f t="shared" si="87"/>
        <v>&gt; ESCUDOS</v>
      </c>
      <c r="AV639" s="86" t="str">
        <f t="shared" si="88"/>
        <v>&gt; ESCUDOS</v>
      </c>
      <c r="AW639" s="86" t="str">
        <f t="shared" si="89"/>
        <v>Arma #1</v>
      </c>
      <c r="AX639" s="1327">
        <f>IF(OR($L639=AX$635,$L639="",$D639=$AZ$634),MAX(AX$637:AX638)+1,0)</f>
        <v>0</v>
      </c>
      <c r="AY639" s="1328">
        <f>IF(OR($L639=AY$635,$L639="",$D639=$AZ$634),MAX(AY$637:AY638)+1,0)</f>
        <v>0</v>
      </c>
      <c r="AZ639" s="1329">
        <f>IF(OR($L639=AZ$635,$L639="",$D639=$AZ$634),MAX(AZ$637:AZ638)+1,0)</f>
        <v>1</v>
      </c>
      <c r="BA639" s="5867"/>
      <c r="BB639" s="907" t="str">
        <f t="shared" si="90"/>
        <v>&gt; ESCUDOS</v>
      </c>
      <c r="BC639" s="86" t="str">
        <f t="shared" si="91"/>
        <v>&gt; ESCUDOS</v>
      </c>
      <c r="BD639" s="86" t="str">
        <f t="shared" si="92"/>
        <v>Arma #1</v>
      </c>
      <c r="BE639" s="1327">
        <f>IF(OR($L639=BE$635,$L639="",$D639=$BG$634),MAX(BE$637:BE638)+1,0)</f>
        <v>0</v>
      </c>
      <c r="BF639" s="1328">
        <f>IF(OR($L639=BF$635,$L639="",$D639=$BG$634),MAX(BF$637:BF638)+1,0)</f>
        <v>0</v>
      </c>
      <c r="BG639" s="1329">
        <f>IF(OR($L639=BG$635,$L639="",$D639=$BG$634),MAX(BG$637:BG638)+1,0)</f>
        <v>1</v>
      </c>
      <c r="BH639" s="5867"/>
      <c r="BI639" s="907" t="str">
        <f t="shared" si="93"/>
        <v>&gt; ESCUDOS</v>
      </c>
      <c r="BJ639" s="86" t="str">
        <f t="shared" si="94"/>
        <v>&gt; ESCUDOS</v>
      </c>
      <c r="BK639" s="86" t="str">
        <f t="shared" si="95"/>
        <v>Arma #1</v>
      </c>
      <c r="BL639" s="1327">
        <f>IF(OR($L639=BL$635,$L639="",$D639=$BN$634),MAX(BL$637:BL638)+1,0)</f>
        <v>0</v>
      </c>
      <c r="BM639" s="1328">
        <f>IF(OR($L639=BM$635,$L639="",$D639=$BN$634),MAX(BM$637:BM638)+1,0)</f>
        <v>0</v>
      </c>
      <c r="BN639" s="1329">
        <f>IF(OR($L639=BN$635,$L639="",$D639=$BN$634),MAX(BN$637:BN638)+1,0)</f>
        <v>1</v>
      </c>
      <c r="BO639" s="5867"/>
      <c r="BP639" s="907" t="str">
        <f t="shared" si="96"/>
        <v>&gt; ESCUDOS</v>
      </c>
      <c r="BQ639" s="86" t="str">
        <f t="shared" si="97"/>
        <v>&gt; ESCUDOS</v>
      </c>
      <c r="BR639" s="86" t="str">
        <f t="shared" si="98"/>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838"/>
      <c r="C640" s="1208"/>
      <c r="D640" s="2957"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944" t="str">
        <f>IF(Personalización!$W$20="","-",Personalización!$W$20)&amp;"/"&amp;IF(Personalización!$W$21="","-",Personalización!$W$21)</f>
        <v>Maza/-</v>
      </c>
      <c r="L640" s="2958"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2959">
        <f>Personalización!$AC$21</f>
        <v>0</v>
      </c>
      <c r="N640" s="2959">
        <f>Personalización!$AD$21</f>
        <v>0</v>
      </c>
      <c r="O640" s="2959">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944" t="str">
        <f>IF(Personalización!$AC$18="","",Personalización!$AC$18)</f>
        <v/>
      </c>
      <c r="W640" s="2885"/>
      <c r="X640" s="2945" t="str">
        <f t="shared" si="99"/>
        <v>Mediana</v>
      </c>
      <c r="Y640" s="2886">
        <f>IF(Personalización!$Z$21="",Bono_Fue,VLOOKUP(Personalización!$Z$21,Tabla_Características,5,0))</f>
        <v>0</v>
      </c>
      <c r="Z640" s="1326" t="str">
        <f t="shared" ref="Z640:Z642" si="100">IF(AND(K640&lt;&gt;"Natural/-",ISNUMBER(SEARCH(D640,Armas_Conocidas))),", "&amp;K640,"")</f>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1"/>
        <v>&gt; ARMAS EXÓTICAS</v>
      </c>
      <c r="AH640" s="86" t="str">
        <f t="shared" si="82"/>
        <v>&gt; ARMAS EXÓTICAS</v>
      </c>
      <c r="AI640" s="86" t="str">
        <f t="shared" si="83"/>
        <v>Arma #2</v>
      </c>
      <c r="AJ640" s="1327">
        <f>IF(OR($L640=AJ$635,$L640="",$D640=$AL$634),MAX(AJ$637:AJ639)+1,0)</f>
        <v>0</v>
      </c>
      <c r="AK640" s="1328">
        <f>IF(OR($L640=AK$635,$L640="",$D640=$AL$634),MAX(AK$637:AK639)+1,0)</f>
        <v>0</v>
      </c>
      <c r="AL640" s="1329">
        <f>IF(OR($L640=AL$635,$L640="",$D640=$AL$634),MAX(AL$637:AL639)+1,0)</f>
        <v>2</v>
      </c>
      <c r="AM640" s="5867"/>
      <c r="AN640" s="907" t="str">
        <f t="shared" si="84"/>
        <v>&gt; ARMAS EXÓTICAS</v>
      </c>
      <c r="AO640" s="86" t="str">
        <f t="shared" si="85"/>
        <v>&gt; ARMAS EXÓTICAS</v>
      </c>
      <c r="AP640" s="86" t="str">
        <f t="shared" si="86"/>
        <v>Arma #2</v>
      </c>
      <c r="AQ640" s="1327">
        <f>IF(OR($L640=AQ$635,$L640="",$D640=$AS$634),MAX(AQ$637:AQ639)+1,0)</f>
        <v>0</v>
      </c>
      <c r="AR640" s="1328">
        <f>IF(OR($L640=AR$635,$L640="",$D640=$AS$634),MAX(AR$637:AR639)+1,0)</f>
        <v>0</v>
      </c>
      <c r="AS640" s="1329">
        <f>IF(OR($L640=AS$635,$L640="",$D640=$AS$634),MAX(AS$637:AS639)+1,0)</f>
        <v>2</v>
      </c>
      <c r="AT640" s="5867"/>
      <c r="AU640" s="907" t="str">
        <f t="shared" si="87"/>
        <v>&gt; ARMAS EXÓTICAS</v>
      </c>
      <c r="AV640" s="86" t="str">
        <f t="shared" si="88"/>
        <v>&gt; ARMAS EXÓTICAS</v>
      </c>
      <c r="AW640" s="86" t="str">
        <f t="shared" si="89"/>
        <v>Arma #2</v>
      </c>
      <c r="AX640" s="1327">
        <f>IF(OR($L640=AX$635,$L640="",$D640=$AZ$634),MAX(AX$637:AX639)+1,0)</f>
        <v>0</v>
      </c>
      <c r="AY640" s="1328">
        <f>IF(OR($L640=AY$635,$L640="",$D640=$AZ$634),MAX(AY$637:AY639)+1,0)</f>
        <v>0</v>
      </c>
      <c r="AZ640" s="1329">
        <f>IF(OR($L640=AZ$635,$L640="",$D640=$AZ$634),MAX(AZ$637:AZ639)+1,0)</f>
        <v>2</v>
      </c>
      <c r="BA640" s="5867"/>
      <c r="BB640" s="907" t="str">
        <f t="shared" si="90"/>
        <v>&gt; ARMAS EXÓTICAS</v>
      </c>
      <c r="BC640" s="86" t="str">
        <f t="shared" si="91"/>
        <v>&gt; ARMAS EXÓTICAS</v>
      </c>
      <c r="BD640" s="86" t="str">
        <f t="shared" si="92"/>
        <v>Arma #2</v>
      </c>
      <c r="BE640" s="1327">
        <f>IF(OR($L640=BE$635,$L640="",$D640=$BG$634),MAX(BE$637:BE639)+1,0)</f>
        <v>0</v>
      </c>
      <c r="BF640" s="1328">
        <f>IF(OR($L640=BF$635,$L640="",$D640=$BG$634),MAX(BF$637:BF639)+1,0)</f>
        <v>0</v>
      </c>
      <c r="BG640" s="1329">
        <f>IF(OR($L640=BG$635,$L640="",$D640=$BG$634),MAX(BG$637:BG639)+1,0)</f>
        <v>2</v>
      </c>
      <c r="BH640" s="5867"/>
      <c r="BI640" s="907" t="str">
        <f t="shared" si="93"/>
        <v>&gt; ARMAS EXÓTICAS</v>
      </c>
      <c r="BJ640" s="86" t="str">
        <f t="shared" si="94"/>
        <v>&gt; ARMAS EXÓTICAS</v>
      </c>
      <c r="BK640" s="86" t="str">
        <f t="shared" si="95"/>
        <v>Arma #2</v>
      </c>
      <c r="BL640" s="1327">
        <f>IF(OR($L640=BL$635,$L640="",$D640=$BN$634),MAX(BL$637:BL639)+1,0)</f>
        <v>0</v>
      </c>
      <c r="BM640" s="1328">
        <f>IF(OR($L640=BM$635,$L640="",$D640=$BN$634),MAX(BM$637:BM639)+1,0)</f>
        <v>0</v>
      </c>
      <c r="BN640" s="1329">
        <f>IF(OR($L640=BN$635,$L640="",$D640=$BN$634),MAX(BN$637:BN639)+1,0)</f>
        <v>2</v>
      </c>
      <c r="BO640" s="5867"/>
      <c r="BP640" s="907" t="str">
        <f t="shared" si="96"/>
        <v>&gt; ARMAS EXÓTICAS</v>
      </c>
      <c r="BQ640" s="86" t="str">
        <f t="shared" si="97"/>
        <v>&gt; ARMAS EXÓTICAS</v>
      </c>
      <c r="BR640" s="86" t="str">
        <f t="shared" si="98"/>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838"/>
      <c r="C641" s="1208"/>
      <c r="D641" s="2957"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944" t="str">
        <f>IF(Personalización!$W$24="","-",Personalización!$W$24)&amp;"/"&amp;IF(Personalización!$W$25="","-",Personalización!$W$25)</f>
        <v>-/-</v>
      </c>
      <c r="L641" s="2958"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2959">
        <f>Personalización!$AC$25</f>
        <v>0</v>
      </c>
      <c r="N641" s="2959">
        <f>Personalización!$AD$25</f>
        <v>0</v>
      </c>
      <c r="O641" s="2959">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944" t="str">
        <f>IF(Personalización!$AC$22="","",Personalización!$AC$22)</f>
        <v/>
      </c>
      <c r="W641" s="2885"/>
      <c r="X641" s="2945" t="str">
        <f t="shared" si="99"/>
        <v>Mediana</v>
      </c>
      <c r="Y641" s="2886">
        <f>IF(Personalización!$Z$25="",Bono_Fue,VLOOKUP(Personalización!$Z$25,Tabla_Características,5,0))</f>
        <v>0</v>
      </c>
      <c r="Z641" s="1326" t="str">
        <f t="shared" si="100"/>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1"/>
        <v>&gt; A. DE PROYECTILES</v>
      </c>
      <c r="AH641" s="86" t="str">
        <f t="shared" si="82"/>
        <v>&gt; A. DE PROYECTILES</v>
      </c>
      <c r="AI641" s="86" t="str">
        <f t="shared" si="83"/>
        <v>Arma #3</v>
      </c>
      <c r="AJ641" s="1327">
        <f>IF(OR($L641=AJ$635,$L641="",$D641=$AL$634),MAX(AJ$637:AJ640)+1,0)</f>
        <v>0</v>
      </c>
      <c r="AK641" s="1328">
        <f>IF(OR($L641=AK$635,$L641="",$D641=$AL$634),MAX(AK$637:AK640)+1,0)</f>
        <v>0</v>
      </c>
      <c r="AL641" s="1329">
        <f>IF(OR($L641=AL$635,$L641="",$D641=$AL$634),MAX(AL$637:AL640)+1,0)</f>
        <v>3</v>
      </c>
      <c r="AM641" s="5867"/>
      <c r="AN641" s="907" t="str">
        <f t="shared" si="84"/>
        <v>&gt; A. DE PROYECTILES</v>
      </c>
      <c r="AO641" s="86" t="str">
        <f t="shared" si="85"/>
        <v>&gt; A. DE PROYECTILES</v>
      </c>
      <c r="AP641" s="86" t="str">
        <f t="shared" si="86"/>
        <v>Arma #3</v>
      </c>
      <c r="AQ641" s="1327">
        <f>IF(OR($L641=AQ$635,$L641="",$D641=$AS$634),MAX(AQ$637:AQ640)+1,0)</f>
        <v>0</v>
      </c>
      <c r="AR641" s="1328">
        <f>IF(OR($L641=AR$635,$L641="",$D641=$AS$634),MAX(AR$637:AR640)+1,0)</f>
        <v>0</v>
      </c>
      <c r="AS641" s="1329">
        <f>IF(OR($L641=AS$635,$L641="",$D641=$AS$634),MAX(AS$637:AS640)+1,0)</f>
        <v>3</v>
      </c>
      <c r="AT641" s="5867"/>
      <c r="AU641" s="907" t="str">
        <f t="shared" si="87"/>
        <v>&gt; A. DE PROYECTILES</v>
      </c>
      <c r="AV641" s="86" t="str">
        <f t="shared" si="88"/>
        <v>&gt; A. DE PROYECTILES</v>
      </c>
      <c r="AW641" s="86" t="str">
        <f t="shared" si="89"/>
        <v>Arma #3</v>
      </c>
      <c r="AX641" s="1327">
        <f>IF(OR($L641=AX$635,$L641="",$D641=$AZ$634),MAX(AX$637:AX640)+1,0)</f>
        <v>0</v>
      </c>
      <c r="AY641" s="1328">
        <f>IF(OR($L641=AY$635,$L641="",$D641=$AZ$634),MAX(AY$637:AY640)+1,0)</f>
        <v>0</v>
      </c>
      <c r="AZ641" s="1329">
        <f>IF(OR($L641=AZ$635,$L641="",$D641=$AZ$634),MAX(AZ$637:AZ640)+1,0)</f>
        <v>3</v>
      </c>
      <c r="BA641" s="5867"/>
      <c r="BB641" s="907" t="str">
        <f t="shared" si="90"/>
        <v>&gt; A. DE PROYECTILES</v>
      </c>
      <c r="BC641" s="86" t="str">
        <f t="shared" si="91"/>
        <v>&gt; A. DE PROYECTILES</v>
      </c>
      <c r="BD641" s="86" t="str">
        <f t="shared" si="92"/>
        <v>Arma #3</v>
      </c>
      <c r="BE641" s="1327">
        <f>IF(OR($L641=BE$635,$L641="",$D641=$BG$634),MAX(BE$637:BE640)+1,0)</f>
        <v>0</v>
      </c>
      <c r="BF641" s="1328">
        <f>IF(OR($L641=BF$635,$L641="",$D641=$BG$634),MAX(BF$637:BF640)+1,0)</f>
        <v>0</v>
      </c>
      <c r="BG641" s="1329">
        <f>IF(OR($L641=BG$635,$L641="",$D641=$BG$634),MAX(BG$637:BG640)+1,0)</f>
        <v>3</v>
      </c>
      <c r="BH641" s="5867"/>
      <c r="BI641" s="907" t="str">
        <f t="shared" si="93"/>
        <v>&gt; A. DE PROYECTILES</v>
      </c>
      <c r="BJ641" s="86" t="str">
        <f t="shared" si="94"/>
        <v>&gt; A. DE PROYECTILES</v>
      </c>
      <c r="BK641" s="86" t="str">
        <f t="shared" si="95"/>
        <v>Arma #3</v>
      </c>
      <c r="BL641" s="1327">
        <f>IF(OR($L641=BL$635,$L641="",$D641=$BN$634),MAX(BL$637:BL640)+1,0)</f>
        <v>0</v>
      </c>
      <c r="BM641" s="1328">
        <f>IF(OR($L641=BM$635,$L641="",$D641=$BN$634),MAX(BM$637:BM640)+1,0)</f>
        <v>0</v>
      </c>
      <c r="BN641" s="1329">
        <f>IF(OR($L641=BN$635,$L641="",$D641=$BN$634),MAX(BN$637:BN640)+1,0)</f>
        <v>3</v>
      </c>
      <c r="BO641" s="5867"/>
      <c r="BP641" s="907" t="str">
        <f t="shared" si="96"/>
        <v>&gt; A. DE PROYECTILES</v>
      </c>
      <c r="BQ641" s="86" t="str">
        <f t="shared" si="97"/>
        <v>&gt; A. DE PROYECTILES</v>
      </c>
      <c r="BR641" s="86" t="str">
        <f t="shared" si="98"/>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838"/>
      <c r="C642" s="1208"/>
      <c r="D642" s="2957"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944" t="str">
        <f>IF(Personalización!$W$28="","-",Personalización!$W$28)&amp;"/"&amp;IF(Personalización!$W$29="","-",Personalización!$W$29)</f>
        <v>-/-</v>
      </c>
      <c r="L642" s="2958"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2959">
        <f>Personalización!$AC$29</f>
        <v>0</v>
      </c>
      <c r="N642" s="2959">
        <f>Personalización!$AD$29</f>
        <v>0</v>
      </c>
      <c r="O642" s="2959">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944" t="str">
        <f>IF(Personalización!$AC$26="","",Personalización!$AC$26)</f>
        <v/>
      </c>
      <c r="W642" s="2885"/>
      <c r="X642" s="2945" t="str">
        <f t="shared" si="99"/>
        <v>Mediana</v>
      </c>
      <c r="Y642" s="2886">
        <f>IF(Personalización!$Z$29="",Bono_Fue,VLOOKUP(Personalización!$Z$29,Tabla_Características,5,0))</f>
        <v>0</v>
      </c>
      <c r="Z642" s="1326" t="str">
        <f t="shared" si="100"/>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1"/>
        <v>&gt; ARMAS DE ASEDIO</v>
      </c>
      <c r="AH642" s="86" t="str">
        <f t="shared" si="82"/>
        <v>&gt; ARMAS DE ASEDIO</v>
      </c>
      <c r="AI642" s="86" t="str">
        <f t="shared" si="83"/>
        <v>&gt; ARMAS COMUNES</v>
      </c>
      <c r="AJ642" s="1327">
        <f>IF(OR($L642=AJ$635,$L642="",$D642=$AL$634),MAX(AJ$637:AJ641)+1,0)</f>
        <v>0</v>
      </c>
      <c r="AK642" s="1328">
        <f>IF(OR($L642=AK$635,$L642="",$D642=$AL$634),MAX(AK$637:AK641)+1,0)</f>
        <v>0</v>
      </c>
      <c r="AL642" s="1329">
        <f>IF(OR($L642=AL$635,$L642="",$D642=$AL$634),MAX(AL$637:AL641)+1,0)</f>
        <v>4</v>
      </c>
      <c r="AM642" s="5867"/>
      <c r="AN642" s="907" t="str">
        <f t="shared" si="84"/>
        <v>&gt; ARMAS DE ASEDIO</v>
      </c>
      <c r="AO642" s="86" t="str">
        <f t="shared" si="85"/>
        <v>&gt; ARMAS DE ASEDIO</v>
      </c>
      <c r="AP642" s="86" t="str">
        <f t="shared" si="86"/>
        <v>&gt; ARMAS COMUNES</v>
      </c>
      <c r="AQ642" s="1327">
        <f>IF(OR($L642=AQ$635,$L642="",$D642=$AS$634),MAX(AQ$637:AQ641)+1,0)</f>
        <v>0</v>
      </c>
      <c r="AR642" s="1328">
        <f>IF(OR($L642=AR$635,$L642="",$D642=$AS$634),MAX(AR$637:AR641)+1,0)</f>
        <v>0</v>
      </c>
      <c r="AS642" s="1329">
        <f>IF(OR($L642=AS$635,$L642="",$D642=$AS$634),MAX(AS$637:AS641)+1,0)</f>
        <v>4</v>
      </c>
      <c r="AT642" s="5867"/>
      <c r="AU642" s="907" t="str">
        <f t="shared" si="87"/>
        <v>&gt; ARMAS DE ASEDIO</v>
      </c>
      <c r="AV642" s="86" t="str">
        <f t="shared" si="88"/>
        <v>&gt; ARMAS DE ASEDIO</v>
      </c>
      <c r="AW642" s="86" t="str">
        <f t="shared" si="89"/>
        <v>&gt; ARMAS COMUNES</v>
      </c>
      <c r="AX642" s="1327">
        <f>IF(OR($L642=AX$635,$L642="",$D642=$AZ$634),MAX(AX$637:AX641)+1,0)</f>
        <v>0</v>
      </c>
      <c r="AY642" s="1328">
        <f>IF(OR($L642=AY$635,$L642="",$D642=$AZ$634),MAX(AY$637:AY641)+1,0)</f>
        <v>0</v>
      </c>
      <c r="AZ642" s="1329">
        <f>IF(OR($L642=AZ$635,$L642="",$D642=$AZ$634),MAX(AZ$637:AZ641)+1,0)</f>
        <v>4</v>
      </c>
      <c r="BA642" s="5867"/>
      <c r="BB642" s="907" t="str">
        <f t="shared" si="90"/>
        <v>&gt; ARMAS DE ASEDIO</v>
      </c>
      <c r="BC642" s="86" t="str">
        <f t="shared" si="91"/>
        <v>&gt; ARMAS DE ASEDIO</v>
      </c>
      <c r="BD642" s="86" t="str">
        <f t="shared" si="92"/>
        <v>&gt; ARMAS COMUNES</v>
      </c>
      <c r="BE642" s="1327">
        <f>IF(OR($L642=BE$635,$L642="",$D642=$BG$634),MAX(BE$637:BE641)+1,0)</f>
        <v>0</v>
      </c>
      <c r="BF642" s="1328">
        <f>IF(OR($L642=BF$635,$L642="",$D642=$BG$634),MAX(BF$637:BF641)+1,0)</f>
        <v>0</v>
      </c>
      <c r="BG642" s="1329">
        <f>IF(OR($L642=BG$635,$L642="",$D642=$BG$634),MAX(BG$637:BG641)+1,0)</f>
        <v>4</v>
      </c>
      <c r="BH642" s="5867"/>
      <c r="BI642" s="907" t="str">
        <f t="shared" si="93"/>
        <v>&gt; ARMAS DE ASEDIO</v>
      </c>
      <c r="BJ642" s="86" t="str">
        <f t="shared" si="94"/>
        <v>&gt; ARMAS DE ASEDIO</v>
      </c>
      <c r="BK642" s="86" t="str">
        <f t="shared" si="95"/>
        <v>&gt; ARMAS COMUNES</v>
      </c>
      <c r="BL642" s="1327">
        <f>IF(OR($L642=BL$635,$L642="",$D642=$BN$634),MAX(BL$637:BL641)+1,0)</f>
        <v>0</v>
      </c>
      <c r="BM642" s="1328">
        <f>IF(OR($L642=BM$635,$L642="",$D642=$BN$634),MAX(BM$637:BM641)+1,0)</f>
        <v>0</v>
      </c>
      <c r="BN642" s="1329">
        <f>IF(OR($L642=BN$635,$L642="",$D642=$BN$634),MAX(BN$637:BN641)+1,0)</f>
        <v>4</v>
      </c>
      <c r="BO642" s="5867"/>
      <c r="BP642" s="907" t="str">
        <f t="shared" si="96"/>
        <v>&gt; ARMAS DE ASEDIO</v>
      </c>
      <c r="BQ642" s="86" t="str">
        <f t="shared" si="97"/>
        <v>&gt; ARMAS DE ASEDIO</v>
      </c>
      <c r="BR642" s="86" t="str">
        <f t="shared" si="98"/>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838"/>
      <c r="C643" s="1208"/>
      <c r="D643" s="2957" t="s">
        <v>2116</v>
      </c>
      <c r="E643" s="2952"/>
      <c r="F643" s="2952"/>
      <c r="G643" s="2952"/>
      <c r="H643" s="2952"/>
      <c r="I643" s="2952"/>
      <c r="J643" s="2952"/>
      <c r="K643" s="2946" t="s">
        <v>7453</v>
      </c>
      <c r="L643" s="2952"/>
      <c r="M643" s="2952"/>
      <c r="N643" s="2952"/>
      <c r="O643" s="2952"/>
      <c r="P643" s="2952"/>
      <c r="Q643" s="2952"/>
      <c r="R643" s="2952"/>
      <c r="S643" s="2952"/>
      <c r="T643" s="2952"/>
      <c r="U643" s="2952"/>
      <c r="V643" s="2946"/>
      <c r="W643" s="2946"/>
      <c r="X643" s="2945" t="str">
        <f t="shared" si="99"/>
        <v/>
      </c>
      <c r="Y643" s="2886"/>
      <c r="Z643" s="1326" t="str">
        <f t="shared" ref="Z643:Z674" si="101">IF(AND(K643&lt;&gt;"Natural/-",ISNUMBER(SEARCH(D643,Armas_Conocidas))),", "&amp;K643,"")</f>
        <v/>
      </c>
      <c r="AB643" s="1461" t="str">
        <f>$D$639</f>
        <v>Armas naturales</v>
      </c>
      <c r="AC643" s="86" t="s">
        <v>2116</v>
      </c>
      <c r="AD643" s="1445" t="str">
        <f>$D$639</f>
        <v>Armas naturales</v>
      </c>
      <c r="AE643" s="908" t="s">
        <v>2204</v>
      </c>
      <c r="AF643" s="1444"/>
      <c r="AG643" s="907" t="str">
        <f t="shared" si="81"/>
        <v/>
      </c>
      <c r="AH643" s="86" t="str">
        <f t="shared" si="82"/>
        <v/>
      </c>
      <c r="AI643" s="86" t="str">
        <f t="shared" si="83"/>
        <v>Alabarda</v>
      </c>
      <c r="AJ643" s="1327">
        <f>IF(OR($L643=AJ$635,$L643="",$D643=$AL$634),MAX(AJ$637:AJ642)+1,0)</f>
        <v>1</v>
      </c>
      <c r="AK643" s="1328">
        <f>IF(OR($L643=AK$635,$L643="",$D643=$AL$634),MAX(AK$637:AK642)+1,0)</f>
        <v>1</v>
      </c>
      <c r="AL643" s="1329">
        <f>IF(OR($L643=AL$635,$L643="",$D643=$AL$634),MAX(AL$637:AL642)+1,0)</f>
        <v>5</v>
      </c>
      <c r="AM643" s="5867"/>
      <c r="AN643" s="907" t="str">
        <f t="shared" si="84"/>
        <v/>
      </c>
      <c r="AO643" s="86" t="str">
        <f t="shared" si="85"/>
        <v/>
      </c>
      <c r="AP643" s="86" t="str">
        <f t="shared" si="86"/>
        <v>Alabarda</v>
      </c>
      <c r="AQ643" s="1327">
        <f>IF(OR($L643=AQ$635,$L643="",$D643=$AS$634),MAX(AQ$637:AQ642)+1,0)</f>
        <v>1</v>
      </c>
      <c r="AR643" s="1328">
        <f>IF(OR($L643=AR$635,$L643="",$D643=$AS$634),MAX(AR$637:AR642)+1,0)</f>
        <v>1</v>
      </c>
      <c r="AS643" s="1329">
        <f>IF(OR($L643=AS$635,$L643="",$D643=$AS$634),MAX(AS$637:AS642)+1,0)</f>
        <v>5</v>
      </c>
      <c r="AT643" s="5867"/>
      <c r="AU643" s="907" t="str">
        <f t="shared" si="87"/>
        <v/>
      </c>
      <c r="AV643" s="86" t="str">
        <f t="shared" si="88"/>
        <v/>
      </c>
      <c r="AW643" s="86" t="str">
        <f t="shared" si="89"/>
        <v>Alabarda</v>
      </c>
      <c r="AX643" s="1327">
        <f>IF(OR($L643=AX$635,$L643="",$D643=$AZ$634),MAX(AX$637:AX642)+1,0)</f>
        <v>1</v>
      </c>
      <c r="AY643" s="1328">
        <f>IF(OR($L643=AY$635,$L643="",$D643=$AZ$634),MAX(AY$637:AY642)+1,0)</f>
        <v>1</v>
      </c>
      <c r="AZ643" s="1329">
        <f>IF(OR($L643=AZ$635,$L643="",$D643=$AZ$634),MAX(AZ$637:AZ642)+1,0)</f>
        <v>5</v>
      </c>
      <c r="BA643" s="5867"/>
      <c r="BB643" s="907" t="str">
        <f t="shared" si="90"/>
        <v/>
      </c>
      <c r="BC643" s="86" t="str">
        <f t="shared" si="91"/>
        <v/>
      </c>
      <c r="BD643" s="86" t="str">
        <f t="shared" si="92"/>
        <v>Alabarda</v>
      </c>
      <c r="BE643" s="1327">
        <f>IF(OR($L643=BE$635,$L643="",$D643=$BG$634),MAX(BE$637:BE642)+1,0)</f>
        <v>1</v>
      </c>
      <c r="BF643" s="1328">
        <f>IF(OR($L643=BF$635,$L643="",$D643=$BG$634),MAX(BF$637:BF642)+1,0)</f>
        <v>1</v>
      </c>
      <c r="BG643" s="1329">
        <f>IF(OR($L643=BG$635,$L643="",$D643=$BG$634),MAX(BG$637:BG642)+1,0)</f>
        <v>5</v>
      </c>
      <c r="BH643" s="5867"/>
      <c r="BI643" s="907" t="str">
        <f t="shared" si="93"/>
        <v/>
      </c>
      <c r="BJ643" s="86" t="str">
        <f t="shared" si="94"/>
        <v/>
      </c>
      <c r="BK643" s="86" t="str">
        <f t="shared" si="95"/>
        <v>Alabarda</v>
      </c>
      <c r="BL643" s="1327">
        <f>IF(OR($L643=BL$635,$L643="",$D643=$BN$634),MAX(BL$637:BL642)+1,0)</f>
        <v>1</v>
      </c>
      <c r="BM643" s="1328">
        <f>IF(OR($L643=BM$635,$L643="",$D643=$BN$634),MAX(BM$637:BM642)+1,0)</f>
        <v>1</v>
      </c>
      <c r="BN643" s="1329">
        <f>IF(OR($L643=BN$635,$L643="",$D643=$BN$634),MAX(BN$637:BN642)+1,0)</f>
        <v>5</v>
      </c>
      <c r="BO643" s="5867"/>
      <c r="BP643" s="907" t="str">
        <f t="shared" si="96"/>
        <v/>
      </c>
      <c r="BQ643" s="86" t="str">
        <f t="shared" si="97"/>
        <v/>
      </c>
      <c r="BR643" s="86" t="str">
        <f t="shared" si="98"/>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838"/>
      <c r="C644" s="1208"/>
      <c r="D644" s="2957" t="s">
        <v>2117</v>
      </c>
      <c r="E644" s="2961">
        <v>60</v>
      </c>
      <c r="F644" s="2956">
        <v>-15</v>
      </c>
      <c r="G644" s="2956">
        <v>11</v>
      </c>
      <c r="H644" s="2956">
        <v>6</v>
      </c>
      <c r="I644" s="2956" t="s">
        <v>1555</v>
      </c>
      <c r="J644" s="2956" t="s">
        <v>1501</v>
      </c>
      <c r="K644" s="2947" t="s">
        <v>7454</v>
      </c>
      <c r="L644" s="2956" t="str">
        <f t="shared" ref="L644:L675" si="102">IF(ISNUMBER(SEARCH($D644,Armas_Conocidas)),"Conocida",IF(OR(ISNUMBER(SEARCH(LEFT($K644,SEARCH("/",$K644)),Tipologías_Conocidas)),AND(NOT(ISNUMBER(SEARCH("/-",$K644))),ISNUMBER(SEARCH(MID($K644,SEARCH("/",$K644)+1,LEN($K644)),Tipologías_Conocidas)))),IF(ISNUMBER(SEARCH($K644,Tipologías_Conocidas)),"Similar","Mixta"),"Distinta"))</f>
        <v>Distinta</v>
      </c>
      <c r="M644" s="2962">
        <v>15</v>
      </c>
      <c r="N644" s="2962">
        <v>4</v>
      </c>
      <c r="O644" s="2962">
        <v>20</v>
      </c>
      <c r="P644" s="2956"/>
      <c r="Q644" s="2956"/>
      <c r="R644" s="2956" t="s">
        <v>1459</v>
      </c>
      <c r="S644" s="2956" t="s">
        <v>1459</v>
      </c>
      <c r="T644" s="2956" t="s">
        <v>1459</v>
      </c>
      <c r="U644" s="2956"/>
      <c r="V644" s="2947" t="s">
        <v>2137</v>
      </c>
      <c r="W644" s="2947"/>
      <c r="X644" s="2945" t="str">
        <f>IF(K644="/","",IF(OR(ISNUMBER(FIND("Mandoble",K644)),ISNUMBER(FIND("Asta",K644))),"Grande",IF(ISNUMBER(FIND("Corta",K644)),"Pequeña","Mediana")))</f>
        <v>Grande</v>
      </c>
      <c r="Y644" s="2886">
        <f t="shared" ref="Y644:Y675" si="103">Bono_Fue</f>
        <v>0</v>
      </c>
      <c r="Z644" s="1326" t="str">
        <f t="shared" si="101"/>
        <v/>
      </c>
      <c r="AB644" s="907" t="s">
        <v>2116</v>
      </c>
      <c r="AC644" s="86" t="s">
        <v>2117</v>
      </c>
      <c r="AD644" s="1442" t="s">
        <v>2204</v>
      </c>
      <c r="AE644" s="908" t="s">
        <v>2205</v>
      </c>
      <c r="AF644" s="1444"/>
      <c r="AG644" s="907" t="str">
        <f t="shared" si="81"/>
        <v/>
      </c>
      <c r="AH644" s="86" t="str">
        <f t="shared" si="82"/>
        <v/>
      </c>
      <c r="AI644" s="86" t="str">
        <f t="shared" si="83"/>
        <v>Arpón</v>
      </c>
      <c r="AJ644" s="1327">
        <f>IF(OR($L644=AJ$635,$L644="",$D644=$AL$634),MAX(AJ$637:AJ643)+1,0)</f>
        <v>0</v>
      </c>
      <c r="AK644" s="1328">
        <f>IF(OR($L644=AK$635,$L644="",$D644=$AL$634),MAX(AK$637:AK643)+1,0)</f>
        <v>0</v>
      </c>
      <c r="AL644" s="1329">
        <f>IF(OR($L644=AL$635,$L644="",$D644=$AL$634),MAX(AL$637:AL643)+1,0)</f>
        <v>6</v>
      </c>
      <c r="AM644" s="5867"/>
      <c r="AN644" s="907" t="str">
        <f t="shared" si="84"/>
        <v/>
      </c>
      <c r="AO644" s="86" t="str">
        <f t="shared" si="85"/>
        <v/>
      </c>
      <c r="AP644" s="86" t="str">
        <f t="shared" si="86"/>
        <v>Arpón</v>
      </c>
      <c r="AQ644" s="1327">
        <f>IF(OR($L644=AQ$635,$L644="",$D644=$AS$634),MAX(AQ$637:AQ643)+1,0)</f>
        <v>0</v>
      </c>
      <c r="AR644" s="1328">
        <f>IF(OR($L644=AR$635,$L644="",$D644=$AS$634),MAX(AR$637:AR643)+1,0)</f>
        <v>0</v>
      </c>
      <c r="AS644" s="1329">
        <f>IF(OR($L644=AS$635,$L644="",$D644=$AS$634),MAX(AS$637:AS643)+1,0)</f>
        <v>6</v>
      </c>
      <c r="AT644" s="5867"/>
      <c r="AU644" s="907" t="str">
        <f t="shared" si="87"/>
        <v/>
      </c>
      <c r="AV644" s="86" t="str">
        <f t="shared" si="88"/>
        <v/>
      </c>
      <c r="AW644" s="86" t="str">
        <f t="shared" si="89"/>
        <v>Arpón</v>
      </c>
      <c r="AX644" s="1327">
        <f>IF(OR($L644=AX$635,$L644="",$D644=$AZ$634),MAX(AX$637:AX643)+1,0)</f>
        <v>0</v>
      </c>
      <c r="AY644" s="1328">
        <f>IF(OR($L644=AY$635,$L644="",$D644=$AZ$634),MAX(AY$637:AY643)+1,0)</f>
        <v>0</v>
      </c>
      <c r="AZ644" s="1329">
        <f>IF(OR($L644=AZ$635,$L644="",$D644=$AZ$634),MAX(AZ$637:AZ643)+1,0)</f>
        <v>6</v>
      </c>
      <c r="BA644" s="5867"/>
      <c r="BB644" s="907" t="str">
        <f t="shared" si="90"/>
        <v/>
      </c>
      <c r="BC644" s="86" t="str">
        <f t="shared" si="91"/>
        <v/>
      </c>
      <c r="BD644" s="86" t="str">
        <f t="shared" si="92"/>
        <v>Arpón</v>
      </c>
      <c r="BE644" s="1327">
        <f>IF(OR($L644=BE$635,$L644="",$D644=$BG$634),MAX(BE$637:BE643)+1,0)</f>
        <v>0</v>
      </c>
      <c r="BF644" s="1328">
        <f>IF(OR($L644=BF$635,$L644="",$D644=$BG$634),MAX(BF$637:BF643)+1,0)</f>
        <v>0</v>
      </c>
      <c r="BG644" s="1329">
        <f>IF(OR($L644=BG$635,$L644="",$D644=$BG$634),MAX(BG$637:BG643)+1,0)</f>
        <v>6</v>
      </c>
      <c r="BH644" s="5867"/>
      <c r="BI644" s="907" t="str">
        <f t="shared" si="93"/>
        <v/>
      </c>
      <c r="BJ644" s="86" t="str">
        <f t="shared" si="94"/>
        <v/>
      </c>
      <c r="BK644" s="86" t="str">
        <f t="shared" si="95"/>
        <v>Arpón</v>
      </c>
      <c r="BL644" s="1327">
        <f>IF(OR($L644=BL$635,$L644="",$D644=$BN$634),MAX(BL$637:BL643)+1,0)</f>
        <v>0</v>
      </c>
      <c r="BM644" s="1328">
        <f>IF(OR($L644=BM$635,$L644="",$D644=$BN$634),MAX(BM$637:BM643)+1,0)</f>
        <v>0</v>
      </c>
      <c r="BN644" s="1329">
        <f>IF(OR($L644=BN$635,$L644="",$D644=$BN$634),MAX(BN$637:BN643)+1,0)</f>
        <v>6</v>
      </c>
      <c r="BO644" s="5867"/>
      <c r="BP644" s="907" t="str">
        <f t="shared" si="96"/>
        <v/>
      </c>
      <c r="BQ644" s="86" t="str">
        <f t="shared" si="97"/>
        <v/>
      </c>
      <c r="BR644" s="86" t="str">
        <f t="shared" si="98"/>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838"/>
      <c r="C645" s="1208"/>
      <c r="D645" s="2957" t="s">
        <v>2120</v>
      </c>
      <c r="E645" s="2961">
        <v>35</v>
      </c>
      <c r="F645" s="2956">
        <v>-5</v>
      </c>
      <c r="G645" s="2956">
        <v>5</v>
      </c>
      <c r="H645" s="2956">
        <v>5</v>
      </c>
      <c r="I645" s="2956" t="s">
        <v>1556</v>
      </c>
      <c r="J645" s="2956" t="s">
        <v>1459</v>
      </c>
      <c r="K645" s="2947" t="s">
        <v>7455</v>
      </c>
      <c r="L645" s="2956" t="str">
        <f t="shared" si="102"/>
        <v>Distinta</v>
      </c>
      <c r="M645" s="2962">
        <v>11</v>
      </c>
      <c r="N645" s="2962">
        <v>0</v>
      </c>
      <c r="O645" s="2962">
        <v>15</v>
      </c>
      <c r="P645" s="2956"/>
      <c r="Q645" s="2956"/>
      <c r="R645" s="2962">
        <v>100</v>
      </c>
      <c r="S645" s="2956" t="s">
        <v>1459</v>
      </c>
      <c r="T645" s="2956">
        <v>20</v>
      </c>
      <c r="U645" s="2956"/>
      <c r="V645" s="2947" t="s">
        <v>8767</v>
      </c>
      <c r="W645" s="2947"/>
      <c r="X645" s="2945" t="str">
        <f t="shared" ref="X645:X708" si="104">IF(K645="/","",IF(OR(ISNUMBER(FIND("Mandoble",K645)),ISNUMBER(FIND("Asta",K645))),"Grande",IF(ISNUMBER(FIND("Corta",K645)),"Pequeña","Mediana")))</f>
        <v>Grande</v>
      </c>
      <c r="Y645" s="2886">
        <f t="shared" si="103"/>
        <v>0</v>
      </c>
      <c r="Z645" s="1326" t="str">
        <f t="shared" si="101"/>
        <v/>
      </c>
      <c r="AB645" s="907" t="s">
        <v>2117</v>
      </c>
      <c r="AC645" s="86" t="s">
        <v>2120</v>
      </c>
      <c r="AD645" s="1443" t="s">
        <v>8753</v>
      </c>
      <c r="AE645" s="908" t="s">
        <v>2207</v>
      </c>
      <c r="AF645" s="1444"/>
      <c r="AG645" s="907" t="str">
        <f t="shared" si="81"/>
        <v/>
      </c>
      <c r="AH645" s="86" t="str">
        <f t="shared" si="82"/>
        <v/>
      </c>
      <c r="AI645" s="86" t="str">
        <f t="shared" si="83"/>
        <v>Bastón de Combate</v>
      </c>
      <c r="AJ645" s="1327">
        <f>IF(OR($L645=AJ$635,$L645="",$D645=$AL$634),MAX(AJ$637:AJ644)+1,0)</f>
        <v>0</v>
      </c>
      <c r="AK645" s="1328">
        <f>IF(OR($L645=AK$635,$L645="",$D645=$AL$634),MAX(AK$637:AK644)+1,0)</f>
        <v>0</v>
      </c>
      <c r="AL645" s="1329">
        <f>IF(OR($L645=AL$635,$L645="",$D645=$AL$634),MAX(AL$637:AL644)+1,0)</f>
        <v>7</v>
      </c>
      <c r="AM645" s="5867"/>
      <c r="AN645" s="907" t="str">
        <f t="shared" si="84"/>
        <v/>
      </c>
      <c r="AO645" s="86" t="str">
        <f t="shared" si="85"/>
        <v/>
      </c>
      <c r="AP645" s="86" t="str">
        <f t="shared" si="86"/>
        <v>Bastón de Combate</v>
      </c>
      <c r="AQ645" s="1327">
        <f>IF(OR($L645=AQ$635,$L645="",$D645=$AS$634),MAX(AQ$637:AQ644)+1,0)</f>
        <v>0</v>
      </c>
      <c r="AR645" s="1328">
        <f>IF(OR($L645=AR$635,$L645="",$D645=$AS$634),MAX(AR$637:AR644)+1,0)</f>
        <v>0</v>
      </c>
      <c r="AS645" s="1329">
        <f>IF(OR($L645=AS$635,$L645="",$D645=$AS$634),MAX(AS$637:AS644)+1,0)</f>
        <v>7</v>
      </c>
      <c r="AT645" s="5867"/>
      <c r="AU645" s="907" t="str">
        <f t="shared" si="87"/>
        <v/>
      </c>
      <c r="AV645" s="86" t="str">
        <f t="shared" si="88"/>
        <v/>
      </c>
      <c r="AW645" s="86" t="str">
        <f t="shared" si="89"/>
        <v>Bastón de Combate</v>
      </c>
      <c r="AX645" s="1327">
        <f>IF(OR($L645=AX$635,$L645="",$D645=$AZ$634),MAX(AX$637:AX644)+1,0)</f>
        <v>0</v>
      </c>
      <c r="AY645" s="1328">
        <f>IF(OR($L645=AY$635,$L645="",$D645=$AZ$634),MAX(AY$637:AY644)+1,0)</f>
        <v>0</v>
      </c>
      <c r="AZ645" s="1329">
        <f>IF(OR($L645=AZ$635,$L645="",$D645=$AZ$634),MAX(AZ$637:AZ644)+1,0)</f>
        <v>7</v>
      </c>
      <c r="BA645" s="5867"/>
      <c r="BB645" s="907" t="str">
        <f t="shared" si="90"/>
        <v/>
      </c>
      <c r="BC645" s="86" t="str">
        <f t="shared" si="91"/>
        <v/>
      </c>
      <c r="BD645" s="86" t="str">
        <f t="shared" si="92"/>
        <v>Bastón de Combate</v>
      </c>
      <c r="BE645" s="1327">
        <f>IF(OR($L645=BE$635,$L645="",$D645=$BG$634),MAX(BE$637:BE644)+1,0)</f>
        <v>0</v>
      </c>
      <c r="BF645" s="1328">
        <f>IF(OR($L645=BF$635,$L645="",$D645=$BG$634),MAX(BF$637:BF644)+1,0)</f>
        <v>0</v>
      </c>
      <c r="BG645" s="1329">
        <f>IF(OR($L645=BG$635,$L645="",$D645=$BG$634),MAX(BG$637:BG644)+1,0)</f>
        <v>7</v>
      </c>
      <c r="BH645" s="5867"/>
      <c r="BI645" s="907" t="str">
        <f t="shared" si="93"/>
        <v/>
      </c>
      <c r="BJ645" s="86" t="str">
        <f t="shared" si="94"/>
        <v/>
      </c>
      <c r="BK645" s="86" t="str">
        <f t="shared" si="95"/>
        <v>Bastón de Combate</v>
      </c>
      <c r="BL645" s="1327">
        <f>IF(OR($L645=BL$635,$L645="",$D645=$BN$634),MAX(BL$637:BL644)+1,0)</f>
        <v>0</v>
      </c>
      <c r="BM645" s="1328">
        <f>IF(OR($L645=BM$635,$L645="",$D645=$BN$634),MAX(BM$637:BM644)+1,0)</f>
        <v>0</v>
      </c>
      <c r="BN645" s="1329">
        <f>IF(OR($L645=BN$635,$L645="",$D645=$BN$634),MAX(BN$637:BN644)+1,0)</f>
        <v>7</v>
      </c>
      <c r="BO645" s="5867"/>
      <c r="BP645" s="907" t="str">
        <f t="shared" si="96"/>
        <v/>
      </c>
      <c r="BQ645" s="86" t="str">
        <f t="shared" si="97"/>
        <v/>
      </c>
      <c r="BR645" s="86" t="str">
        <f t="shared" si="98"/>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838"/>
      <c r="C646" s="1208"/>
      <c r="D646" s="2957" t="s">
        <v>7165</v>
      </c>
      <c r="E646" s="2961">
        <v>25</v>
      </c>
      <c r="F646" s="2956">
        <v>15</v>
      </c>
      <c r="G646" s="2956">
        <v>5</v>
      </c>
      <c r="H646" s="2956">
        <v>5</v>
      </c>
      <c r="I646" s="2956" t="s">
        <v>1501</v>
      </c>
      <c r="J646" s="2956" t="s">
        <v>1459</v>
      </c>
      <c r="K646" s="2947" t="s">
        <v>7455</v>
      </c>
      <c r="L646" s="2956" t="str">
        <f t="shared" si="102"/>
        <v>Distinta</v>
      </c>
      <c r="M646" s="2962">
        <v>10</v>
      </c>
      <c r="N646" s="2962">
        <v>-1</v>
      </c>
      <c r="O646" s="2962">
        <v>15</v>
      </c>
      <c r="P646" s="2956"/>
      <c r="Q646" s="2956"/>
      <c r="R646" s="2956" t="s">
        <v>1459</v>
      </c>
      <c r="S646" s="2956" t="s">
        <v>1459</v>
      </c>
      <c r="T646" s="2956" t="s">
        <v>1459</v>
      </c>
      <c r="U646" s="2956"/>
      <c r="V646" s="2947" t="s">
        <v>1459</v>
      </c>
      <c r="W646" s="2947"/>
      <c r="X646" s="2945" t="str">
        <f t="shared" si="104"/>
        <v>Grande</v>
      </c>
      <c r="Y646" s="2886">
        <f t="shared" si="103"/>
        <v>0</v>
      </c>
      <c r="Z646" s="1326" t="str">
        <f t="shared" si="101"/>
        <v/>
      </c>
      <c r="AB646" s="907" t="s">
        <v>2120</v>
      </c>
      <c r="AC646" s="86" t="s">
        <v>7166</v>
      </c>
      <c r="AD646" s="1442" t="s">
        <v>7172</v>
      </c>
      <c r="AE646" s="908" t="s">
        <v>7168</v>
      </c>
      <c r="AF646" s="1444"/>
      <c r="AG646" s="907" t="str">
        <f t="shared" si="81"/>
        <v/>
      </c>
      <c r="AH646" s="86" t="str">
        <f t="shared" si="82"/>
        <v/>
      </c>
      <c r="AI646" s="86" t="str">
        <f t="shared" si="83"/>
        <v>Bec deCorbin</v>
      </c>
      <c r="AJ646" s="1327">
        <f>IF(OR($L646=AJ$635,$L646="",$D646=$AL$634),MAX(AJ$637:AJ645)+1,0)</f>
        <v>0</v>
      </c>
      <c r="AK646" s="1328">
        <f>IF(OR($L646=AK$635,$L646="",$D646=$AL$634),MAX(AK$637:AK645)+1,0)</f>
        <v>0</v>
      </c>
      <c r="AL646" s="1329">
        <f>IF(OR($L646=AL$635,$L646="",$D646=$AL$634),MAX(AL$637:AL645)+1,0)</f>
        <v>8</v>
      </c>
      <c r="AM646" s="5867"/>
      <c r="AN646" s="907" t="str">
        <f t="shared" si="84"/>
        <v/>
      </c>
      <c r="AO646" s="86" t="str">
        <f t="shared" si="85"/>
        <v/>
      </c>
      <c r="AP646" s="86" t="str">
        <f t="shared" si="86"/>
        <v>Bec deCorbin</v>
      </c>
      <c r="AQ646" s="1327">
        <f>IF(OR($L646=AQ$635,$L646="",$D646=$AS$634),MAX(AQ$637:AQ645)+1,0)</f>
        <v>0</v>
      </c>
      <c r="AR646" s="1328">
        <f>IF(OR($L646=AR$635,$L646="",$D646=$AS$634),MAX(AR$637:AR645)+1,0)</f>
        <v>0</v>
      </c>
      <c r="AS646" s="1329">
        <f>IF(OR($L646=AS$635,$L646="",$D646=$AS$634),MAX(AS$637:AS645)+1,0)</f>
        <v>8</v>
      </c>
      <c r="AT646" s="5867"/>
      <c r="AU646" s="907" t="str">
        <f t="shared" si="87"/>
        <v/>
      </c>
      <c r="AV646" s="86" t="str">
        <f t="shared" si="88"/>
        <v/>
      </c>
      <c r="AW646" s="86" t="str">
        <f t="shared" si="89"/>
        <v>Bec deCorbin</v>
      </c>
      <c r="AX646" s="1327">
        <f>IF(OR($L646=AX$635,$L646="",$D646=$AZ$634),MAX(AX$637:AX645)+1,0)</f>
        <v>0</v>
      </c>
      <c r="AY646" s="1328">
        <f>IF(OR($L646=AY$635,$L646="",$D646=$AZ$634),MAX(AY$637:AY645)+1,0)</f>
        <v>0</v>
      </c>
      <c r="AZ646" s="1329">
        <f>IF(OR($L646=AZ$635,$L646="",$D646=$AZ$634),MAX(AZ$637:AZ645)+1,0)</f>
        <v>8</v>
      </c>
      <c r="BA646" s="5867"/>
      <c r="BB646" s="907" t="str">
        <f t="shared" si="90"/>
        <v/>
      </c>
      <c r="BC646" s="86" t="str">
        <f t="shared" si="91"/>
        <v/>
      </c>
      <c r="BD646" s="86" t="str">
        <f t="shared" si="92"/>
        <v>Bec deCorbin</v>
      </c>
      <c r="BE646" s="1327">
        <f>IF(OR($L646=BE$635,$L646="",$D646=$BG$634),MAX(BE$637:BE645)+1,0)</f>
        <v>0</v>
      </c>
      <c r="BF646" s="1328">
        <f>IF(OR($L646=BF$635,$L646="",$D646=$BG$634),MAX(BF$637:BF645)+1,0)</f>
        <v>0</v>
      </c>
      <c r="BG646" s="1329">
        <f>IF(OR($L646=BG$635,$L646="",$D646=$BG$634),MAX(BG$637:BG645)+1,0)</f>
        <v>8</v>
      </c>
      <c r="BH646" s="5867"/>
      <c r="BI646" s="907" t="str">
        <f t="shared" si="93"/>
        <v/>
      </c>
      <c r="BJ646" s="86" t="str">
        <f t="shared" si="94"/>
        <v/>
      </c>
      <c r="BK646" s="86" t="str">
        <f t="shared" si="95"/>
        <v>Bec deCorbin</v>
      </c>
      <c r="BL646" s="1327">
        <f>IF(OR($L646=BL$635,$L646="",$D646=$BN$634),MAX(BL$637:BL645)+1,0)</f>
        <v>0</v>
      </c>
      <c r="BM646" s="1328">
        <f>IF(OR($L646=BM$635,$L646="",$D646=$BN$634),MAX(BM$637:BM645)+1,0)</f>
        <v>0</v>
      </c>
      <c r="BN646" s="1329">
        <f>IF(OR($L646=BN$635,$L646="",$D646=$BN$634),MAX(BN$637:BN645)+1,0)</f>
        <v>8</v>
      </c>
      <c r="BO646" s="5867"/>
      <c r="BP646" s="907" t="str">
        <f t="shared" si="96"/>
        <v/>
      </c>
      <c r="BQ646" s="86" t="str">
        <f t="shared" si="97"/>
        <v/>
      </c>
      <c r="BR646" s="86" t="str">
        <f t="shared" si="98"/>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838"/>
      <c r="C647" s="1208"/>
      <c r="D647" s="2957" t="s">
        <v>7166</v>
      </c>
      <c r="E647" s="2961">
        <v>50</v>
      </c>
      <c r="F647" s="2956">
        <v>-10</v>
      </c>
      <c r="G647" s="2956" t="s">
        <v>1459</v>
      </c>
      <c r="H647" s="2956">
        <v>6</v>
      </c>
      <c r="I647" s="2956" t="s">
        <v>1556</v>
      </c>
      <c r="J647" s="2956" t="s">
        <v>7218</v>
      </c>
      <c r="K647" s="2947" t="s">
        <v>7456</v>
      </c>
      <c r="L647" s="2956" t="str">
        <f t="shared" si="102"/>
        <v>Distinta</v>
      </c>
      <c r="M647" s="2962">
        <v>12</v>
      </c>
      <c r="N647" s="2962">
        <v>2</v>
      </c>
      <c r="O647" s="2962">
        <v>20</v>
      </c>
      <c r="P647" s="2956"/>
      <c r="Q647" s="2956"/>
      <c r="R647" s="2956" t="s">
        <v>1459</v>
      </c>
      <c r="S647" s="2956" t="s">
        <v>1459</v>
      </c>
      <c r="T647" s="2956" t="s">
        <v>1459</v>
      </c>
      <c r="U647" s="2956"/>
      <c r="V647" s="2947" t="s">
        <v>1583</v>
      </c>
      <c r="W647" s="2947"/>
      <c r="X647" s="2945" t="str">
        <f t="shared" si="104"/>
        <v>Grande</v>
      </c>
      <c r="Y647" s="2886">
        <f t="shared" si="103"/>
        <v>0</v>
      </c>
      <c r="Z647" s="1326" t="str">
        <f t="shared" si="101"/>
        <v/>
      </c>
      <c r="AB647" s="907" t="s">
        <v>7165</v>
      </c>
      <c r="AC647" s="86" t="s">
        <v>7167</v>
      </c>
      <c r="AD647" s="1443" t="s">
        <v>2209</v>
      </c>
      <c r="AE647" s="908" t="s">
        <v>2208</v>
      </c>
      <c r="AF647" s="1444"/>
      <c r="AG647" s="907" t="str">
        <f t="shared" si="81"/>
        <v/>
      </c>
      <c r="AH647" s="86" t="str">
        <f t="shared" si="82"/>
        <v/>
      </c>
      <c r="AI647" s="86" t="str">
        <f t="shared" si="83"/>
        <v>Berdiche</v>
      </c>
      <c r="AJ647" s="1327">
        <f>IF(OR($L647=AJ$635,$L647="",$D647=$AL$634),MAX(AJ$637:AJ646)+1,0)</f>
        <v>0</v>
      </c>
      <c r="AK647" s="1328">
        <f>IF(OR($L647=AK$635,$L647="",$D647=$AL$634),MAX(AK$637:AK646)+1,0)</f>
        <v>0</v>
      </c>
      <c r="AL647" s="1329">
        <f>IF(OR($L647=AL$635,$L647="",$D647=$AL$634),MAX(AL$637:AL646)+1,0)</f>
        <v>9</v>
      </c>
      <c r="AM647" s="5867"/>
      <c r="AN647" s="907" t="str">
        <f t="shared" si="84"/>
        <v/>
      </c>
      <c r="AO647" s="86" t="str">
        <f t="shared" si="85"/>
        <v/>
      </c>
      <c r="AP647" s="86" t="str">
        <f t="shared" si="86"/>
        <v>Berdiche</v>
      </c>
      <c r="AQ647" s="1327">
        <f>IF(OR($L647=AQ$635,$L647="",$D647=$AS$634),MAX(AQ$637:AQ646)+1,0)</f>
        <v>0</v>
      </c>
      <c r="AR647" s="1328">
        <f>IF(OR($L647=AR$635,$L647="",$D647=$AS$634),MAX(AR$637:AR646)+1,0)</f>
        <v>0</v>
      </c>
      <c r="AS647" s="1329">
        <f>IF(OR($L647=AS$635,$L647="",$D647=$AS$634),MAX(AS$637:AS646)+1,0)</f>
        <v>9</v>
      </c>
      <c r="AT647" s="5867"/>
      <c r="AU647" s="907" t="str">
        <f t="shared" si="87"/>
        <v/>
      </c>
      <c r="AV647" s="86" t="str">
        <f t="shared" si="88"/>
        <v/>
      </c>
      <c r="AW647" s="86" t="str">
        <f t="shared" si="89"/>
        <v>Berdiche</v>
      </c>
      <c r="AX647" s="1327">
        <f>IF(OR($L647=AX$635,$L647="",$D647=$AZ$634),MAX(AX$637:AX646)+1,0)</f>
        <v>0</v>
      </c>
      <c r="AY647" s="1328">
        <f>IF(OR($L647=AY$635,$L647="",$D647=$AZ$634),MAX(AY$637:AY646)+1,0)</f>
        <v>0</v>
      </c>
      <c r="AZ647" s="1329">
        <f>IF(OR($L647=AZ$635,$L647="",$D647=$AZ$634),MAX(AZ$637:AZ646)+1,0)</f>
        <v>9</v>
      </c>
      <c r="BA647" s="5867"/>
      <c r="BB647" s="907" t="str">
        <f t="shared" si="90"/>
        <v/>
      </c>
      <c r="BC647" s="86" t="str">
        <f t="shared" si="91"/>
        <v/>
      </c>
      <c r="BD647" s="86" t="str">
        <f t="shared" si="92"/>
        <v>Berdiche</v>
      </c>
      <c r="BE647" s="1327">
        <f>IF(OR($L647=BE$635,$L647="",$D647=$BG$634),MAX(BE$637:BE646)+1,0)</f>
        <v>0</v>
      </c>
      <c r="BF647" s="1328">
        <f>IF(OR($L647=BF$635,$L647="",$D647=$BG$634),MAX(BF$637:BF646)+1,0)</f>
        <v>0</v>
      </c>
      <c r="BG647" s="1329">
        <f>IF(OR($L647=BG$635,$L647="",$D647=$BG$634),MAX(BG$637:BG646)+1,0)</f>
        <v>9</v>
      </c>
      <c r="BH647" s="5867"/>
      <c r="BI647" s="907" t="str">
        <f t="shared" si="93"/>
        <v/>
      </c>
      <c r="BJ647" s="86" t="str">
        <f t="shared" si="94"/>
        <v/>
      </c>
      <c r="BK647" s="86" t="str">
        <f t="shared" si="95"/>
        <v>Berdiche</v>
      </c>
      <c r="BL647" s="1327">
        <f>IF(OR($L647=BL$635,$L647="",$D647=$BN$634),MAX(BL$637:BL646)+1,0)</f>
        <v>0</v>
      </c>
      <c r="BM647" s="1328">
        <f>IF(OR($L647=BM$635,$L647="",$D647=$BN$634),MAX(BM$637:BM646)+1,0)</f>
        <v>0</v>
      </c>
      <c r="BN647" s="1329">
        <f>IF(OR($L647=BN$635,$L647="",$D647=$BN$634),MAX(BN$637:BN646)+1,0)</f>
        <v>9</v>
      </c>
      <c r="BO647" s="5867"/>
      <c r="BP647" s="907" t="str">
        <f t="shared" si="96"/>
        <v/>
      </c>
      <c r="BQ647" s="86" t="str">
        <f t="shared" si="97"/>
        <v/>
      </c>
      <c r="BR647" s="86" t="str">
        <f t="shared" si="98"/>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838"/>
      <c r="C648" s="1208"/>
      <c r="D648" s="2957" t="s">
        <v>7167</v>
      </c>
      <c r="E648" s="2961">
        <v>50</v>
      </c>
      <c r="F648" s="2956">
        <v>-15</v>
      </c>
      <c r="G648" s="2956" t="s">
        <v>1459</v>
      </c>
      <c r="H648" s="2956">
        <v>6</v>
      </c>
      <c r="I648" s="2956" t="s">
        <v>1555</v>
      </c>
      <c r="J648" s="2956" t="s">
        <v>1501</v>
      </c>
      <c r="K648" s="2947" t="s">
        <v>7455</v>
      </c>
      <c r="L648" s="2956" t="str">
        <f t="shared" si="102"/>
        <v>Distinta</v>
      </c>
      <c r="M648" s="2962">
        <v>12</v>
      </c>
      <c r="N648" s="2962">
        <v>4</v>
      </c>
      <c r="O648" s="2962">
        <v>20</v>
      </c>
      <c r="P648" s="2956"/>
      <c r="Q648" s="2956"/>
      <c r="R648" s="2956" t="s">
        <v>1459</v>
      </c>
      <c r="S648" s="2956" t="s">
        <v>1459</v>
      </c>
      <c r="T648" s="2956" t="s">
        <v>1459</v>
      </c>
      <c r="U648" s="2956"/>
      <c r="V648" s="2947" t="s">
        <v>1583</v>
      </c>
      <c r="W648" s="2947"/>
      <c r="X648" s="2945" t="str">
        <f t="shared" si="104"/>
        <v>Grande</v>
      </c>
      <c r="Y648" s="2886">
        <f t="shared" si="103"/>
        <v>0</v>
      </c>
      <c r="Z648" s="1326" t="str">
        <f t="shared" si="101"/>
        <v/>
      </c>
      <c r="AB648" s="907" t="s">
        <v>2121</v>
      </c>
      <c r="AC648" s="86" t="s">
        <v>7169</v>
      </c>
      <c r="AD648" s="1443" t="s">
        <v>2211</v>
      </c>
      <c r="AE648" s="1331" t="s">
        <v>2209</v>
      </c>
      <c r="AF648" s="1444"/>
      <c r="AG648" s="907" t="str">
        <f t="shared" si="81"/>
        <v/>
      </c>
      <c r="AH648" s="86" t="str">
        <f t="shared" si="82"/>
        <v/>
      </c>
      <c r="AI648" s="86" t="str">
        <f t="shared" si="83"/>
        <v>Bolas</v>
      </c>
      <c r="AJ648" s="1327">
        <f>IF(OR($L648=AJ$635,$L648="",$D648=$AL$634),MAX(AJ$637:AJ647)+1,0)</f>
        <v>0</v>
      </c>
      <c r="AK648" s="1328">
        <f>IF(OR($L648=AK$635,$L648="",$D648=$AL$634),MAX(AK$637:AK647)+1,0)</f>
        <v>0</v>
      </c>
      <c r="AL648" s="1329">
        <f>IF(OR($L648=AL$635,$L648="",$D648=$AL$634),MAX(AL$637:AL647)+1,0)</f>
        <v>10</v>
      </c>
      <c r="AM648" s="5867"/>
      <c r="AN648" s="907" t="str">
        <f t="shared" si="84"/>
        <v/>
      </c>
      <c r="AO648" s="86" t="str">
        <f t="shared" si="85"/>
        <v/>
      </c>
      <c r="AP648" s="86" t="str">
        <f t="shared" si="86"/>
        <v>Bolas</v>
      </c>
      <c r="AQ648" s="1327">
        <f>IF(OR($L648=AQ$635,$L648="",$D648=$AS$634),MAX(AQ$637:AQ647)+1,0)</f>
        <v>0</v>
      </c>
      <c r="AR648" s="1328">
        <f>IF(OR($L648=AR$635,$L648="",$D648=$AS$634),MAX(AR$637:AR647)+1,0)</f>
        <v>0</v>
      </c>
      <c r="AS648" s="1329">
        <f>IF(OR($L648=AS$635,$L648="",$D648=$AS$634),MAX(AS$637:AS647)+1,0)</f>
        <v>10</v>
      </c>
      <c r="AT648" s="5867"/>
      <c r="AU648" s="907" t="str">
        <f t="shared" si="87"/>
        <v/>
      </c>
      <c r="AV648" s="86" t="str">
        <f t="shared" si="88"/>
        <v/>
      </c>
      <c r="AW648" s="86" t="str">
        <f t="shared" si="89"/>
        <v>Bolas</v>
      </c>
      <c r="AX648" s="1327">
        <f>IF(OR($L648=AX$635,$L648="",$D648=$AZ$634),MAX(AX$637:AX647)+1,0)</f>
        <v>0</v>
      </c>
      <c r="AY648" s="1328">
        <f>IF(OR($L648=AY$635,$L648="",$D648=$AZ$634),MAX(AY$637:AY647)+1,0)</f>
        <v>0</v>
      </c>
      <c r="AZ648" s="1329">
        <f>IF(OR($L648=AZ$635,$L648="",$D648=$AZ$634),MAX(AZ$637:AZ647)+1,0)</f>
        <v>10</v>
      </c>
      <c r="BA648" s="5867"/>
      <c r="BB648" s="907" t="str">
        <f t="shared" si="90"/>
        <v/>
      </c>
      <c r="BC648" s="86" t="str">
        <f t="shared" si="91"/>
        <v/>
      </c>
      <c r="BD648" s="86" t="str">
        <f t="shared" si="92"/>
        <v>Bolas</v>
      </c>
      <c r="BE648" s="1327">
        <f>IF(OR($L648=BE$635,$L648="",$D648=$BG$634),MAX(BE$637:BE647)+1,0)</f>
        <v>0</v>
      </c>
      <c r="BF648" s="1328">
        <f>IF(OR($L648=BF$635,$L648="",$D648=$BG$634),MAX(BF$637:BF647)+1,0)</f>
        <v>0</v>
      </c>
      <c r="BG648" s="1329">
        <f>IF(OR($L648=BG$635,$L648="",$D648=$BG$634),MAX(BG$637:BG647)+1,0)</f>
        <v>10</v>
      </c>
      <c r="BH648" s="5867"/>
      <c r="BI648" s="907" t="str">
        <f t="shared" si="93"/>
        <v/>
      </c>
      <c r="BJ648" s="86" t="str">
        <f t="shared" si="94"/>
        <v/>
      </c>
      <c r="BK648" s="86" t="str">
        <f t="shared" si="95"/>
        <v>Bolas</v>
      </c>
      <c r="BL648" s="1327">
        <f>IF(OR($L648=BL$635,$L648="",$D648=$BN$634),MAX(BL$637:BL647)+1,0)</f>
        <v>0</v>
      </c>
      <c r="BM648" s="1328">
        <f>IF(OR($L648=BM$635,$L648="",$D648=$BN$634),MAX(BM$637:BM647)+1,0)</f>
        <v>0</v>
      </c>
      <c r="BN648" s="1329">
        <f>IF(OR($L648=BN$635,$L648="",$D648=$BN$634),MAX(BN$637:BN647)+1,0)</f>
        <v>10</v>
      </c>
      <c r="BO648" s="5867"/>
      <c r="BP648" s="907" t="str">
        <f t="shared" si="96"/>
        <v/>
      </c>
      <c r="BQ648" s="86" t="str">
        <f t="shared" si="97"/>
        <v/>
      </c>
      <c r="BR648" s="86" t="str">
        <f t="shared" si="98"/>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838"/>
      <c r="C649" s="1208"/>
      <c r="D649" s="2957" t="s">
        <v>2121</v>
      </c>
      <c r="E649" s="2956">
        <v>20</v>
      </c>
      <c r="F649" s="2956">
        <v>0</v>
      </c>
      <c r="G649" s="2956">
        <v>5</v>
      </c>
      <c r="H649" s="2956">
        <v>5</v>
      </c>
      <c r="I649" s="2956" t="s">
        <v>1501</v>
      </c>
      <c r="J649" s="2956" t="s">
        <v>1459</v>
      </c>
      <c r="K649" s="2947" t="s">
        <v>7457</v>
      </c>
      <c r="L649" s="2956" t="str">
        <f t="shared" si="102"/>
        <v>Distinta</v>
      </c>
      <c r="M649" s="2962">
        <v>10</v>
      </c>
      <c r="N649" s="2962">
        <v>2</v>
      </c>
      <c r="O649" s="2962">
        <v>15</v>
      </c>
      <c r="P649" s="2956"/>
      <c r="Q649" s="2956"/>
      <c r="R649" s="2962">
        <v>50</v>
      </c>
      <c r="S649" s="2956" t="s">
        <v>1459</v>
      </c>
      <c r="T649" s="2956">
        <v>20</v>
      </c>
      <c r="U649" s="2956"/>
      <c r="V649" s="2947" t="s">
        <v>2123</v>
      </c>
      <c r="W649" s="2947"/>
      <c r="X649" s="2945" t="str">
        <f t="shared" si="104"/>
        <v>Mediana</v>
      </c>
      <c r="Y649" s="2886">
        <f t="shared" si="103"/>
        <v>0</v>
      </c>
      <c r="Z649" s="1326" t="str">
        <f t="shared" si="101"/>
        <v/>
      </c>
      <c r="AB649" s="907" t="s">
        <v>2124</v>
      </c>
      <c r="AC649" s="86" t="s">
        <v>7171</v>
      </c>
      <c r="AD649" s="1443" t="s">
        <v>2212</v>
      </c>
      <c r="AE649" s="1331" t="s">
        <v>2212</v>
      </c>
      <c r="AF649" s="1444"/>
      <c r="AG649" s="907" t="str">
        <f t="shared" si="81"/>
        <v/>
      </c>
      <c r="AH649" s="86" t="str">
        <f t="shared" si="82"/>
        <v/>
      </c>
      <c r="AI649" s="86" t="str">
        <f t="shared" si="83"/>
        <v>Boleadoras</v>
      </c>
      <c r="AJ649" s="1327">
        <f>IF(OR($L649=AJ$635,$L649="",$D649=$AL$634),MAX(AJ$637:AJ648)+1,0)</f>
        <v>0</v>
      </c>
      <c r="AK649" s="1328">
        <f>IF(OR($L649=AK$635,$L649="",$D649=$AL$634),MAX(AK$637:AK648)+1,0)</f>
        <v>0</v>
      </c>
      <c r="AL649" s="1329">
        <f>IF(OR($L649=AL$635,$L649="",$D649=$AL$634),MAX(AL$637:AL648)+1,0)</f>
        <v>11</v>
      </c>
      <c r="AM649" s="5867"/>
      <c r="AN649" s="907" t="str">
        <f t="shared" si="84"/>
        <v/>
      </c>
      <c r="AO649" s="86" t="str">
        <f t="shared" si="85"/>
        <v/>
      </c>
      <c r="AP649" s="86" t="str">
        <f t="shared" si="86"/>
        <v>Boleadoras</v>
      </c>
      <c r="AQ649" s="1327">
        <f>IF(OR($L649=AQ$635,$L649="",$D649=$AS$634),MAX(AQ$637:AQ648)+1,0)</f>
        <v>0</v>
      </c>
      <c r="AR649" s="1328">
        <f>IF(OR($L649=AR$635,$L649="",$D649=$AS$634),MAX(AR$637:AR648)+1,0)</f>
        <v>0</v>
      </c>
      <c r="AS649" s="1329">
        <f>IF(OR($L649=AS$635,$L649="",$D649=$AS$634),MAX(AS$637:AS648)+1,0)</f>
        <v>11</v>
      </c>
      <c r="AT649" s="5867"/>
      <c r="AU649" s="907" t="str">
        <f t="shared" si="87"/>
        <v/>
      </c>
      <c r="AV649" s="86" t="str">
        <f t="shared" si="88"/>
        <v/>
      </c>
      <c r="AW649" s="86" t="str">
        <f t="shared" si="89"/>
        <v>Boleadoras</v>
      </c>
      <c r="AX649" s="1327">
        <f>IF(OR($L649=AX$635,$L649="",$D649=$AZ$634),MAX(AX$637:AX648)+1,0)</f>
        <v>0</v>
      </c>
      <c r="AY649" s="1328">
        <f>IF(OR($L649=AY$635,$L649="",$D649=$AZ$634),MAX(AY$637:AY648)+1,0)</f>
        <v>0</v>
      </c>
      <c r="AZ649" s="1329">
        <f>IF(OR($L649=AZ$635,$L649="",$D649=$AZ$634),MAX(AZ$637:AZ648)+1,0)</f>
        <v>11</v>
      </c>
      <c r="BA649" s="5867"/>
      <c r="BB649" s="907" t="str">
        <f t="shared" si="90"/>
        <v/>
      </c>
      <c r="BC649" s="86" t="str">
        <f t="shared" si="91"/>
        <v/>
      </c>
      <c r="BD649" s="86" t="str">
        <f t="shared" si="92"/>
        <v>Boleadoras</v>
      </c>
      <c r="BE649" s="1327">
        <f>IF(OR($L649=BE$635,$L649="",$D649=$BG$634),MAX(BE$637:BE648)+1,0)</f>
        <v>0</v>
      </c>
      <c r="BF649" s="1328">
        <f>IF(OR($L649=BF$635,$L649="",$D649=$BG$634),MAX(BF$637:BF648)+1,0)</f>
        <v>0</v>
      </c>
      <c r="BG649" s="1329">
        <f>IF(OR($L649=BG$635,$L649="",$D649=$BG$634),MAX(BG$637:BG648)+1,0)</f>
        <v>11</v>
      </c>
      <c r="BH649" s="5867"/>
      <c r="BI649" s="907" t="str">
        <f t="shared" si="93"/>
        <v/>
      </c>
      <c r="BJ649" s="86" t="str">
        <f t="shared" si="94"/>
        <v/>
      </c>
      <c r="BK649" s="86" t="str">
        <f t="shared" si="95"/>
        <v>Boleadoras</v>
      </c>
      <c r="BL649" s="1327">
        <f>IF(OR($L649=BL$635,$L649="",$D649=$BN$634),MAX(BL$637:BL648)+1,0)</f>
        <v>0</v>
      </c>
      <c r="BM649" s="1328">
        <f>IF(OR($L649=BM$635,$L649="",$D649=$BN$634),MAX(BM$637:BM648)+1,0)</f>
        <v>0</v>
      </c>
      <c r="BN649" s="1329">
        <f>IF(OR($L649=BN$635,$L649="",$D649=$BN$634),MAX(BN$637:BN648)+1,0)</f>
        <v>11</v>
      </c>
      <c r="BO649" s="5867"/>
      <c r="BP649" s="907" t="str">
        <f t="shared" si="96"/>
        <v/>
      </c>
      <c r="BQ649" s="86" t="str">
        <f t="shared" si="97"/>
        <v/>
      </c>
      <c r="BR649" s="86" t="str">
        <f t="shared" si="98"/>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838"/>
      <c r="C650" s="1208"/>
      <c r="D650" s="2957" t="s">
        <v>2124</v>
      </c>
      <c r="E650" s="2956">
        <v>30</v>
      </c>
      <c r="F650" s="2956">
        <v>-10</v>
      </c>
      <c r="G650" s="2956">
        <v>5</v>
      </c>
      <c r="H650" s="2956">
        <v>5</v>
      </c>
      <c r="I650" s="2956" t="s">
        <v>2125</v>
      </c>
      <c r="J650" s="2956" t="s">
        <v>1501</v>
      </c>
      <c r="K650" s="2947" t="s">
        <v>7457</v>
      </c>
      <c r="L650" s="2956" t="str">
        <f t="shared" si="102"/>
        <v>Distinta</v>
      </c>
      <c r="M650" s="2962">
        <v>6</v>
      </c>
      <c r="N650" s="2962">
        <v>2</v>
      </c>
      <c r="O650" s="2962">
        <v>15</v>
      </c>
      <c r="P650" s="2956"/>
      <c r="Q650" s="2956"/>
      <c r="R650" s="2962">
        <v>80</v>
      </c>
      <c r="S650" s="2956" t="s">
        <v>1459</v>
      </c>
      <c r="T650" s="2956">
        <v>20</v>
      </c>
      <c r="U650" s="2956"/>
      <c r="V650" s="2947" t="s">
        <v>8768</v>
      </c>
      <c r="W650" s="2947"/>
      <c r="X650" s="2945" t="str">
        <f t="shared" si="104"/>
        <v>Mediana</v>
      </c>
      <c r="Y650" s="2886">
        <f t="shared" si="103"/>
        <v>0</v>
      </c>
      <c r="Z650" s="1326" t="str">
        <f t="shared" si="101"/>
        <v/>
      </c>
      <c r="AB650" s="907" t="s">
        <v>7170</v>
      </c>
      <c r="AC650" s="86" t="s">
        <v>2136</v>
      </c>
      <c r="AD650" s="1442" t="s">
        <v>2213</v>
      </c>
      <c r="AE650" s="908" t="s">
        <v>2213</v>
      </c>
      <c r="AF650" s="1444"/>
      <c r="AG650" s="907" t="str">
        <f t="shared" si="81"/>
        <v/>
      </c>
      <c r="AH650" s="86" t="str">
        <f t="shared" si="82"/>
        <v/>
      </c>
      <c r="AI650" s="86" t="str">
        <f t="shared" si="83"/>
        <v>Bracamarte</v>
      </c>
      <c r="AJ650" s="1327">
        <f>IF(OR($L650=AJ$635,$L650="",$D650=$AL$634),MAX(AJ$637:AJ649)+1,0)</f>
        <v>0</v>
      </c>
      <c r="AK650" s="1328">
        <f>IF(OR($L650=AK$635,$L650="",$D650=$AL$634),MAX(AK$637:AK649)+1,0)</f>
        <v>0</v>
      </c>
      <c r="AL650" s="1329">
        <f>IF(OR($L650=AL$635,$L650="",$D650=$AL$634),MAX(AL$637:AL649)+1,0)</f>
        <v>12</v>
      </c>
      <c r="AM650" s="5867"/>
      <c r="AN650" s="907" t="str">
        <f t="shared" si="84"/>
        <v/>
      </c>
      <c r="AO650" s="86" t="str">
        <f t="shared" si="85"/>
        <v/>
      </c>
      <c r="AP650" s="86" t="str">
        <f t="shared" si="86"/>
        <v>Bracamarte</v>
      </c>
      <c r="AQ650" s="1327">
        <f>IF(OR($L650=AQ$635,$L650="",$D650=$AS$634),MAX(AQ$637:AQ649)+1,0)</f>
        <v>0</v>
      </c>
      <c r="AR650" s="1328">
        <f>IF(OR($L650=AR$635,$L650="",$D650=$AS$634),MAX(AR$637:AR649)+1,0)</f>
        <v>0</v>
      </c>
      <c r="AS650" s="1329">
        <f>IF(OR($L650=AS$635,$L650="",$D650=$AS$634),MAX(AS$637:AS649)+1,0)</f>
        <v>12</v>
      </c>
      <c r="AT650" s="5867"/>
      <c r="AU650" s="907" t="str">
        <f t="shared" si="87"/>
        <v/>
      </c>
      <c r="AV650" s="86" t="str">
        <f t="shared" si="88"/>
        <v/>
      </c>
      <c r="AW650" s="86" t="str">
        <f t="shared" si="89"/>
        <v>Bracamarte</v>
      </c>
      <c r="AX650" s="1327">
        <f>IF(OR($L650=AX$635,$L650="",$D650=$AZ$634),MAX(AX$637:AX649)+1,0)</f>
        <v>0</v>
      </c>
      <c r="AY650" s="1328">
        <f>IF(OR($L650=AY$635,$L650="",$D650=$AZ$634),MAX(AY$637:AY649)+1,0)</f>
        <v>0</v>
      </c>
      <c r="AZ650" s="1329">
        <f>IF(OR($L650=AZ$635,$L650="",$D650=$AZ$634),MAX(AZ$637:AZ649)+1,0)</f>
        <v>12</v>
      </c>
      <c r="BA650" s="5867"/>
      <c r="BB650" s="907" t="str">
        <f t="shared" si="90"/>
        <v/>
      </c>
      <c r="BC650" s="86" t="str">
        <f t="shared" si="91"/>
        <v/>
      </c>
      <c r="BD650" s="86" t="str">
        <f t="shared" si="92"/>
        <v>Bracamarte</v>
      </c>
      <c r="BE650" s="1327">
        <f>IF(OR($L650=BE$635,$L650="",$D650=$BG$634),MAX(BE$637:BE649)+1,0)</f>
        <v>0</v>
      </c>
      <c r="BF650" s="1328">
        <f>IF(OR($L650=BF$635,$L650="",$D650=$BG$634),MAX(BF$637:BF649)+1,0)</f>
        <v>0</v>
      </c>
      <c r="BG650" s="1329">
        <f>IF(OR($L650=BG$635,$L650="",$D650=$BG$634),MAX(BG$637:BG649)+1,0)</f>
        <v>12</v>
      </c>
      <c r="BH650" s="5867"/>
      <c r="BI650" s="907" t="str">
        <f t="shared" si="93"/>
        <v/>
      </c>
      <c r="BJ650" s="86" t="str">
        <f t="shared" si="94"/>
        <v/>
      </c>
      <c r="BK650" s="86" t="str">
        <f t="shared" si="95"/>
        <v>Bracamarte</v>
      </c>
      <c r="BL650" s="1327">
        <f>IF(OR($L650=BL$635,$L650="",$D650=$BN$634),MAX(BL$637:BL649)+1,0)</f>
        <v>0</v>
      </c>
      <c r="BM650" s="1328">
        <f>IF(OR($L650=BM$635,$L650="",$D650=$BN$634),MAX(BM$637:BM649)+1,0)</f>
        <v>0</v>
      </c>
      <c r="BN650" s="1329">
        <f>IF(OR($L650=BN$635,$L650="",$D650=$BN$634),MAX(BN$637:BN649)+1,0)</f>
        <v>12</v>
      </c>
      <c r="BO650" s="5867"/>
      <c r="BP650" s="907" t="str">
        <f t="shared" si="96"/>
        <v/>
      </c>
      <c r="BQ650" s="86" t="str">
        <f t="shared" si="97"/>
        <v/>
      </c>
      <c r="BR650" s="86" t="str">
        <f t="shared" si="98"/>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838"/>
      <c r="C651" s="1208"/>
      <c r="D651" s="2957" t="s">
        <v>7170</v>
      </c>
      <c r="E651" s="2961">
        <v>60</v>
      </c>
      <c r="F651" s="2956">
        <v>-10</v>
      </c>
      <c r="G651" s="2956">
        <v>7</v>
      </c>
      <c r="H651" s="2956">
        <v>7</v>
      </c>
      <c r="I651" s="2956" t="s">
        <v>1555</v>
      </c>
      <c r="J651" s="2956" t="s">
        <v>1459</v>
      </c>
      <c r="K651" s="2947" t="s">
        <v>7458</v>
      </c>
      <c r="L651" s="2956" t="str">
        <f t="shared" si="102"/>
        <v>Distinta</v>
      </c>
      <c r="M651" s="2962">
        <v>15</v>
      </c>
      <c r="N651" s="2962">
        <v>4</v>
      </c>
      <c r="O651" s="2962">
        <v>20</v>
      </c>
      <c r="P651" s="2956"/>
      <c r="Q651" s="2956"/>
      <c r="R651" s="2956" t="s">
        <v>1459</v>
      </c>
      <c r="S651" s="2956" t="s">
        <v>1459</v>
      </c>
      <c r="T651" s="2956" t="s">
        <v>1459</v>
      </c>
      <c r="U651" s="2956"/>
      <c r="V651" s="2947" t="s">
        <v>1459</v>
      </c>
      <c r="W651" s="2947"/>
      <c r="X651" s="2945" t="str">
        <f t="shared" si="104"/>
        <v>Mediana</v>
      </c>
      <c r="Y651" s="2886">
        <f t="shared" si="103"/>
        <v>0</v>
      </c>
      <c r="Z651" s="1326" t="str">
        <f t="shared" si="101"/>
        <v/>
      </c>
      <c r="AB651" s="907" t="s">
        <v>2126</v>
      </c>
      <c r="AC651" s="86" t="s">
        <v>2139</v>
      </c>
      <c r="AD651" s="1442" t="s">
        <v>2214</v>
      </c>
      <c r="AE651" s="908" t="s">
        <v>7178</v>
      </c>
      <c r="AF651" s="1444"/>
      <c r="AG651" s="907" t="str">
        <f t="shared" si="81"/>
        <v/>
      </c>
      <c r="AH651" s="86" t="str">
        <f t="shared" si="82"/>
        <v/>
      </c>
      <c r="AI651" s="86" t="str">
        <f t="shared" si="83"/>
        <v>Brandistock</v>
      </c>
      <c r="AJ651" s="1327">
        <f>IF(OR($L651=AJ$635,$L651="",$D651=$AL$634),MAX(AJ$637:AJ650)+1,0)</f>
        <v>0</v>
      </c>
      <c r="AK651" s="1328">
        <f>IF(OR($L651=AK$635,$L651="",$D651=$AL$634),MAX(AK$637:AK650)+1,0)</f>
        <v>0</v>
      </c>
      <c r="AL651" s="1329">
        <f>IF(OR($L651=AL$635,$L651="",$D651=$AL$634),MAX(AL$637:AL650)+1,0)</f>
        <v>13</v>
      </c>
      <c r="AM651" s="5867"/>
      <c r="AN651" s="907" t="str">
        <f t="shared" si="84"/>
        <v/>
      </c>
      <c r="AO651" s="86" t="str">
        <f t="shared" si="85"/>
        <v/>
      </c>
      <c r="AP651" s="86" t="str">
        <f t="shared" si="86"/>
        <v>Brandistock</v>
      </c>
      <c r="AQ651" s="1327">
        <f>IF(OR($L651=AQ$635,$L651="",$D651=$AS$634),MAX(AQ$637:AQ650)+1,0)</f>
        <v>0</v>
      </c>
      <c r="AR651" s="1328">
        <f>IF(OR($L651=AR$635,$L651="",$D651=$AS$634),MAX(AR$637:AR650)+1,0)</f>
        <v>0</v>
      </c>
      <c r="AS651" s="1329">
        <f>IF(OR($L651=AS$635,$L651="",$D651=$AS$634),MAX(AS$637:AS650)+1,0)</f>
        <v>13</v>
      </c>
      <c r="AT651" s="5867"/>
      <c r="AU651" s="907" t="str">
        <f t="shared" si="87"/>
        <v/>
      </c>
      <c r="AV651" s="86" t="str">
        <f t="shared" si="88"/>
        <v/>
      </c>
      <c r="AW651" s="86" t="str">
        <f t="shared" si="89"/>
        <v>Brandistock</v>
      </c>
      <c r="AX651" s="1327">
        <f>IF(OR($L651=AX$635,$L651="",$D651=$AZ$634),MAX(AX$637:AX650)+1,0)</f>
        <v>0</v>
      </c>
      <c r="AY651" s="1328">
        <f>IF(OR($L651=AY$635,$L651="",$D651=$AZ$634),MAX(AY$637:AY650)+1,0)</f>
        <v>0</v>
      </c>
      <c r="AZ651" s="1329">
        <f>IF(OR($L651=AZ$635,$L651="",$D651=$AZ$634),MAX(AZ$637:AZ650)+1,0)</f>
        <v>13</v>
      </c>
      <c r="BA651" s="5867"/>
      <c r="BB651" s="907" t="str">
        <f t="shared" si="90"/>
        <v/>
      </c>
      <c r="BC651" s="86" t="str">
        <f t="shared" si="91"/>
        <v/>
      </c>
      <c r="BD651" s="86" t="str">
        <f t="shared" si="92"/>
        <v>Brandistock</v>
      </c>
      <c r="BE651" s="1327">
        <f>IF(OR($L651=BE$635,$L651="",$D651=$BG$634),MAX(BE$637:BE650)+1,0)</f>
        <v>0</v>
      </c>
      <c r="BF651" s="1328">
        <f>IF(OR($L651=BF$635,$L651="",$D651=$BG$634),MAX(BF$637:BF650)+1,0)</f>
        <v>0</v>
      </c>
      <c r="BG651" s="1329">
        <f>IF(OR($L651=BG$635,$L651="",$D651=$BG$634),MAX(BG$637:BG650)+1,0)</f>
        <v>13</v>
      </c>
      <c r="BH651" s="5867"/>
      <c r="BI651" s="907" t="str">
        <f t="shared" si="93"/>
        <v/>
      </c>
      <c r="BJ651" s="86" t="str">
        <f t="shared" si="94"/>
        <v/>
      </c>
      <c r="BK651" s="86" t="str">
        <f t="shared" si="95"/>
        <v>Brandistock</v>
      </c>
      <c r="BL651" s="1327">
        <f>IF(OR($L651=BL$635,$L651="",$D651=$BN$634),MAX(BL$637:BL650)+1,0)</f>
        <v>0</v>
      </c>
      <c r="BM651" s="1328">
        <f>IF(OR($L651=BM$635,$L651="",$D651=$BN$634),MAX(BM$637:BM650)+1,0)</f>
        <v>0</v>
      </c>
      <c r="BN651" s="1329">
        <f>IF(OR($L651=BN$635,$L651="",$D651=$BN$634),MAX(BN$637:BN650)+1,0)</f>
        <v>13</v>
      </c>
      <c r="BO651" s="5867"/>
      <c r="BP651" s="907" t="str">
        <f t="shared" si="96"/>
        <v/>
      </c>
      <c r="BQ651" s="86" t="str">
        <f t="shared" si="97"/>
        <v/>
      </c>
      <c r="BR651" s="86" t="str">
        <f t="shared" si="98"/>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838"/>
      <c r="C652" s="1208"/>
      <c r="D652" s="2957" t="s">
        <v>7169</v>
      </c>
      <c r="E652" s="2961">
        <v>40</v>
      </c>
      <c r="F652" s="2956">
        <v>0</v>
      </c>
      <c r="G652" s="2956" t="s">
        <v>1459</v>
      </c>
      <c r="H652" s="2956">
        <v>6</v>
      </c>
      <c r="I652" s="2956" t="s">
        <v>1556</v>
      </c>
      <c r="J652" s="2956" t="s">
        <v>1501</v>
      </c>
      <c r="K652" s="2947" t="s">
        <v>7455</v>
      </c>
      <c r="L652" s="2956" t="str">
        <f t="shared" si="102"/>
        <v>Distinta</v>
      </c>
      <c r="M652" s="2962">
        <v>9</v>
      </c>
      <c r="N652" s="2962">
        <v>3</v>
      </c>
      <c r="O652" s="2962">
        <v>25</v>
      </c>
      <c r="P652" s="2956"/>
      <c r="Q652" s="2956"/>
      <c r="R652" s="2956" t="s">
        <v>1459</v>
      </c>
      <c r="S652" s="2956" t="s">
        <v>1459</v>
      </c>
      <c r="T652" s="2956" t="s">
        <v>1459</v>
      </c>
      <c r="U652" s="2956"/>
      <c r="V652" s="2947" t="s">
        <v>7219</v>
      </c>
      <c r="W652" s="2947"/>
      <c r="X652" s="2945" t="str">
        <f t="shared" si="104"/>
        <v>Grande</v>
      </c>
      <c r="Y652" s="2886">
        <f t="shared" si="103"/>
        <v>0</v>
      </c>
      <c r="Z652" s="1326" t="str">
        <f t="shared" si="101"/>
        <v/>
      </c>
      <c r="AB652" s="907" t="s">
        <v>2129</v>
      </c>
      <c r="AC652" s="86" t="s">
        <v>7174</v>
      </c>
      <c r="AD652" s="1443" t="s">
        <v>2215</v>
      </c>
      <c r="AE652" s="1331" t="s">
        <v>8498</v>
      </c>
      <c r="AF652" s="1444"/>
      <c r="AG652" s="907" t="str">
        <f t="shared" si="81"/>
        <v/>
      </c>
      <c r="AH652" s="86" t="str">
        <f t="shared" si="82"/>
        <v/>
      </c>
      <c r="AI652" s="86" t="str">
        <f t="shared" si="83"/>
        <v>Cadena</v>
      </c>
      <c r="AJ652" s="1327">
        <f>IF(OR($L652=AJ$635,$L652="",$D652=$AL$634),MAX(AJ$637:AJ651)+1,0)</f>
        <v>0</v>
      </c>
      <c r="AK652" s="1328">
        <f>IF(OR($L652=AK$635,$L652="",$D652=$AL$634),MAX(AK$637:AK651)+1,0)</f>
        <v>0</v>
      </c>
      <c r="AL652" s="1329">
        <f>IF(OR($L652=AL$635,$L652="",$D652=$AL$634),MAX(AL$637:AL651)+1,0)</f>
        <v>14</v>
      </c>
      <c r="AM652" s="5867"/>
      <c r="AN652" s="907" t="str">
        <f t="shared" si="84"/>
        <v/>
      </c>
      <c r="AO652" s="86" t="str">
        <f t="shared" si="85"/>
        <v/>
      </c>
      <c r="AP652" s="86" t="str">
        <f t="shared" si="86"/>
        <v>Cadena</v>
      </c>
      <c r="AQ652" s="1327">
        <f>IF(OR($L652=AQ$635,$L652="",$D652=$AS$634),MAX(AQ$637:AQ651)+1,0)</f>
        <v>0</v>
      </c>
      <c r="AR652" s="1328">
        <f>IF(OR($L652=AR$635,$L652="",$D652=$AS$634),MAX(AR$637:AR651)+1,0)</f>
        <v>0</v>
      </c>
      <c r="AS652" s="1329">
        <f>IF(OR($L652=AS$635,$L652="",$D652=$AS$634),MAX(AS$637:AS651)+1,0)</f>
        <v>14</v>
      </c>
      <c r="AT652" s="5867"/>
      <c r="AU652" s="907" t="str">
        <f t="shared" si="87"/>
        <v/>
      </c>
      <c r="AV652" s="86" t="str">
        <f t="shared" si="88"/>
        <v/>
      </c>
      <c r="AW652" s="86" t="str">
        <f t="shared" si="89"/>
        <v>Cadena</v>
      </c>
      <c r="AX652" s="1327">
        <f>IF(OR($L652=AX$635,$L652="",$D652=$AZ$634),MAX(AX$637:AX651)+1,0)</f>
        <v>0</v>
      </c>
      <c r="AY652" s="1328">
        <f>IF(OR($L652=AY$635,$L652="",$D652=$AZ$634),MAX(AY$637:AY651)+1,0)</f>
        <v>0</v>
      </c>
      <c r="AZ652" s="1329">
        <f>IF(OR($L652=AZ$635,$L652="",$D652=$AZ$634),MAX(AZ$637:AZ651)+1,0)</f>
        <v>14</v>
      </c>
      <c r="BA652" s="5867"/>
      <c r="BB652" s="907" t="str">
        <f t="shared" si="90"/>
        <v/>
      </c>
      <c r="BC652" s="86" t="str">
        <f t="shared" si="91"/>
        <v/>
      </c>
      <c r="BD652" s="86" t="str">
        <f t="shared" si="92"/>
        <v>Cadena</v>
      </c>
      <c r="BE652" s="1327">
        <f>IF(OR($L652=BE$635,$L652="",$D652=$BG$634),MAX(BE$637:BE651)+1,0)</f>
        <v>0</v>
      </c>
      <c r="BF652" s="1328">
        <f>IF(OR($L652=BF$635,$L652="",$D652=$BG$634),MAX(BF$637:BF651)+1,0)</f>
        <v>0</v>
      </c>
      <c r="BG652" s="1329">
        <f>IF(OR($L652=BG$635,$L652="",$D652=$BG$634),MAX(BG$637:BG651)+1,0)</f>
        <v>14</v>
      </c>
      <c r="BH652" s="5867"/>
      <c r="BI652" s="907" t="str">
        <f t="shared" si="93"/>
        <v/>
      </c>
      <c r="BJ652" s="86" t="str">
        <f t="shared" si="94"/>
        <v/>
      </c>
      <c r="BK652" s="86" t="str">
        <f t="shared" si="95"/>
        <v>Cadena</v>
      </c>
      <c r="BL652" s="1327">
        <f>IF(OR($L652=BL$635,$L652="",$D652=$BN$634),MAX(BL$637:BL651)+1,0)</f>
        <v>0</v>
      </c>
      <c r="BM652" s="1328">
        <f>IF(OR($L652=BM$635,$L652="",$D652=$BN$634),MAX(BM$637:BM651)+1,0)</f>
        <v>0</v>
      </c>
      <c r="BN652" s="1329">
        <f>IF(OR($L652=BN$635,$L652="",$D652=$BN$634),MAX(BN$637:BN651)+1,0)</f>
        <v>14</v>
      </c>
      <c r="BO652" s="5867"/>
      <c r="BP652" s="907" t="str">
        <f t="shared" si="96"/>
        <v/>
      </c>
      <c r="BQ652" s="86" t="str">
        <f t="shared" si="97"/>
        <v/>
      </c>
      <c r="BR652" s="86" t="str">
        <f t="shared" si="98"/>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838"/>
      <c r="C653" s="1208"/>
      <c r="D653" s="2957" t="s">
        <v>2126</v>
      </c>
      <c r="E653" s="2961">
        <v>25</v>
      </c>
      <c r="F653" s="2956">
        <v>0</v>
      </c>
      <c r="G653" s="2956">
        <v>6</v>
      </c>
      <c r="H653" s="2956">
        <v>6</v>
      </c>
      <c r="I653" s="2956" t="s">
        <v>1501</v>
      </c>
      <c r="J653" s="2956" t="s">
        <v>1459</v>
      </c>
      <c r="K653" s="2947" t="s">
        <v>7459</v>
      </c>
      <c r="L653" s="2956" t="str">
        <f t="shared" si="102"/>
        <v>Distinta</v>
      </c>
      <c r="M653" s="2962">
        <v>13</v>
      </c>
      <c r="N653" s="2962">
        <v>2</v>
      </c>
      <c r="O653" s="2962">
        <v>15</v>
      </c>
      <c r="P653" s="2956"/>
      <c r="Q653" s="2956"/>
      <c r="R653" s="2956" t="s">
        <v>1459</v>
      </c>
      <c r="S653" s="2956" t="s">
        <v>1459</v>
      </c>
      <c r="T653" s="2956" t="s">
        <v>1459</v>
      </c>
      <c r="U653" s="2956"/>
      <c r="V653" s="2947" t="s">
        <v>2128</v>
      </c>
      <c r="W653" s="2947"/>
      <c r="X653" s="2945" t="str">
        <f t="shared" si="104"/>
        <v>Mediana</v>
      </c>
      <c r="Y653" s="2886">
        <f t="shared" si="103"/>
        <v>0</v>
      </c>
      <c r="Z653" s="1326" t="str">
        <f t="shared" si="101"/>
        <v/>
      </c>
      <c r="AB653" s="907" t="s">
        <v>7173</v>
      </c>
      <c r="AC653" s="86" t="s">
        <v>7175</v>
      </c>
      <c r="AD653" s="1443" t="s">
        <v>2216</v>
      </c>
      <c r="AE653" s="1331" t="s">
        <v>8499</v>
      </c>
      <c r="AF653" s="1444"/>
      <c r="AG653" s="907" t="str">
        <f t="shared" si="81"/>
        <v/>
      </c>
      <c r="AH653" s="86" t="str">
        <f t="shared" si="82"/>
        <v/>
      </c>
      <c r="AI653" s="86" t="str">
        <f t="shared" si="83"/>
        <v>Cestus</v>
      </c>
      <c r="AJ653" s="1327">
        <f>IF(OR($L653=AJ$635,$L653="",$D653=$AL$634),MAX(AJ$637:AJ652)+1,0)</f>
        <v>0</v>
      </c>
      <c r="AK653" s="1328">
        <f>IF(OR($L653=AK$635,$L653="",$D653=$AL$634),MAX(AK$637:AK652)+1,0)</f>
        <v>0</v>
      </c>
      <c r="AL653" s="1329">
        <f>IF(OR($L653=AL$635,$L653="",$D653=$AL$634),MAX(AL$637:AL652)+1,0)</f>
        <v>15</v>
      </c>
      <c r="AM653" s="5867"/>
      <c r="AN653" s="907" t="str">
        <f t="shared" si="84"/>
        <v/>
      </c>
      <c r="AO653" s="86" t="str">
        <f t="shared" si="85"/>
        <v/>
      </c>
      <c r="AP653" s="86" t="str">
        <f t="shared" si="86"/>
        <v>Cestus</v>
      </c>
      <c r="AQ653" s="1327">
        <f>IF(OR($L653=AQ$635,$L653="",$D653=$AS$634),MAX(AQ$637:AQ652)+1,0)</f>
        <v>0</v>
      </c>
      <c r="AR653" s="1328">
        <f>IF(OR($L653=AR$635,$L653="",$D653=$AS$634),MAX(AR$637:AR652)+1,0)</f>
        <v>0</v>
      </c>
      <c r="AS653" s="1329">
        <f>IF(OR($L653=AS$635,$L653="",$D653=$AS$634),MAX(AS$637:AS652)+1,0)</f>
        <v>15</v>
      </c>
      <c r="AT653" s="5867"/>
      <c r="AU653" s="907" t="str">
        <f t="shared" si="87"/>
        <v/>
      </c>
      <c r="AV653" s="86" t="str">
        <f t="shared" si="88"/>
        <v/>
      </c>
      <c r="AW653" s="86" t="str">
        <f t="shared" si="89"/>
        <v>Cestus</v>
      </c>
      <c r="AX653" s="1327">
        <f>IF(OR($L653=AX$635,$L653="",$D653=$AZ$634),MAX(AX$637:AX652)+1,0)</f>
        <v>0</v>
      </c>
      <c r="AY653" s="1328">
        <f>IF(OR($L653=AY$635,$L653="",$D653=$AZ$634),MAX(AY$637:AY652)+1,0)</f>
        <v>0</v>
      </c>
      <c r="AZ653" s="1329">
        <f>IF(OR($L653=AZ$635,$L653="",$D653=$AZ$634),MAX(AZ$637:AZ652)+1,0)</f>
        <v>15</v>
      </c>
      <c r="BA653" s="5867"/>
      <c r="BB653" s="907" t="str">
        <f t="shared" si="90"/>
        <v/>
      </c>
      <c r="BC653" s="86" t="str">
        <f t="shared" si="91"/>
        <v/>
      </c>
      <c r="BD653" s="86" t="str">
        <f t="shared" si="92"/>
        <v>Cestus</v>
      </c>
      <c r="BE653" s="1327">
        <f>IF(OR($L653=BE$635,$L653="",$D653=$BG$634),MAX(BE$637:BE652)+1,0)</f>
        <v>0</v>
      </c>
      <c r="BF653" s="1328">
        <f>IF(OR($L653=BF$635,$L653="",$D653=$BG$634),MAX(BF$637:BF652)+1,0)</f>
        <v>0</v>
      </c>
      <c r="BG653" s="1329">
        <f>IF(OR($L653=BG$635,$L653="",$D653=$BG$634),MAX(BG$637:BG652)+1,0)</f>
        <v>15</v>
      </c>
      <c r="BH653" s="5867"/>
      <c r="BI653" s="907" t="str">
        <f t="shared" si="93"/>
        <v/>
      </c>
      <c r="BJ653" s="86" t="str">
        <f t="shared" si="94"/>
        <v/>
      </c>
      <c r="BK653" s="86" t="str">
        <f t="shared" si="95"/>
        <v>Cestus</v>
      </c>
      <c r="BL653" s="1327">
        <f>IF(OR($L653=BL$635,$L653="",$D653=$BN$634),MAX(BL$637:BL652)+1,0)</f>
        <v>0</v>
      </c>
      <c r="BM653" s="1328">
        <f>IF(OR($L653=BM$635,$L653="",$D653=$BN$634),MAX(BM$637:BM652)+1,0)</f>
        <v>0</v>
      </c>
      <c r="BN653" s="1329">
        <f>IF(OR($L653=BN$635,$L653="",$D653=$BN$634),MAX(BN$637:BN652)+1,0)</f>
        <v>15</v>
      </c>
      <c r="BO653" s="5867"/>
      <c r="BP653" s="907" t="str">
        <f t="shared" si="96"/>
        <v/>
      </c>
      <c r="BQ653" s="86" t="str">
        <f t="shared" si="97"/>
        <v/>
      </c>
      <c r="BR653" s="86" t="str">
        <f t="shared" si="98"/>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838"/>
      <c r="C654" s="1208"/>
      <c r="D654" s="2957" t="s">
        <v>2129</v>
      </c>
      <c r="E654" s="2961">
        <v>25</v>
      </c>
      <c r="F654" s="2956">
        <v>10</v>
      </c>
      <c r="G654" s="2956">
        <v>3</v>
      </c>
      <c r="H654" s="2956">
        <v>3</v>
      </c>
      <c r="I654" s="2956" t="s">
        <v>1556</v>
      </c>
      <c r="J654" s="2956" t="s">
        <v>1555</v>
      </c>
      <c r="K654" s="2947" t="s">
        <v>7460</v>
      </c>
      <c r="L654" s="2956" t="str">
        <f t="shared" si="102"/>
        <v>Distinta</v>
      </c>
      <c r="M654" s="2962">
        <v>11</v>
      </c>
      <c r="N654" s="2962">
        <v>-2</v>
      </c>
      <c r="O654" s="2962">
        <v>15</v>
      </c>
      <c r="P654" s="2956"/>
      <c r="Q654" s="2956"/>
      <c r="R654" s="2956" t="s">
        <v>1459</v>
      </c>
      <c r="S654" s="2956" t="s">
        <v>1459</v>
      </c>
      <c r="T654" s="2956" t="s">
        <v>1459</v>
      </c>
      <c r="U654" s="2956"/>
      <c r="V654" s="2947" t="s">
        <v>1459</v>
      </c>
      <c r="W654" s="2947"/>
      <c r="X654" s="2945" t="str">
        <f t="shared" si="104"/>
        <v>Pequeña</v>
      </c>
      <c r="Y654" s="2886">
        <f t="shared" si="103"/>
        <v>0</v>
      </c>
      <c r="Z654" s="1326" t="str">
        <f t="shared" si="101"/>
        <v/>
      </c>
      <c r="AB654" s="907" t="s">
        <v>2131</v>
      </c>
      <c r="AC654" s="86" t="s">
        <v>7177</v>
      </c>
      <c r="AD654" s="1443" t="s">
        <v>2235</v>
      </c>
      <c r="AE654" s="1331" t="s">
        <v>8500</v>
      </c>
      <c r="AF654" s="1444"/>
      <c r="AG654" s="907" t="str">
        <f t="shared" si="81"/>
        <v/>
      </c>
      <c r="AH654" s="86" t="str">
        <f t="shared" si="82"/>
        <v/>
      </c>
      <c r="AI654" s="86" t="str">
        <f t="shared" si="83"/>
        <v>Chui</v>
      </c>
      <c r="AJ654" s="1327">
        <f>IF(OR($L654=AJ$635,$L654="",$D654=$AL$634),MAX(AJ$637:AJ653)+1,0)</f>
        <v>0</v>
      </c>
      <c r="AK654" s="1328">
        <f>IF(OR($L654=AK$635,$L654="",$D654=$AL$634),MAX(AK$637:AK653)+1,0)</f>
        <v>0</v>
      </c>
      <c r="AL654" s="1329">
        <f>IF(OR($L654=AL$635,$L654="",$D654=$AL$634),MAX(AL$637:AL653)+1,0)</f>
        <v>16</v>
      </c>
      <c r="AM654" s="5867"/>
      <c r="AN654" s="907" t="str">
        <f t="shared" si="84"/>
        <v/>
      </c>
      <c r="AO654" s="86" t="str">
        <f t="shared" si="85"/>
        <v/>
      </c>
      <c r="AP654" s="86" t="str">
        <f t="shared" si="86"/>
        <v>Chui</v>
      </c>
      <c r="AQ654" s="1327">
        <f>IF(OR($L654=AQ$635,$L654="",$D654=$AS$634),MAX(AQ$637:AQ653)+1,0)</f>
        <v>0</v>
      </c>
      <c r="AR654" s="1328">
        <f>IF(OR($L654=AR$635,$L654="",$D654=$AS$634),MAX(AR$637:AR653)+1,0)</f>
        <v>0</v>
      </c>
      <c r="AS654" s="1329">
        <f>IF(OR($L654=AS$635,$L654="",$D654=$AS$634),MAX(AS$637:AS653)+1,0)</f>
        <v>16</v>
      </c>
      <c r="AT654" s="5867"/>
      <c r="AU654" s="907" t="str">
        <f t="shared" si="87"/>
        <v/>
      </c>
      <c r="AV654" s="86" t="str">
        <f t="shared" si="88"/>
        <v/>
      </c>
      <c r="AW654" s="86" t="str">
        <f t="shared" si="89"/>
        <v>Chui</v>
      </c>
      <c r="AX654" s="1327">
        <f>IF(OR($L654=AX$635,$L654="",$D654=$AZ$634),MAX(AX$637:AX653)+1,0)</f>
        <v>0</v>
      </c>
      <c r="AY654" s="1328">
        <f>IF(OR($L654=AY$635,$L654="",$D654=$AZ$634),MAX(AY$637:AY653)+1,0)</f>
        <v>0</v>
      </c>
      <c r="AZ654" s="1329">
        <f>IF(OR($L654=AZ$635,$L654="",$D654=$AZ$634),MAX(AZ$637:AZ653)+1,0)</f>
        <v>16</v>
      </c>
      <c r="BA654" s="5867"/>
      <c r="BB654" s="907" t="str">
        <f t="shared" si="90"/>
        <v/>
      </c>
      <c r="BC654" s="86" t="str">
        <f t="shared" si="91"/>
        <v/>
      </c>
      <c r="BD654" s="86" t="str">
        <f t="shared" si="92"/>
        <v>Chui</v>
      </c>
      <c r="BE654" s="1327">
        <f>IF(OR($L654=BE$635,$L654="",$D654=$BG$634),MAX(BE$637:BE653)+1,0)</f>
        <v>0</v>
      </c>
      <c r="BF654" s="1328">
        <f>IF(OR($L654=BF$635,$L654="",$D654=$BG$634),MAX(BF$637:BF653)+1,0)</f>
        <v>0</v>
      </c>
      <c r="BG654" s="1329">
        <f>IF(OR($L654=BG$635,$L654="",$D654=$BG$634),MAX(BG$637:BG653)+1,0)</f>
        <v>16</v>
      </c>
      <c r="BH654" s="5867"/>
      <c r="BI654" s="907" t="str">
        <f t="shared" si="93"/>
        <v/>
      </c>
      <c r="BJ654" s="86" t="str">
        <f t="shared" si="94"/>
        <v/>
      </c>
      <c r="BK654" s="86" t="str">
        <f t="shared" si="95"/>
        <v>Chui</v>
      </c>
      <c r="BL654" s="1327">
        <f>IF(OR($L654=BL$635,$L654="",$D654=$BN$634),MAX(BL$637:BL653)+1,0)</f>
        <v>0</v>
      </c>
      <c r="BM654" s="1328">
        <f>IF(OR($L654=BM$635,$L654="",$D654=$BN$634),MAX(BM$637:BM653)+1,0)</f>
        <v>0</v>
      </c>
      <c r="BN654" s="1329">
        <f>IF(OR($L654=BN$635,$L654="",$D654=$BN$634),MAX(BN$637:BN653)+1,0)</f>
        <v>16</v>
      </c>
      <c r="BO654" s="5867"/>
      <c r="BP654" s="907" t="str">
        <f t="shared" si="96"/>
        <v/>
      </c>
      <c r="BQ654" s="86" t="str">
        <f t="shared" si="97"/>
        <v/>
      </c>
      <c r="BR654" s="86" t="str">
        <f t="shared" si="98"/>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838"/>
      <c r="C655" s="1208"/>
      <c r="D655" s="2957" t="s">
        <v>7173</v>
      </c>
      <c r="E655" s="2961">
        <v>40</v>
      </c>
      <c r="F655" s="2956">
        <v>5</v>
      </c>
      <c r="G655" s="2956">
        <v>6</v>
      </c>
      <c r="H655" s="2956">
        <v>6</v>
      </c>
      <c r="I655" s="2956" t="s">
        <v>1501</v>
      </c>
      <c r="J655" s="2956" t="s">
        <v>1459</v>
      </c>
      <c r="K655" s="2947" t="s">
        <v>7461</v>
      </c>
      <c r="L655" s="2956" t="str">
        <f t="shared" si="102"/>
        <v>Distinta</v>
      </c>
      <c r="M655" s="2962">
        <v>13</v>
      </c>
      <c r="N655" s="2962">
        <v>3</v>
      </c>
      <c r="O655" s="2962">
        <v>15</v>
      </c>
      <c r="P655" s="2956"/>
      <c r="Q655" s="2956"/>
      <c r="R655" s="2956" t="s">
        <v>1459</v>
      </c>
      <c r="S655" s="2956" t="s">
        <v>1459</v>
      </c>
      <c r="T655" s="2956" t="s">
        <v>1459</v>
      </c>
      <c r="U655" s="2956"/>
      <c r="V655" s="2947" t="s">
        <v>1459</v>
      </c>
      <c r="W655" s="2947"/>
      <c r="X655" s="2945" t="str">
        <f t="shared" si="104"/>
        <v>Mediana</v>
      </c>
      <c r="Y655" s="2886">
        <f t="shared" si="103"/>
        <v>0</v>
      </c>
      <c r="Z655" s="1326" t="str">
        <f t="shared" si="101"/>
        <v/>
      </c>
      <c r="AB655" s="907" t="s">
        <v>7176</v>
      </c>
      <c r="AC655" s="86" t="s">
        <v>2149</v>
      </c>
      <c r="AD655" s="1443" t="s">
        <v>8785</v>
      </c>
      <c r="AE655" s="1331" t="s">
        <v>8501</v>
      </c>
      <c r="AF655" s="1444"/>
      <c r="AG655" s="907" t="str">
        <f t="shared" si="81"/>
        <v/>
      </c>
      <c r="AH655" s="86" t="str">
        <f t="shared" si="82"/>
        <v/>
      </c>
      <c r="AI655" s="86" t="str">
        <f t="shared" si="83"/>
        <v>Cimitarra</v>
      </c>
      <c r="AJ655" s="1327">
        <f>IF(OR($L655=AJ$635,$L655="",$D655=$AL$634),MAX(AJ$637:AJ654)+1,0)</f>
        <v>0</v>
      </c>
      <c r="AK655" s="1328">
        <f>IF(OR($L655=AK$635,$L655="",$D655=$AL$634),MAX(AK$637:AK654)+1,0)</f>
        <v>0</v>
      </c>
      <c r="AL655" s="1329">
        <f>IF(OR($L655=AL$635,$L655="",$D655=$AL$634),MAX(AL$637:AL654)+1,0)</f>
        <v>17</v>
      </c>
      <c r="AM655" s="5867"/>
      <c r="AN655" s="907" t="str">
        <f t="shared" si="84"/>
        <v/>
      </c>
      <c r="AO655" s="86" t="str">
        <f t="shared" si="85"/>
        <v/>
      </c>
      <c r="AP655" s="86" t="str">
        <f t="shared" si="86"/>
        <v>Cimitarra</v>
      </c>
      <c r="AQ655" s="1327">
        <f>IF(OR($L655=AQ$635,$L655="",$D655=$AS$634),MAX(AQ$637:AQ654)+1,0)</f>
        <v>0</v>
      </c>
      <c r="AR655" s="1328">
        <f>IF(OR($L655=AR$635,$L655="",$D655=$AS$634),MAX(AR$637:AR654)+1,0)</f>
        <v>0</v>
      </c>
      <c r="AS655" s="1329">
        <f>IF(OR($L655=AS$635,$L655="",$D655=$AS$634),MAX(AS$637:AS654)+1,0)</f>
        <v>17</v>
      </c>
      <c r="AT655" s="5867"/>
      <c r="AU655" s="907" t="str">
        <f t="shared" si="87"/>
        <v/>
      </c>
      <c r="AV655" s="86" t="str">
        <f t="shared" si="88"/>
        <v/>
      </c>
      <c r="AW655" s="86" t="str">
        <f t="shared" si="89"/>
        <v>Cimitarra</v>
      </c>
      <c r="AX655" s="1327">
        <f>IF(OR($L655=AX$635,$L655="",$D655=$AZ$634),MAX(AX$637:AX654)+1,0)</f>
        <v>0</v>
      </c>
      <c r="AY655" s="1328">
        <f>IF(OR($L655=AY$635,$L655="",$D655=$AZ$634),MAX(AY$637:AY654)+1,0)</f>
        <v>0</v>
      </c>
      <c r="AZ655" s="1329">
        <f>IF(OR($L655=AZ$635,$L655="",$D655=$AZ$634),MAX(AZ$637:AZ654)+1,0)</f>
        <v>17</v>
      </c>
      <c r="BA655" s="5867"/>
      <c r="BB655" s="907" t="str">
        <f t="shared" si="90"/>
        <v/>
      </c>
      <c r="BC655" s="86" t="str">
        <f t="shared" si="91"/>
        <v/>
      </c>
      <c r="BD655" s="86" t="str">
        <f t="shared" si="92"/>
        <v>Cimitarra</v>
      </c>
      <c r="BE655" s="1327">
        <f>IF(OR($L655=BE$635,$L655="",$D655=$BG$634),MAX(BE$637:BE654)+1,0)</f>
        <v>0</v>
      </c>
      <c r="BF655" s="1328">
        <f>IF(OR($L655=BF$635,$L655="",$D655=$BG$634),MAX(BF$637:BF654)+1,0)</f>
        <v>0</v>
      </c>
      <c r="BG655" s="1329">
        <f>IF(OR($L655=BG$635,$L655="",$D655=$BG$634),MAX(BG$637:BG654)+1,0)</f>
        <v>17</v>
      </c>
      <c r="BH655" s="5867"/>
      <c r="BI655" s="907" t="str">
        <f t="shared" si="93"/>
        <v/>
      </c>
      <c r="BJ655" s="86" t="str">
        <f t="shared" si="94"/>
        <v/>
      </c>
      <c r="BK655" s="86" t="str">
        <f t="shared" si="95"/>
        <v>Cimitarra</v>
      </c>
      <c r="BL655" s="1327">
        <f>IF(OR($L655=BL$635,$L655="",$D655=$BN$634),MAX(BL$637:BL654)+1,0)</f>
        <v>0</v>
      </c>
      <c r="BM655" s="1328">
        <f>IF(OR($L655=BM$635,$L655="",$D655=$BN$634),MAX(BM$637:BM654)+1,0)</f>
        <v>0</v>
      </c>
      <c r="BN655" s="1329">
        <f>IF(OR($L655=BN$635,$L655="",$D655=$BN$634),MAX(BN$637:BN654)+1,0)</f>
        <v>17</v>
      </c>
      <c r="BO655" s="5867"/>
      <c r="BP655" s="907" t="str">
        <f t="shared" si="96"/>
        <v/>
      </c>
      <c r="BQ655" s="86" t="str">
        <f t="shared" si="97"/>
        <v/>
      </c>
      <c r="BR655" s="86" t="str">
        <f t="shared" si="98"/>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838"/>
      <c r="C656" s="1208"/>
      <c r="D656" s="2957" t="s">
        <v>2131</v>
      </c>
      <c r="E656" s="2961">
        <v>50</v>
      </c>
      <c r="F656" s="2956">
        <v>-5</v>
      </c>
      <c r="G656" s="2956">
        <v>5</v>
      </c>
      <c r="H656" s="2956">
        <v>5</v>
      </c>
      <c r="I656" s="2956" t="s">
        <v>1555</v>
      </c>
      <c r="J656" s="2956" t="s">
        <v>1459</v>
      </c>
      <c r="K656" s="2947" t="s">
        <v>7458</v>
      </c>
      <c r="L656" s="2956" t="str">
        <f t="shared" si="102"/>
        <v>Distinta</v>
      </c>
      <c r="M656" s="2962">
        <v>13</v>
      </c>
      <c r="N656" s="2962">
        <v>4</v>
      </c>
      <c r="O656" s="2962">
        <v>20</v>
      </c>
      <c r="P656" s="2956"/>
      <c r="Q656" s="2956"/>
      <c r="R656" s="2956" t="s">
        <v>1459</v>
      </c>
      <c r="S656" s="2956" t="s">
        <v>1459</v>
      </c>
      <c r="T656" s="2956" t="s">
        <v>1459</v>
      </c>
      <c r="U656" s="2956"/>
      <c r="V656" s="2947" t="s">
        <v>1459</v>
      </c>
      <c r="W656" s="2947"/>
      <c r="X656" s="2945" t="str">
        <f t="shared" si="104"/>
        <v>Mediana</v>
      </c>
      <c r="Y656" s="2886">
        <f t="shared" si="103"/>
        <v>0</v>
      </c>
      <c r="Z656" s="1326" t="str">
        <f t="shared" si="101"/>
        <v/>
      </c>
      <c r="AB656" s="907" t="s">
        <v>2133</v>
      </c>
      <c r="AC656" s="86" t="s">
        <v>2150</v>
      </c>
      <c r="AD656" s="1443" t="s">
        <v>8786</v>
      </c>
      <c r="AE656" s="1331" t="s">
        <v>2235</v>
      </c>
      <c r="AF656" s="1444"/>
      <c r="AG656" s="907" t="str">
        <f t="shared" si="81"/>
        <v/>
      </c>
      <c r="AH656" s="86" t="str">
        <f t="shared" si="82"/>
        <v/>
      </c>
      <c r="AI656" s="86" t="str">
        <f t="shared" si="83"/>
        <v>Cinquedea</v>
      </c>
      <c r="AJ656" s="1327">
        <f>IF(OR($L656=AJ$635,$L656="",$D656=$AL$634),MAX(AJ$637:AJ655)+1,0)</f>
        <v>0</v>
      </c>
      <c r="AK656" s="1328">
        <f>IF(OR($L656=AK$635,$L656="",$D656=$AL$634),MAX(AK$637:AK655)+1,0)</f>
        <v>0</v>
      </c>
      <c r="AL656" s="1329">
        <f>IF(OR($L656=AL$635,$L656="",$D656=$AL$634),MAX(AL$637:AL655)+1,0)</f>
        <v>18</v>
      </c>
      <c r="AM656" s="5867"/>
      <c r="AN656" s="907" t="str">
        <f t="shared" si="84"/>
        <v/>
      </c>
      <c r="AO656" s="86" t="str">
        <f t="shared" si="85"/>
        <v/>
      </c>
      <c r="AP656" s="86" t="str">
        <f t="shared" si="86"/>
        <v>Cinquedea</v>
      </c>
      <c r="AQ656" s="1327">
        <f>IF(OR($L656=AQ$635,$L656="",$D656=$AS$634),MAX(AQ$637:AQ655)+1,0)</f>
        <v>0</v>
      </c>
      <c r="AR656" s="1328">
        <f>IF(OR($L656=AR$635,$L656="",$D656=$AS$634),MAX(AR$637:AR655)+1,0)</f>
        <v>0</v>
      </c>
      <c r="AS656" s="1329">
        <f>IF(OR($L656=AS$635,$L656="",$D656=$AS$634),MAX(AS$637:AS655)+1,0)</f>
        <v>18</v>
      </c>
      <c r="AT656" s="5867"/>
      <c r="AU656" s="907" t="str">
        <f t="shared" si="87"/>
        <v/>
      </c>
      <c r="AV656" s="86" t="str">
        <f t="shared" si="88"/>
        <v/>
      </c>
      <c r="AW656" s="86" t="str">
        <f t="shared" si="89"/>
        <v>Cinquedea</v>
      </c>
      <c r="AX656" s="1327">
        <f>IF(OR($L656=AX$635,$L656="",$D656=$AZ$634),MAX(AX$637:AX655)+1,0)</f>
        <v>0</v>
      </c>
      <c r="AY656" s="1328">
        <f>IF(OR($L656=AY$635,$L656="",$D656=$AZ$634),MAX(AY$637:AY655)+1,0)</f>
        <v>0</v>
      </c>
      <c r="AZ656" s="1329">
        <f>IF(OR($L656=AZ$635,$L656="",$D656=$AZ$634),MAX(AZ$637:AZ655)+1,0)</f>
        <v>18</v>
      </c>
      <c r="BA656" s="5867"/>
      <c r="BB656" s="907" t="str">
        <f t="shared" si="90"/>
        <v/>
      </c>
      <c r="BC656" s="86" t="str">
        <f t="shared" si="91"/>
        <v/>
      </c>
      <c r="BD656" s="86" t="str">
        <f t="shared" si="92"/>
        <v>Cinquedea</v>
      </c>
      <c r="BE656" s="1327">
        <f>IF(OR($L656=BE$635,$L656="",$D656=$BG$634),MAX(BE$637:BE655)+1,0)</f>
        <v>0</v>
      </c>
      <c r="BF656" s="1328">
        <f>IF(OR($L656=BF$635,$L656="",$D656=$BG$634),MAX(BF$637:BF655)+1,0)</f>
        <v>0</v>
      </c>
      <c r="BG656" s="1329">
        <f>IF(OR($L656=BG$635,$L656="",$D656=$BG$634),MAX(BG$637:BG655)+1,0)</f>
        <v>18</v>
      </c>
      <c r="BH656" s="5867"/>
      <c r="BI656" s="907" t="str">
        <f t="shared" si="93"/>
        <v/>
      </c>
      <c r="BJ656" s="86" t="str">
        <f t="shared" si="94"/>
        <v/>
      </c>
      <c r="BK656" s="86" t="str">
        <f t="shared" si="95"/>
        <v>Cinquedea</v>
      </c>
      <c r="BL656" s="1327">
        <f>IF(OR($L656=BL$635,$L656="",$D656=$BN$634),MAX(BL$637:BL655)+1,0)</f>
        <v>0</v>
      </c>
      <c r="BM656" s="1328">
        <f>IF(OR($L656=BM$635,$L656="",$D656=$BN$634),MAX(BM$637:BM655)+1,0)</f>
        <v>0</v>
      </c>
      <c r="BN656" s="1329">
        <f>IF(OR($L656=BN$635,$L656="",$D656=$BN$634),MAX(BN$637:BN655)+1,0)</f>
        <v>18</v>
      </c>
      <c r="BO656" s="5867"/>
      <c r="BP656" s="907" t="str">
        <f t="shared" si="96"/>
        <v/>
      </c>
      <c r="BQ656" s="86" t="str">
        <f t="shared" si="97"/>
        <v/>
      </c>
      <c r="BR656" s="86" t="str">
        <f t="shared" si="98"/>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838"/>
      <c r="C657" s="1208"/>
      <c r="D657" s="2957" t="s">
        <v>7176</v>
      </c>
      <c r="E657" s="2961">
        <v>35</v>
      </c>
      <c r="F657" s="2956">
        <v>0</v>
      </c>
      <c r="G657" s="2956">
        <v>4</v>
      </c>
      <c r="H657" s="2956">
        <v>4</v>
      </c>
      <c r="I657" s="2956" t="s">
        <v>1556</v>
      </c>
      <c r="J657" s="2956" t="s">
        <v>1555</v>
      </c>
      <c r="K657" s="2947" t="s">
        <v>7460</v>
      </c>
      <c r="L657" s="2956" t="str">
        <f t="shared" si="102"/>
        <v>Distinta</v>
      </c>
      <c r="M657" s="2962">
        <v>12</v>
      </c>
      <c r="N657" s="2962">
        <v>0</v>
      </c>
      <c r="O657" s="2962">
        <v>20</v>
      </c>
      <c r="P657" s="2956"/>
      <c r="Q657" s="2956"/>
      <c r="R657" s="2956" t="s">
        <v>1459</v>
      </c>
      <c r="S657" s="2956" t="s">
        <v>1459</v>
      </c>
      <c r="T657" s="2956" t="s">
        <v>1459</v>
      </c>
      <c r="U657" s="2956"/>
      <c r="V657" s="2947" t="s">
        <v>2141</v>
      </c>
      <c r="W657" s="2947"/>
      <c r="X657" s="2945" t="str">
        <f t="shared" si="104"/>
        <v>Pequeña</v>
      </c>
      <c r="Y657" s="2886">
        <f t="shared" si="103"/>
        <v>0</v>
      </c>
      <c r="Z657" s="1326" t="str">
        <f t="shared" si="101"/>
        <v/>
      </c>
      <c r="AB657" s="907" t="s">
        <v>2134</v>
      </c>
      <c r="AC657" s="86" t="s">
        <v>7179</v>
      </c>
      <c r="AD657" s="808"/>
      <c r="AE657" s="1331" t="s">
        <v>8785</v>
      </c>
      <c r="AF657" s="1444"/>
      <c r="AG657" s="907" t="str">
        <f t="shared" si="81"/>
        <v/>
      </c>
      <c r="AH657" s="86" t="str">
        <f t="shared" si="82"/>
        <v/>
      </c>
      <c r="AI657" s="86" t="str">
        <f t="shared" si="83"/>
        <v>Claymore</v>
      </c>
      <c r="AJ657" s="1327">
        <f>IF(OR($L657=AJ$635,$L657="",$D657=$AL$634),MAX(AJ$637:AJ656)+1,0)</f>
        <v>0</v>
      </c>
      <c r="AK657" s="1328">
        <f>IF(OR($L657=AK$635,$L657="",$D657=$AL$634),MAX(AK$637:AK656)+1,0)</f>
        <v>0</v>
      </c>
      <c r="AL657" s="1329">
        <f>IF(OR($L657=AL$635,$L657="",$D657=$AL$634),MAX(AL$637:AL656)+1,0)</f>
        <v>19</v>
      </c>
      <c r="AM657" s="5867"/>
      <c r="AN657" s="907" t="str">
        <f t="shared" si="84"/>
        <v/>
      </c>
      <c r="AO657" s="86" t="str">
        <f t="shared" si="85"/>
        <v/>
      </c>
      <c r="AP657" s="86" t="str">
        <f t="shared" si="86"/>
        <v>Claymore</v>
      </c>
      <c r="AQ657" s="1327">
        <f>IF(OR($L657=AQ$635,$L657="",$D657=$AS$634),MAX(AQ$637:AQ656)+1,0)</f>
        <v>0</v>
      </c>
      <c r="AR657" s="1328">
        <f>IF(OR($L657=AR$635,$L657="",$D657=$AS$634),MAX(AR$637:AR656)+1,0)</f>
        <v>0</v>
      </c>
      <c r="AS657" s="1329">
        <f>IF(OR($L657=AS$635,$L657="",$D657=$AS$634),MAX(AS$637:AS656)+1,0)</f>
        <v>19</v>
      </c>
      <c r="AT657" s="5867"/>
      <c r="AU657" s="907" t="str">
        <f t="shared" si="87"/>
        <v/>
      </c>
      <c r="AV657" s="86" t="str">
        <f t="shared" si="88"/>
        <v/>
      </c>
      <c r="AW657" s="86" t="str">
        <f t="shared" si="89"/>
        <v>Claymore</v>
      </c>
      <c r="AX657" s="1327">
        <f>IF(OR($L657=AX$635,$L657="",$D657=$AZ$634),MAX(AX$637:AX656)+1,0)</f>
        <v>0</v>
      </c>
      <c r="AY657" s="1328">
        <f>IF(OR($L657=AY$635,$L657="",$D657=$AZ$634),MAX(AY$637:AY656)+1,0)</f>
        <v>0</v>
      </c>
      <c r="AZ657" s="1329">
        <f>IF(OR($L657=AZ$635,$L657="",$D657=$AZ$634),MAX(AZ$637:AZ656)+1,0)</f>
        <v>19</v>
      </c>
      <c r="BA657" s="5867"/>
      <c r="BB657" s="907" t="str">
        <f t="shared" si="90"/>
        <v/>
      </c>
      <c r="BC657" s="86" t="str">
        <f t="shared" si="91"/>
        <v/>
      </c>
      <c r="BD657" s="86" t="str">
        <f t="shared" si="92"/>
        <v>Claymore</v>
      </c>
      <c r="BE657" s="1327">
        <f>IF(OR($L657=BE$635,$L657="",$D657=$BG$634),MAX(BE$637:BE656)+1,0)</f>
        <v>0</v>
      </c>
      <c r="BF657" s="1328">
        <f>IF(OR($L657=BF$635,$L657="",$D657=$BG$634),MAX(BF$637:BF656)+1,0)</f>
        <v>0</v>
      </c>
      <c r="BG657" s="1329">
        <f>IF(OR($L657=BG$635,$L657="",$D657=$BG$634),MAX(BG$637:BG656)+1,0)</f>
        <v>19</v>
      </c>
      <c r="BH657" s="5867"/>
      <c r="BI657" s="907" t="str">
        <f t="shared" si="93"/>
        <v/>
      </c>
      <c r="BJ657" s="86" t="str">
        <f t="shared" si="94"/>
        <v/>
      </c>
      <c r="BK657" s="86" t="str">
        <f t="shared" si="95"/>
        <v>Claymore</v>
      </c>
      <c r="BL657" s="1327">
        <f>IF(OR($L657=BL$635,$L657="",$D657=$BN$634),MAX(BL$637:BL656)+1,0)</f>
        <v>0</v>
      </c>
      <c r="BM657" s="1328">
        <f>IF(OR($L657=BM$635,$L657="",$D657=$BN$634),MAX(BM$637:BM656)+1,0)</f>
        <v>0</v>
      </c>
      <c r="BN657" s="1329">
        <f>IF(OR($L657=BN$635,$L657="",$D657=$BN$634),MAX(BN$637:BN656)+1,0)</f>
        <v>19</v>
      </c>
      <c r="BO657" s="5867"/>
      <c r="BP657" s="907" t="str">
        <f t="shared" si="96"/>
        <v/>
      </c>
      <c r="BQ657" s="86" t="str">
        <f t="shared" si="97"/>
        <v/>
      </c>
      <c r="BR657" s="86" t="str">
        <f t="shared" si="98"/>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838"/>
      <c r="C658" s="1208"/>
      <c r="D658" s="2957" t="s">
        <v>7171</v>
      </c>
      <c r="E658" s="2961">
        <v>65</v>
      </c>
      <c r="F658" s="2956">
        <v>-20</v>
      </c>
      <c r="G658" s="2956" t="s">
        <v>1459</v>
      </c>
      <c r="H658" s="2956">
        <v>7</v>
      </c>
      <c r="I658" s="2956" t="s">
        <v>1555</v>
      </c>
      <c r="J658" s="2956" t="s">
        <v>1501</v>
      </c>
      <c r="K658" s="2947" t="s">
        <v>7462</v>
      </c>
      <c r="L658" s="2956" t="str">
        <f t="shared" si="102"/>
        <v>Distinta</v>
      </c>
      <c r="M658" s="2962">
        <v>16</v>
      </c>
      <c r="N658" s="2962">
        <v>5</v>
      </c>
      <c r="O658" s="2962">
        <v>25</v>
      </c>
      <c r="P658" s="2956"/>
      <c r="Q658" s="2956"/>
      <c r="R658" s="2956" t="s">
        <v>1459</v>
      </c>
      <c r="S658" s="2956" t="s">
        <v>1459</v>
      </c>
      <c r="T658" s="2956" t="s">
        <v>1459</v>
      </c>
      <c r="U658" s="2956"/>
      <c r="V658" s="2947" t="s">
        <v>1583</v>
      </c>
      <c r="W658" s="2947"/>
      <c r="X658" s="2945" t="str">
        <f t="shared" si="104"/>
        <v>Grande</v>
      </c>
      <c r="Y658" s="2886">
        <f t="shared" si="103"/>
        <v>0</v>
      </c>
      <c r="Z658" s="1326" t="str">
        <f t="shared" si="101"/>
        <v/>
      </c>
      <c r="AB658" s="907" t="s">
        <v>2135</v>
      </c>
      <c r="AC658" s="86" t="s">
        <v>2151</v>
      </c>
      <c r="AD658" s="1443"/>
      <c r="AE658" s="1331" t="s">
        <v>8786</v>
      </c>
      <c r="AF658" s="1444"/>
      <c r="AG658" s="907" t="str">
        <f t="shared" si="81"/>
        <v/>
      </c>
      <c r="AH658" s="86" t="str">
        <f t="shared" si="82"/>
        <v/>
      </c>
      <c r="AI658" s="86" t="str">
        <f t="shared" si="83"/>
        <v>Daga</v>
      </c>
      <c r="AJ658" s="1327">
        <f>IF(OR($L658=AJ$635,$L658="",$D658=$AL$634),MAX(AJ$637:AJ657)+1,0)</f>
        <v>0</v>
      </c>
      <c r="AK658" s="1328">
        <f>IF(OR($L658=AK$635,$L658="",$D658=$AL$634),MAX(AK$637:AK657)+1,0)</f>
        <v>0</v>
      </c>
      <c r="AL658" s="1329">
        <f>IF(OR($L658=AL$635,$L658="",$D658=$AL$634),MAX(AL$637:AL657)+1,0)</f>
        <v>20</v>
      </c>
      <c r="AM658" s="5867"/>
      <c r="AN658" s="907" t="str">
        <f t="shared" si="84"/>
        <v/>
      </c>
      <c r="AO658" s="86" t="str">
        <f t="shared" si="85"/>
        <v/>
      </c>
      <c r="AP658" s="86" t="str">
        <f t="shared" si="86"/>
        <v>Daga</v>
      </c>
      <c r="AQ658" s="1327">
        <f>IF(OR($L658=AQ$635,$L658="",$D658=$AS$634),MAX(AQ$637:AQ657)+1,0)</f>
        <v>0</v>
      </c>
      <c r="AR658" s="1328">
        <f>IF(OR($L658=AR$635,$L658="",$D658=$AS$634),MAX(AR$637:AR657)+1,0)</f>
        <v>0</v>
      </c>
      <c r="AS658" s="1329">
        <f>IF(OR($L658=AS$635,$L658="",$D658=$AS$634),MAX(AS$637:AS657)+1,0)</f>
        <v>20</v>
      </c>
      <c r="AT658" s="5867"/>
      <c r="AU658" s="907" t="str">
        <f t="shared" si="87"/>
        <v/>
      </c>
      <c r="AV658" s="86" t="str">
        <f t="shared" si="88"/>
        <v/>
      </c>
      <c r="AW658" s="86" t="str">
        <f t="shared" si="89"/>
        <v>Daga</v>
      </c>
      <c r="AX658" s="1327">
        <f>IF(OR($L658=AX$635,$L658="",$D658=$AZ$634),MAX(AX$637:AX657)+1,0)</f>
        <v>0</v>
      </c>
      <c r="AY658" s="1328">
        <f>IF(OR($L658=AY$635,$L658="",$D658=$AZ$634),MAX(AY$637:AY657)+1,0)</f>
        <v>0</v>
      </c>
      <c r="AZ658" s="1329">
        <f>IF(OR($L658=AZ$635,$L658="",$D658=$AZ$634),MAX(AZ$637:AZ657)+1,0)</f>
        <v>20</v>
      </c>
      <c r="BA658" s="5867"/>
      <c r="BB658" s="907" t="str">
        <f t="shared" si="90"/>
        <v/>
      </c>
      <c r="BC658" s="86" t="str">
        <f t="shared" si="91"/>
        <v/>
      </c>
      <c r="BD658" s="86" t="str">
        <f t="shared" si="92"/>
        <v>Daga</v>
      </c>
      <c r="BE658" s="1327">
        <f>IF(OR($L658=BE$635,$L658="",$D658=$BG$634),MAX(BE$637:BE657)+1,0)</f>
        <v>0</v>
      </c>
      <c r="BF658" s="1328">
        <f>IF(OR($L658=BF$635,$L658="",$D658=$BG$634),MAX(BF$637:BF657)+1,0)</f>
        <v>0</v>
      </c>
      <c r="BG658" s="1329">
        <f>IF(OR($L658=BG$635,$L658="",$D658=$BG$634),MAX(BG$637:BG657)+1,0)</f>
        <v>20</v>
      </c>
      <c r="BH658" s="5867"/>
      <c r="BI658" s="907" t="str">
        <f t="shared" si="93"/>
        <v/>
      </c>
      <c r="BJ658" s="86" t="str">
        <f t="shared" si="94"/>
        <v/>
      </c>
      <c r="BK658" s="86" t="str">
        <f t="shared" si="95"/>
        <v>Daga</v>
      </c>
      <c r="BL658" s="1327">
        <f>IF(OR($L658=BL$635,$L658="",$D658=$BN$634),MAX(BL$637:BL657)+1,0)</f>
        <v>0</v>
      </c>
      <c r="BM658" s="1328">
        <f>IF(OR($L658=BM$635,$L658="",$D658=$BN$634),MAX(BM$637:BM657)+1,0)</f>
        <v>0</v>
      </c>
      <c r="BN658" s="1329">
        <f>IF(OR($L658=BN$635,$L658="",$D658=$BN$634),MAX(BN$637:BN657)+1,0)</f>
        <v>20</v>
      </c>
      <c r="BO658" s="5867"/>
      <c r="BP658" s="907" t="str">
        <f t="shared" si="96"/>
        <v/>
      </c>
      <c r="BQ658" s="86" t="str">
        <f t="shared" si="97"/>
        <v/>
      </c>
      <c r="BR658" s="86" t="str">
        <f t="shared" si="98"/>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838"/>
      <c r="C659" s="1208"/>
      <c r="D659" s="2957" t="s">
        <v>2133</v>
      </c>
      <c r="E659" s="2961">
        <v>30</v>
      </c>
      <c r="F659" s="2956">
        <v>20</v>
      </c>
      <c r="G659" s="2956">
        <v>3</v>
      </c>
      <c r="H659" s="2956">
        <v>3</v>
      </c>
      <c r="I659" s="2956" t="s">
        <v>1556</v>
      </c>
      <c r="J659" s="2956" t="s">
        <v>1555</v>
      </c>
      <c r="K659" s="2947" t="s">
        <v>7460</v>
      </c>
      <c r="L659" s="2956" t="str">
        <f t="shared" si="102"/>
        <v>Distinta</v>
      </c>
      <c r="M659" s="2962">
        <v>10</v>
      </c>
      <c r="N659" s="2962">
        <v>-2</v>
      </c>
      <c r="O659" s="2962">
        <v>15</v>
      </c>
      <c r="P659" s="2956"/>
      <c r="Q659" s="2956"/>
      <c r="R659" s="2962">
        <v>50</v>
      </c>
      <c r="S659" s="2956" t="s">
        <v>1459</v>
      </c>
      <c r="T659" s="2956">
        <v>20</v>
      </c>
      <c r="U659" s="2956"/>
      <c r="V659" s="2947" t="s">
        <v>8769</v>
      </c>
      <c r="W659" s="2947"/>
      <c r="X659" s="2945" t="str">
        <f t="shared" si="104"/>
        <v>Pequeña</v>
      </c>
      <c r="Y659" s="2886">
        <f t="shared" si="103"/>
        <v>0</v>
      </c>
      <c r="Z659" s="1326" t="str">
        <f t="shared" si="101"/>
        <v/>
      </c>
      <c r="AB659" s="907" t="s">
        <v>7180</v>
      </c>
      <c r="AC659" s="86" t="s">
        <v>2156</v>
      </c>
      <c r="AD659" s="1443"/>
      <c r="AE659" s="1331" t="s">
        <v>8787</v>
      </c>
      <c r="AG659" s="907" t="str">
        <f t="shared" si="81"/>
        <v/>
      </c>
      <c r="AH659" s="86" t="str">
        <f t="shared" si="82"/>
        <v/>
      </c>
      <c r="AI659" s="86" t="str">
        <f t="shared" si="83"/>
        <v>Daga de parada</v>
      </c>
      <c r="AJ659" s="1327">
        <f>IF(OR($L659=AJ$635,$L659="",$D659=$AL$634),MAX(AJ$637:AJ658)+1,0)</f>
        <v>0</v>
      </c>
      <c r="AK659" s="1328">
        <f>IF(OR($L659=AK$635,$L659="",$D659=$AL$634),MAX(AK$637:AK658)+1,0)</f>
        <v>0</v>
      </c>
      <c r="AL659" s="1329">
        <f>IF(OR($L659=AL$635,$L659="",$D659=$AL$634),MAX(AL$637:AL658)+1,0)</f>
        <v>21</v>
      </c>
      <c r="AM659" s="5867"/>
      <c r="AN659" s="907" t="str">
        <f t="shared" si="84"/>
        <v/>
      </c>
      <c r="AO659" s="86" t="str">
        <f t="shared" si="85"/>
        <v/>
      </c>
      <c r="AP659" s="86" t="str">
        <f t="shared" si="86"/>
        <v>Daga de parada</v>
      </c>
      <c r="AQ659" s="1327">
        <f>IF(OR($L659=AQ$635,$L659="",$D659=$AS$634),MAX(AQ$637:AQ658)+1,0)</f>
        <v>0</v>
      </c>
      <c r="AR659" s="1328">
        <f>IF(OR($L659=AR$635,$L659="",$D659=$AS$634),MAX(AR$637:AR658)+1,0)</f>
        <v>0</v>
      </c>
      <c r="AS659" s="1329">
        <f>IF(OR($L659=AS$635,$L659="",$D659=$AS$634),MAX(AS$637:AS658)+1,0)</f>
        <v>21</v>
      </c>
      <c r="AT659" s="5867"/>
      <c r="AU659" s="907" t="str">
        <f t="shared" si="87"/>
        <v/>
      </c>
      <c r="AV659" s="86" t="str">
        <f t="shared" si="88"/>
        <v/>
      </c>
      <c r="AW659" s="86" t="str">
        <f t="shared" si="89"/>
        <v>Daga de parada</v>
      </c>
      <c r="AX659" s="1327">
        <f>IF(OR($L659=AX$635,$L659="",$D659=$AZ$634),MAX(AX$637:AX658)+1,0)</f>
        <v>0</v>
      </c>
      <c r="AY659" s="1328">
        <f>IF(OR($L659=AY$635,$L659="",$D659=$AZ$634),MAX(AY$637:AY658)+1,0)</f>
        <v>0</v>
      </c>
      <c r="AZ659" s="1329">
        <f>IF(OR($L659=AZ$635,$L659="",$D659=$AZ$634),MAX(AZ$637:AZ658)+1,0)</f>
        <v>21</v>
      </c>
      <c r="BA659" s="5867"/>
      <c r="BB659" s="907" t="str">
        <f t="shared" si="90"/>
        <v/>
      </c>
      <c r="BC659" s="86" t="str">
        <f t="shared" si="91"/>
        <v/>
      </c>
      <c r="BD659" s="86" t="str">
        <f t="shared" si="92"/>
        <v>Daga de parada</v>
      </c>
      <c r="BE659" s="1327">
        <f>IF(OR($L659=BE$635,$L659="",$D659=$BG$634),MAX(BE$637:BE658)+1,0)</f>
        <v>0</v>
      </c>
      <c r="BF659" s="1328">
        <f>IF(OR($L659=BF$635,$L659="",$D659=$BG$634),MAX(BF$637:BF658)+1,0)</f>
        <v>0</v>
      </c>
      <c r="BG659" s="1329">
        <f>IF(OR($L659=BG$635,$L659="",$D659=$BG$634),MAX(BG$637:BG658)+1,0)</f>
        <v>21</v>
      </c>
      <c r="BH659" s="5867"/>
      <c r="BI659" s="907" t="str">
        <f t="shared" si="93"/>
        <v/>
      </c>
      <c r="BJ659" s="86" t="str">
        <f t="shared" si="94"/>
        <v/>
      </c>
      <c r="BK659" s="86" t="str">
        <f t="shared" si="95"/>
        <v>Daga de parada</v>
      </c>
      <c r="BL659" s="1327">
        <f>IF(OR($L659=BL$635,$L659="",$D659=$BN$634),MAX(BL$637:BL658)+1,0)</f>
        <v>0</v>
      </c>
      <c r="BM659" s="1328">
        <f>IF(OR($L659=BM$635,$L659="",$D659=$BN$634),MAX(BM$637:BM658)+1,0)</f>
        <v>0</v>
      </c>
      <c r="BN659" s="1329">
        <f>IF(OR($L659=BN$635,$L659="",$D659=$BN$634),MAX(BN$637:BN658)+1,0)</f>
        <v>21</v>
      </c>
      <c r="BO659" s="5867"/>
      <c r="BP659" s="907" t="str">
        <f t="shared" si="96"/>
        <v/>
      </c>
      <c r="BQ659" s="86" t="str">
        <f t="shared" si="97"/>
        <v/>
      </c>
      <c r="BR659" s="86" t="str">
        <f t="shared" si="98"/>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838"/>
      <c r="C660" s="1208"/>
      <c r="D660" s="2957" t="s">
        <v>2134</v>
      </c>
      <c r="E660" s="2961">
        <v>30</v>
      </c>
      <c r="F660" s="2956">
        <v>15</v>
      </c>
      <c r="G660" s="2956">
        <v>3</v>
      </c>
      <c r="H660" s="2956">
        <v>3</v>
      </c>
      <c r="I660" s="2956" t="s">
        <v>1556</v>
      </c>
      <c r="J660" s="2956" t="s">
        <v>1555</v>
      </c>
      <c r="K660" s="2947" t="s">
        <v>7460</v>
      </c>
      <c r="L660" s="2956" t="str">
        <f t="shared" si="102"/>
        <v>Distinta</v>
      </c>
      <c r="M660" s="2962">
        <v>12</v>
      </c>
      <c r="N660" s="2962">
        <v>0</v>
      </c>
      <c r="O660" s="2962">
        <v>20</v>
      </c>
      <c r="P660" s="2956"/>
      <c r="Q660" s="2956"/>
      <c r="R660" s="2962">
        <v>50</v>
      </c>
      <c r="S660" s="2956" t="s">
        <v>1459</v>
      </c>
      <c r="T660" s="2956">
        <v>15</v>
      </c>
      <c r="U660" s="2956"/>
      <c r="V660" s="2947" t="s">
        <v>8770</v>
      </c>
      <c r="W660" s="2947"/>
      <c r="X660" s="2945" t="str">
        <f t="shared" si="104"/>
        <v>Pequeña</v>
      </c>
      <c r="Y660" s="2886">
        <f t="shared" si="103"/>
        <v>0</v>
      </c>
      <c r="Z660" s="1326" t="str">
        <f t="shared" si="101"/>
        <v/>
      </c>
      <c r="AB660" s="907" t="s">
        <v>7181</v>
      </c>
      <c r="AC660" s="86" t="s">
        <v>7182</v>
      </c>
      <c r="AD660" s="1443"/>
      <c r="AE660" s="1338"/>
      <c r="AG660" s="907" t="str">
        <f t="shared" si="81"/>
        <v/>
      </c>
      <c r="AH660" s="86" t="str">
        <f t="shared" si="82"/>
        <v/>
      </c>
      <c r="AI660" s="86" t="str">
        <f t="shared" si="83"/>
        <v>Dardos de mano</v>
      </c>
      <c r="AJ660" s="1327">
        <f>IF(OR($L660=AJ$635,$L660="",$D660=$AL$634),MAX(AJ$637:AJ659)+1,0)</f>
        <v>0</v>
      </c>
      <c r="AK660" s="1328">
        <f>IF(OR($L660=AK$635,$L660="",$D660=$AL$634),MAX(AK$637:AK659)+1,0)</f>
        <v>0</v>
      </c>
      <c r="AL660" s="1329">
        <f>IF(OR($L660=AL$635,$L660="",$D660=$AL$634),MAX(AL$637:AL659)+1,0)</f>
        <v>22</v>
      </c>
      <c r="AM660" s="5867"/>
      <c r="AN660" s="907" t="str">
        <f t="shared" si="84"/>
        <v/>
      </c>
      <c r="AO660" s="86" t="str">
        <f t="shared" si="85"/>
        <v/>
      </c>
      <c r="AP660" s="86" t="str">
        <f t="shared" si="86"/>
        <v>Dardos de mano</v>
      </c>
      <c r="AQ660" s="1327">
        <f>IF(OR($L660=AQ$635,$L660="",$D660=$AS$634),MAX(AQ$637:AQ659)+1,0)</f>
        <v>0</v>
      </c>
      <c r="AR660" s="1328">
        <f>IF(OR($L660=AR$635,$L660="",$D660=$AS$634),MAX(AR$637:AR659)+1,0)</f>
        <v>0</v>
      </c>
      <c r="AS660" s="1329">
        <f>IF(OR($L660=AS$635,$L660="",$D660=$AS$634),MAX(AS$637:AS659)+1,0)</f>
        <v>22</v>
      </c>
      <c r="AT660" s="5867"/>
      <c r="AU660" s="907" t="str">
        <f t="shared" si="87"/>
        <v/>
      </c>
      <c r="AV660" s="86" t="str">
        <f t="shared" si="88"/>
        <v/>
      </c>
      <c r="AW660" s="86" t="str">
        <f t="shared" si="89"/>
        <v>Dardos de mano</v>
      </c>
      <c r="AX660" s="1327">
        <f>IF(OR($L660=AX$635,$L660="",$D660=$AZ$634),MAX(AX$637:AX659)+1,0)</f>
        <v>0</v>
      </c>
      <c r="AY660" s="1328">
        <f>IF(OR($L660=AY$635,$L660="",$D660=$AZ$634),MAX(AY$637:AY659)+1,0)</f>
        <v>0</v>
      </c>
      <c r="AZ660" s="1329">
        <f>IF(OR($L660=AZ$635,$L660="",$D660=$AZ$634),MAX(AZ$637:AZ659)+1,0)</f>
        <v>22</v>
      </c>
      <c r="BA660" s="5867"/>
      <c r="BB660" s="907" t="str">
        <f t="shared" si="90"/>
        <v/>
      </c>
      <c r="BC660" s="86" t="str">
        <f t="shared" si="91"/>
        <v/>
      </c>
      <c r="BD660" s="86" t="str">
        <f t="shared" si="92"/>
        <v>Dardos de mano</v>
      </c>
      <c r="BE660" s="1327">
        <f>IF(OR($L660=BE$635,$L660="",$D660=$BG$634),MAX(BE$637:BE659)+1,0)</f>
        <v>0</v>
      </c>
      <c r="BF660" s="1328">
        <f>IF(OR($L660=BF$635,$L660="",$D660=$BG$634),MAX(BF$637:BF659)+1,0)</f>
        <v>0</v>
      </c>
      <c r="BG660" s="1329">
        <f>IF(OR($L660=BG$635,$L660="",$D660=$BG$634),MAX(BG$637:BG659)+1,0)</f>
        <v>22</v>
      </c>
      <c r="BH660" s="5867"/>
      <c r="BI660" s="907" t="str">
        <f t="shared" si="93"/>
        <v/>
      </c>
      <c r="BJ660" s="86" t="str">
        <f t="shared" si="94"/>
        <v/>
      </c>
      <c r="BK660" s="86" t="str">
        <f t="shared" si="95"/>
        <v>Dardos de mano</v>
      </c>
      <c r="BL660" s="1327">
        <f>IF(OR($L660=BL$635,$L660="",$D660=$BN$634),MAX(BL$637:BL659)+1,0)</f>
        <v>0</v>
      </c>
      <c r="BM660" s="1328">
        <f>IF(OR($L660=BM$635,$L660="",$D660=$BN$634),MAX(BM$637:BM659)+1,0)</f>
        <v>0</v>
      </c>
      <c r="BN660" s="1329">
        <f>IF(OR($L660=BN$635,$L660="",$D660=$BN$634),MAX(BN$637:BN659)+1,0)</f>
        <v>22</v>
      </c>
      <c r="BO660" s="5867"/>
      <c r="BP660" s="907" t="str">
        <f t="shared" si="96"/>
        <v/>
      </c>
      <c r="BQ660" s="86" t="str">
        <f t="shared" si="97"/>
        <v/>
      </c>
      <c r="BR660" s="86" t="str">
        <f t="shared" si="98"/>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838"/>
      <c r="C661" s="1208"/>
      <c r="D661" s="2957" t="s">
        <v>2135</v>
      </c>
      <c r="E661" s="2956">
        <v>20</v>
      </c>
      <c r="F661" s="2956">
        <v>20</v>
      </c>
      <c r="G661" s="2956">
        <v>3</v>
      </c>
      <c r="H661" s="2956">
        <v>3</v>
      </c>
      <c r="I661" s="2956" t="s">
        <v>1556</v>
      </c>
      <c r="J661" s="2956" t="s">
        <v>1459</v>
      </c>
      <c r="K661" s="2947" t="s">
        <v>7457</v>
      </c>
      <c r="L661" s="2956" t="str">
        <f t="shared" si="102"/>
        <v>Distinta</v>
      </c>
      <c r="M661" s="2962">
        <v>3</v>
      </c>
      <c r="N661" s="2962">
        <v>-4</v>
      </c>
      <c r="O661" s="2962">
        <v>15</v>
      </c>
      <c r="P661" s="2956"/>
      <c r="Q661" s="2956"/>
      <c r="R661" s="2962">
        <v>40</v>
      </c>
      <c r="S661" s="2956" t="s">
        <v>1459</v>
      </c>
      <c r="T661" s="2956">
        <v>20</v>
      </c>
      <c r="U661" s="2956"/>
      <c r="V661" s="2947" t="s">
        <v>8771</v>
      </c>
      <c r="W661" s="2947"/>
      <c r="X661" s="2945" t="str">
        <f t="shared" si="104"/>
        <v>Mediana</v>
      </c>
      <c r="Y661" s="2886">
        <f t="shared" si="103"/>
        <v>0</v>
      </c>
      <c r="Z661" s="1326" t="str">
        <f t="shared" si="101"/>
        <v/>
      </c>
      <c r="AB661" s="907" t="s">
        <v>2136</v>
      </c>
      <c r="AC661" s="86" t="s">
        <v>7183</v>
      </c>
      <c r="AD661" s="1443"/>
      <c r="AE661" s="1338"/>
      <c r="AG661" s="907" t="str">
        <f t="shared" si="81"/>
        <v/>
      </c>
      <c r="AH661" s="86" t="str">
        <f t="shared" si="82"/>
        <v/>
      </c>
      <c r="AI661" s="86" t="str">
        <f t="shared" si="83"/>
        <v>Dirk</v>
      </c>
      <c r="AJ661" s="1327">
        <f>IF(OR($L661=AJ$635,$L661="",$D661=$AL$634),MAX(AJ$637:AJ660)+1,0)</f>
        <v>0</v>
      </c>
      <c r="AK661" s="1328">
        <f>IF(OR($L661=AK$635,$L661="",$D661=$AL$634),MAX(AK$637:AK660)+1,0)</f>
        <v>0</v>
      </c>
      <c r="AL661" s="1329">
        <f>IF(OR($L661=AL$635,$L661="",$D661=$AL$634),MAX(AL$637:AL660)+1,0)</f>
        <v>23</v>
      </c>
      <c r="AM661" s="5867"/>
      <c r="AN661" s="907" t="str">
        <f t="shared" si="84"/>
        <v/>
      </c>
      <c r="AO661" s="86" t="str">
        <f t="shared" si="85"/>
        <v/>
      </c>
      <c r="AP661" s="86" t="str">
        <f t="shared" si="86"/>
        <v>Dirk</v>
      </c>
      <c r="AQ661" s="1327">
        <f>IF(OR($L661=AQ$635,$L661="",$D661=$AS$634),MAX(AQ$637:AQ660)+1,0)</f>
        <v>0</v>
      </c>
      <c r="AR661" s="1328">
        <f>IF(OR($L661=AR$635,$L661="",$D661=$AS$634),MAX(AR$637:AR660)+1,0)</f>
        <v>0</v>
      </c>
      <c r="AS661" s="1329">
        <f>IF(OR($L661=AS$635,$L661="",$D661=$AS$634),MAX(AS$637:AS660)+1,0)</f>
        <v>23</v>
      </c>
      <c r="AT661" s="5867"/>
      <c r="AU661" s="907" t="str">
        <f t="shared" si="87"/>
        <v/>
      </c>
      <c r="AV661" s="86" t="str">
        <f t="shared" si="88"/>
        <v/>
      </c>
      <c r="AW661" s="86" t="str">
        <f t="shared" si="89"/>
        <v>Dirk</v>
      </c>
      <c r="AX661" s="1327">
        <f>IF(OR($L661=AX$635,$L661="",$D661=$AZ$634),MAX(AX$637:AX660)+1,0)</f>
        <v>0</v>
      </c>
      <c r="AY661" s="1328">
        <f>IF(OR($L661=AY$635,$L661="",$D661=$AZ$634),MAX(AY$637:AY660)+1,0)</f>
        <v>0</v>
      </c>
      <c r="AZ661" s="1329">
        <f>IF(OR($L661=AZ$635,$L661="",$D661=$AZ$634),MAX(AZ$637:AZ660)+1,0)</f>
        <v>23</v>
      </c>
      <c r="BA661" s="5867"/>
      <c r="BB661" s="907" t="str">
        <f t="shared" si="90"/>
        <v/>
      </c>
      <c r="BC661" s="86" t="str">
        <f t="shared" si="91"/>
        <v/>
      </c>
      <c r="BD661" s="86" t="str">
        <f t="shared" si="92"/>
        <v>Dirk</v>
      </c>
      <c r="BE661" s="1327">
        <f>IF(OR($L661=BE$635,$L661="",$D661=$BG$634),MAX(BE$637:BE660)+1,0)</f>
        <v>0</v>
      </c>
      <c r="BF661" s="1328">
        <f>IF(OR($L661=BF$635,$L661="",$D661=$BG$634),MAX(BF$637:BF660)+1,0)</f>
        <v>0</v>
      </c>
      <c r="BG661" s="1329">
        <f>IF(OR($L661=BG$635,$L661="",$D661=$BG$634),MAX(BG$637:BG660)+1,0)</f>
        <v>23</v>
      </c>
      <c r="BH661" s="5867"/>
      <c r="BI661" s="907" t="str">
        <f t="shared" si="93"/>
        <v/>
      </c>
      <c r="BJ661" s="86" t="str">
        <f t="shared" si="94"/>
        <v/>
      </c>
      <c r="BK661" s="86" t="str">
        <f t="shared" si="95"/>
        <v>Dirk</v>
      </c>
      <c r="BL661" s="1327">
        <f>IF(OR($L661=BL$635,$L661="",$D661=$BN$634),MAX(BL$637:BL660)+1,0)</f>
        <v>0</v>
      </c>
      <c r="BM661" s="1328">
        <f>IF(OR($L661=BM$635,$L661="",$D661=$BN$634),MAX(BM$637:BM660)+1,0)</f>
        <v>0</v>
      </c>
      <c r="BN661" s="1329">
        <f>IF(OR($L661=BN$635,$L661="",$D661=$BN$634),MAX(BN$637:BN660)+1,0)</f>
        <v>23</v>
      </c>
      <c r="BO661" s="5867"/>
      <c r="BP661" s="907" t="str">
        <f t="shared" si="96"/>
        <v/>
      </c>
      <c r="BQ661" s="86" t="str">
        <f t="shared" si="97"/>
        <v/>
      </c>
      <c r="BR661" s="86" t="str">
        <f t="shared" si="98"/>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838"/>
      <c r="C662" s="1208"/>
      <c r="D662" s="2957" t="s">
        <v>7180</v>
      </c>
      <c r="E662" s="2961">
        <v>35</v>
      </c>
      <c r="F662" s="2956">
        <v>15</v>
      </c>
      <c r="G662" s="2956">
        <v>5</v>
      </c>
      <c r="H662" s="2956">
        <v>5</v>
      </c>
      <c r="I662" s="2956" t="s">
        <v>1556</v>
      </c>
      <c r="J662" s="2956" t="s">
        <v>1459</v>
      </c>
      <c r="K662" s="2947" t="s">
        <v>7460</v>
      </c>
      <c r="L662" s="2956" t="str">
        <f t="shared" si="102"/>
        <v>Distinta</v>
      </c>
      <c r="M662" s="2962">
        <v>10</v>
      </c>
      <c r="N662" s="2962">
        <v>-2</v>
      </c>
      <c r="O662" s="2962">
        <v>15</v>
      </c>
      <c r="P662" s="2956"/>
      <c r="Q662" s="2956"/>
      <c r="R662" s="2956" t="s">
        <v>1459</v>
      </c>
      <c r="S662" s="2956" t="s">
        <v>1459</v>
      </c>
      <c r="T662" s="2956" t="s">
        <v>1459</v>
      </c>
      <c r="U662" s="2956"/>
      <c r="V662" s="2947" t="s">
        <v>2141</v>
      </c>
      <c r="W662" s="2947"/>
      <c r="X662" s="2945" t="str">
        <f t="shared" si="104"/>
        <v>Pequeña</v>
      </c>
      <c r="Y662" s="2886">
        <f t="shared" si="103"/>
        <v>0</v>
      </c>
      <c r="Z662" s="1326" t="str">
        <f t="shared" si="101"/>
        <v/>
      </c>
      <c r="AB662" s="907" t="s">
        <v>2138</v>
      </c>
      <c r="AC662" s="86" t="s">
        <v>2168</v>
      </c>
      <c r="AD662" s="1443"/>
      <c r="AE662" s="1338"/>
      <c r="AG662" s="907" t="str">
        <f t="shared" si="81"/>
        <v/>
      </c>
      <c r="AH662" s="86" t="str">
        <f t="shared" si="82"/>
        <v/>
      </c>
      <c r="AI662" s="86" t="str">
        <f t="shared" si="83"/>
        <v>Escramasajón</v>
      </c>
      <c r="AJ662" s="1327">
        <f>IF(OR($L662=AJ$635,$L662="",$D662=$AL$634),MAX(AJ$637:AJ661)+1,0)</f>
        <v>0</v>
      </c>
      <c r="AK662" s="1328">
        <f>IF(OR($L662=AK$635,$L662="",$D662=$AL$634),MAX(AK$637:AK661)+1,0)</f>
        <v>0</v>
      </c>
      <c r="AL662" s="1329">
        <f>IF(OR($L662=AL$635,$L662="",$D662=$AL$634),MAX(AL$637:AL661)+1,0)</f>
        <v>24</v>
      </c>
      <c r="AM662" s="5867"/>
      <c r="AN662" s="907" t="str">
        <f t="shared" si="84"/>
        <v/>
      </c>
      <c r="AO662" s="86" t="str">
        <f t="shared" si="85"/>
        <v/>
      </c>
      <c r="AP662" s="86" t="str">
        <f t="shared" si="86"/>
        <v>Escramasajón</v>
      </c>
      <c r="AQ662" s="1327">
        <f>IF(OR($L662=AQ$635,$L662="",$D662=$AS$634),MAX(AQ$637:AQ661)+1,0)</f>
        <v>0</v>
      </c>
      <c r="AR662" s="1328">
        <f>IF(OR($L662=AR$635,$L662="",$D662=$AS$634),MAX(AR$637:AR661)+1,0)</f>
        <v>0</v>
      </c>
      <c r="AS662" s="1329">
        <f>IF(OR($L662=AS$635,$L662="",$D662=$AS$634),MAX(AS$637:AS661)+1,0)</f>
        <v>24</v>
      </c>
      <c r="AT662" s="5867"/>
      <c r="AU662" s="907" t="str">
        <f t="shared" si="87"/>
        <v/>
      </c>
      <c r="AV662" s="86" t="str">
        <f t="shared" si="88"/>
        <v/>
      </c>
      <c r="AW662" s="86" t="str">
        <f t="shared" si="89"/>
        <v>Escramasajón</v>
      </c>
      <c r="AX662" s="1327">
        <f>IF(OR($L662=AX$635,$L662="",$D662=$AZ$634),MAX(AX$637:AX661)+1,0)</f>
        <v>0</v>
      </c>
      <c r="AY662" s="1328">
        <f>IF(OR($L662=AY$635,$L662="",$D662=$AZ$634),MAX(AY$637:AY661)+1,0)</f>
        <v>0</v>
      </c>
      <c r="AZ662" s="1329">
        <f>IF(OR($L662=AZ$635,$L662="",$D662=$AZ$634),MAX(AZ$637:AZ661)+1,0)</f>
        <v>24</v>
      </c>
      <c r="BA662" s="5867"/>
      <c r="BB662" s="907" t="str">
        <f t="shared" si="90"/>
        <v/>
      </c>
      <c r="BC662" s="86" t="str">
        <f t="shared" si="91"/>
        <v/>
      </c>
      <c r="BD662" s="86" t="str">
        <f t="shared" si="92"/>
        <v>Escramasajón</v>
      </c>
      <c r="BE662" s="1327">
        <f>IF(OR($L662=BE$635,$L662="",$D662=$BG$634),MAX(BE$637:BE661)+1,0)</f>
        <v>0</v>
      </c>
      <c r="BF662" s="1328">
        <f>IF(OR($L662=BF$635,$L662="",$D662=$BG$634),MAX(BF$637:BF661)+1,0)</f>
        <v>0</v>
      </c>
      <c r="BG662" s="1329">
        <f>IF(OR($L662=BG$635,$L662="",$D662=$BG$634),MAX(BG$637:BG661)+1,0)</f>
        <v>24</v>
      </c>
      <c r="BH662" s="5867"/>
      <c r="BI662" s="907" t="str">
        <f t="shared" si="93"/>
        <v/>
      </c>
      <c r="BJ662" s="86" t="str">
        <f t="shared" si="94"/>
        <v/>
      </c>
      <c r="BK662" s="86" t="str">
        <f t="shared" si="95"/>
        <v>Escramasajón</v>
      </c>
      <c r="BL662" s="1327">
        <f>IF(OR($L662=BL$635,$L662="",$D662=$BN$634),MAX(BL$637:BL661)+1,0)</f>
        <v>0</v>
      </c>
      <c r="BM662" s="1328">
        <f>IF(OR($L662=BM$635,$L662="",$D662=$BN$634),MAX(BM$637:BM661)+1,0)</f>
        <v>0</v>
      </c>
      <c r="BN662" s="1329">
        <f>IF(OR($L662=BN$635,$L662="",$D662=$BN$634),MAX(BN$637:BN661)+1,0)</f>
        <v>24</v>
      </c>
      <c r="BO662" s="5867"/>
      <c r="BP662" s="907" t="str">
        <f t="shared" si="96"/>
        <v/>
      </c>
      <c r="BQ662" s="86" t="str">
        <f t="shared" si="97"/>
        <v/>
      </c>
      <c r="BR662" s="86" t="str">
        <f t="shared" si="98"/>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838"/>
      <c r="C663" s="1208"/>
      <c r="D663" s="2957" t="s">
        <v>7181</v>
      </c>
      <c r="E663" s="2961">
        <v>45</v>
      </c>
      <c r="F663" s="2956">
        <v>0</v>
      </c>
      <c r="G663" s="2956">
        <v>4</v>
      </c>
      <c r="H663" s="2956">
        <v>4</v>
      </c>
      <c r="I663" s="2956" t="s">
        <v>1555</v>
      </c>
      <c r="J663" s="2956" t="s">
        <v>1556</v>
      </c>
      <c r="K663" s="2947" t="s">
        <v>7460</v>
      </c>
      <c r="L663" s="2956" t="str">
        <f t="shared" si="102"/>
        <v>Distinta</v>
      </c>
      <c r="M663" s="2962">
        <v>14</v>
      </c>
      <c r="N663" s="2962">
        <v>4</v>
      </c>
      <c r="O663" s="2962">
        <v>20</v>
      </c>
      <c r="P663" s="2956"/>
      <c r="Q663" s="2956"/>
      <c r="R663" s="2956" t="s">
        <v>1459</v>
      </c>
      <c r="S663" s="2956" t="s">
        <v>1459</v>
      </c>
      <c r="T663" s="2956" t="s">
        <v>1459</v>
      </c>
      <c r="U663" s="2956"/>
      <c r="V663" s="2947" t="s">
        <v>1459</v>
      </c>
      <c r="W663" s="2947"/>
      <c r="X663" s="2945" t="str">
        <f t="shared" si="104"/>
        <v>Pequeña</v>
      </c>
      <c r="Y663" s="2886">
        <f t="shared" si="103"/>
        <v>0</v>
      </c>
      <c r="Z663" s="1326" t="str">
        <f t="shared" si="101"/>
        <v/>
      </c>
      <c r="AB663" s="907" t="s">
        <v>2139</v>
      </c>
      <c r="AC663" s="236" t="s">
        <v>7184</v>
      </c>
      <c r="AD663" s="808"/>
      <c r="AE663" s="1338"/>
      <c r="AG663" s="907" t="str">
        <f t="shared" si="81"/>
        <v/>
      </c>
      <c r="AH663" s="86" t="str">
        <f t="shared" si="82"/>
        <v/>
      </c>
      <c r="AI663" s="86" t="str">
        <f t="shared" si="83"/>
        <v>Espada a dos manos</v>
      </c>
      <c r="AJ663" s="1327">
        <f>IF(OR($L663=AJ$635,$L663="",$D663=$AL$634),MAX(AJ$637:AJ662)+1,0)</f>
        <v>0</v>
      </c>
      <c r="AK663" s="1328">
        <f>IF(OR($L663=AK$635,$L663="",$D663=$AL$634),MAX(AK$637:AK662)+1,0)</f>
        <v>0</v>
      </c>
      <c r="AL663" s="1329">
        <f>IF(OR($L663=AL$635,$L663="",$D663=$AL$634),MAX(AL$637:AL662)+1,0)</f>
        <v>25</v>
      </c>
      <c r="AM663" s="5867"/>
      <c r="AN663" s="907" t="str">
        <f t="shared" si="84"/>
        <v/>
      </c>
      <c r="AO663" s="86" t="str">
        <f t="shared" si="85"/>
        <v/>
      </c>
      <c r="AP663" s="86" t="str">
        <f t="shared" si="86"/>
        <v>Espada a dos manos</v>
      </c>
      <c r="AQ663" s="1327">
        <f>IF(OR($L663=AQ$635,$L663="",$D663=$AS$634),MAX(AQ$637:AQ662)+1,0)</f>
        <v>0</v>
      </c>
      <c r="AR663" s="1328">
        <f>IF(OR($L663=AR$635,$L663="",$D663=$AS$634),MAX(AR$637:AR662)+1,0)</f>
        <v>0</v>
      </c>
      <c r="AS663" s="1329">
        <f>IF(OR($L663=AS$635,$L663="",$D663=$AS$634),MAX(AS$637:AS662)+1,0)</f>
        <v>25</v>
      </c>
      <c r="AT663" s="5867"/>
      <c r="AU663" s="907" t="str">
        <f t="shared" si="87"/>
        <v/>
      </c>
      <c r="AV663" s="86" t="str">
        <f t="shared" si="88"/>
        <v/>
      </c>
      <c r="AW663" s="86" t="str">
        <f t="shared" si="89"/>
        <v>Espada a dos manos</v>
      </c>
      <c r="AX663" s="1327">
        <f>IF(OR($L663=AX$635,$L663="",$D663=$AZ$634),MAX(AX$637:AX662)+1,0)</f>
        <v>0</v>
      </c>
      <c r="AY663" s="1328">
        <f>IF(OR($L663=AY$635,$L663="",$D663=$AZ$634),MAX(AY$637:AY662)+1,0)</f>
        <v>0</v>
      </c>
      <c r="AZ663" s="1329">
        <f>IF(OR($L663=AZ$635,$L663="",$D663=$AZ$634),MAX(AZ$637:AZ662)+1,0)</f>
        <v>25</v>
      </c>
      <c r="BA663" s="5867"/>
      <c r="BB663" s="907" t="str">
        <f t="shared" si="90"/>
        <v/>
      </c>
      <c r="BC663" s="86" t="str">
        <f t="shared" si="91"/>
        <v/>
      </c>
      <c r="BD663" s="86" t="str">
        <f t="shared" si="92"/>
        <v>Espada a dos manos</v>
      </c>
      <c r="BE663" s="1327">
        <f>IF(OR($L663=BE$635,$L663="",$D663=$BG$634),MAX(BE$637:BE662)+1,0)</f>
        <v>0</v>
      </c>
      <c r="BF663" s="1328">
        <f>IF(OR($L663=BF$635,$L663="",$D663=$BG$634),MAX(BF$637:BF662)+1,0)</f>
        <v>0</v>
      </c>
      <c r="BG663" s="1329">
        <f>IF(OR($L663=BG$635,$L663="",$D663=$BG$634),MAX(BG$637:BG662)+1,0)</f>
        <v>25</v>
      </c>
      <c r="BH663" s="5867"/>
      <c r="BI663" s="907" t="str">
        <f t="shared" si="93"/>
        <v/>
      </c>
      <c r="BJ663" s="86" t="str">
        <f t="shared" si="94"/>
        <v/>
      </c>
      <c r="BK663" s="86" t="str">
        <f t="shared" si="95"/>
        <v>Espada a dos manos</v>
      </c>
      <c r="BL663" s="1327">
        <f>IF(OR($L663=BL$635,$L663="",$D663=$BN$634),MAX(BL$637:BL662)+1,0)</f>
        <v>0</v>
      </c>
      <c r="BM663" s="1328">
        <f>IF(OR($L663=BM$635,$L663="",$D663=$BN$634),MAX(BM$637:BM662)+1,0)</f>
        <v>0</v>
      </c>
      <c r="BN663" s="1329">
        <f>IF(OR($L663=BN$635,$L663="",$D663=$BN$634),MAX(BN$637:BN662)+1,0)</f>
        <v>25</v>
      </c>
      <c r="BO663" s="5867"/>
      <c r="BP663" s="907" t="str">
        <f t="shared" si="96"/>
        <v/>
      </c>
      <c r="BQ663" s="86" t="str">
        <f t="shared" si="97"/>
        <v/>
      </c>
      <c r="BR663" s="86" t="str">
        <f t="shared" si="98"/>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838"/>
      <c r="C664" s="1208"/>
      <c r="D664" s="2957" t="s">
        <v>2136</v>
      </c>
      <c r="E664" s="2961">
        <v>90</v>
      </c>
      <c r="F664" s="2956">
        <v>-60</v>
      </c>
      <c r="G664" s="2956">
        <v>10</v>
      </c>
      <c r="H664" s="2956">
        <v>8</v>
      </c>
      <c r="I664" s="2956" t="s">
        <v>1555</v>
      </c>
      <c r="J664" s="2956" t="s">
        <v>1501</v>
      </c>
      <c r="K664" s="2947" t="s">
        <v>7462</v>
      </c>
      <c r="L664" s="2956" t="str">
        <f t="shared" si="102"/>
        <v>Distinta</v>
      </c>
      <c r="M664" s="2962">
        <v>18</v>
      </c>
      <c r="N664" s="2962">
        <v>6</v>
      </c>
      <c r="O664" s="2962">
        <v>30</v>
      </c>
      <c r="P664" s="2956"/>
      <c r="Q664" s="2956"/>
      <c r="R664" s="2956" t="s">
        <v>1459</v>
      </c>
      <c r="S664" s="2956" t="s">
        <v>1459</v>
      </c>
      <c r="T664" s="2956" t="s">
        <v>1459</v>
      </c>
      <c r="U664" s="2956"/>
      <c r="V664" s="2947" t="s">
        <v>2137</v>
      </c>
      <c r="W664" s="2947"/>
      <c r="X664" s="2945" t="str">
        <f t="shared" si="104"/>
        <v>Grande</v>
      </c>
      <c r="Y664" s="2886">
        <f t="shared" si="103"/>
        <v>0</v>
      </c>
      <c r="Z664" s="1326" t="str">
        <f t="shared" si="101"/>
        <v/>
      </c>
      <c r="AB664" s="907" t="s">
        <v>2140</v>
      </c>
      <c r="AC664" s="236" t="s">
        <v>7185</v>
      </c>
      <c r="AD664" s="808"/>
      <c r="AE664" s="1338"/>
      <c r="AG664" s="907" t="str">
        <f t="shared" si="81"/>
        <v/>
      </c>
      <c r="AH664" s="86" t="str">
        <f t="shared" si="82"/>
        <v/>
      </c>
      <c r="AI664" s="86" t="str">
        <f t="shared" si="83"/>
        <v>Espada ancha</v>
      </c>
      <c r="AJ664" s="1327">
        <f>IF(OR($L664=AJ$635,$L664="",$D664=$AL$634),MAX(AJ$637:AJ663)+1,0)</f>
        <v>0</v>
      </c>
      <c r="AK664" s="1328">
        <f>IF(OR($L664=AK$635,$L664="",$D664=$AL$634),MAX(AK$637:AK663)+1,0)</f>
        <v>0</v>
      </c>
      <c r="AL664" s="1329">
        <f>IF(OR($L664=AL$635,$L664="",$D664=$AL$634),MAX(AL$637:AL663)+1,0)</f>
        <v>26</v>
      </c>
      <c r="AM664" s="5867"/>
      <c r="AN664" s="907" t="str">
        <f t="shared" si="84"/>
        <v/>
      </c>
      <c r="AO664" s="86" t="str">
        <f t="shared" si="85"/>
        <v/>
      </c>
      <c r="AP664" s="86" t="str">
        <f t="shared" si="86"/>
        <v>Espada ancha</v>
      </c>
      <c r="AQ664" s="1327">
        <f>IF(OR($L664=AQ$635,$L664="",$D664=$AS$634),MAX(AQ$637:AQ663)+1,0)</f>
        <v>0</v>
      </c>
      <c r="AR664" s="1328">
        <f>IF(OR($L664=AR$635,$L664="",$D664=$AS$634),MAX(AR$637:AR663)+1,0)</f>
        <v>0</v>
      </c>
      <c r="AS664" s="1329">
        <f>IF(OR($L664=AS$635,$L664="",$D664=$AS$634),MAX(AS$637:AS663)+1,0)</f>
        <v>26</v>
      </c>
      <c r="AT664" s="5867"/>
      <c r="AU664" s="907" t="str">
        <f t="shared" si="87"/>
        <v/>
      </c>
      <c r="AV664" s="86" t="str">
        <f t="shared" si="88"/>
        <v/>
      </c>
      <c r="AW664" s="86" t="str">
        <f t="shared" si="89"/>
        <v>Espada ancha</v>
      </c>
      <c r="AX664" s="1327">
        <f>IF(OR($L664=AX$635,$L664="",$D664=$AZ$634),MAX(AX$637:AX663)+1,0)</f>
        <v>0</v>
      </c>
      <c r="AY664" s="1328">
        <f>IF(OR($L664=AY$635,$L664="",$D664=$AZ$634),MAX(AY$637:AY663)+1,0)</f>
        <v>0</v>
      </c>
      <c r="AZ664" s="1329">
        <f>IF(OR($L664=AZ$635,$L664="",$D664=$AZ$634),MAX(AZ$637:AZ663)+1,0)</f>
        <v>26</v>
      </c>
      <c r="BA664" s="5867"/>
      <c r="BB664" s="907" t="str">
        <f t="shared" si="90"/>
        <v/>
      </c>
      <c r="BC664" s="86" t="str">
        <f t="shared" si="91"/>
        <v/>
      </c>
      <c r="BD664" s="86" t="str">
        <f t="shared" si="92"/>
        <v>Espada ancha</v>
      </c>
      <c r="BE664" s="1327">
        <f>IF(OR($L664=BE$635,$L664="",$D664=$BG$634),MAX(BE$637:BE663)+1,0)</f>
        <v>0</v>
      </c>
      <c r="BF664" s="1328">
        <f>IF(OR($L664=BF$635,$L664="",$D664=$BG$634),MAX(BF$637:BF663)+1,0)</f>
        <v>0</v>
      </c>
      <c r="BG664" s="1329">
        <f>IF(OR($L664=BG$635,$L664="",$D664=$BG$634),MAX(BG$637:BG663)+1,0)</f>
        <v>26</v>
      </c>
      <c r="BH664" s="5867"/>
      <c r="BI664" s="907" t="str">
        <f t="shared" si="93"/>
        <v/>
      </c>
      <c r="BJ664" s="86" t="str">
        <f t="shared" si="94"/>
        <v/>
      </c>
      <c r="BK664" s="86" t="str">
        <f t="shared" si="95"/>
        <v>Espada ancha</v>
      </c>
      <c r="BL664" s="1327">
        <f>IF(OR($L664=BL$635,$L664="",$D664=$BN$634),MAX(BL$637:BL663)+1,0)</f>
        <v>0</v>
      </c>
      <c r="BM664" s="1328">
        <f>IF(OR($L664=BM$635,$L664="",$D664=$BN$634),MAX(BM$637:BM663)+1,0)</f>
        <v>0</v>
      </c>
      <c r="BN664" s="1329">
        <f>IF(OR($L664=BN$635,$L664="",$D664=$BN$634),MAX(BN$637:BN663)+1,0)</f>
        <v>26</v>
      </c>
      <c r="BO664" s="5867"/>
      <c r="BP664" s="907" t="str">
        <f t="shared" si="96"/>
        <v/>
      </c>
      <c r="BQ664" s="86" t="str">
        <f t="shared" si="97"/>
        <v/>
      </c>
      <c r="BR664" s="86" t="str">
        <f t="shared" si="98"/>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838"/>
      <c r="C665" s="1208"/>
      <c r="D665" s="2957" t="s">
        <v>2138</v>
      </c>
      <c r="E665" s="2961">
        <v>55</v>
      </c>
      <c r="F665" s="2956">
        <v>-5</v>
      </c>
      <c r="G665" s="2956">
        <v>5</v>
      </c>
      <c r="H665" s="2956">
        <v>5</v>
      </c>
      <c r="I665" s="2956" t="s">
        <v>1555</v>
      </c>
      <c r="J665" s="2956" t="s">
        <v>1459</v>
      </c>
      <c r="K665" s="2947" t="s">
        <v>7458</v>
      </c>
      <c r="L665" s="2956" t="str">
        <f t="shared" si="102"/>
        <v>Distinta</v>
      </c>
      <c r="M665" s="2962">
        <v>15</v>
      </c>
      <c r="N665" s="2962">
        <v>3</v>
      </c>
      <c r="O665" s="2962">
        <v>25</v>
      </c>
      <c r="P665" s="2956"/>
      <c r="Q665" s="2956"/>
      <c r="R665" s="2956" t="s">
        <v>1459</v>
      </c>
      <c r="S665" s="2956" t="s">
        <v>1459</v>
      </c>
      <c r="T665" s="2956" t="s">
        <v>1459</v>
      </c>
      <c r="U665" s="2956"/>
      <c r="V665" s="2947" t="s">
        <v>1459</v>
      </c>
      <c r="W665" s="2947"/>
      <c r="X665" s="2945" t="str">
        <f t="shared" si="104"/>
        <v>Mediana</v>
      </c>
      <c r="Y665" s="2886">
        <f t="shared" si="103"/>
        <v>0</v>
      </c>
      <c r="Z665" s="1326" t="str">
        <f t="shared" si="101"/>
        <v/>
      </c>
      <c r="AB665" s="907" t="s">
        <v>2142</v>
      </c>
      <c r="AC665" s="236" t="s">
        <v>7186</v>
      </c>
      <c r="AD665" s="808"/>
      <c r="AE665" s="1338"/>
      <c r="AG665" s="907" t="str">
        <f t="shared" si="81"/>
        <v/>
      </c>
      <c r="AH665" s="86" t="str">
        <f t="shared" si="82"/>
        <v/>
      </c>
      <c r="AI665" s="86" t="str">
        <f t="shared" si="83"/>
        <v>Espada bastarda</v>
      </c>
      <c r="AJ665" s="1327">
        <f>IF(OR($L665=AJ$635,$L665="",$D665=$AL$634),MAX(AJ$637:AJ664)+1,0)</f>
        <v>0</v>
      </c>
      <c r="AK665" s="1328">
        <f>IF(OR($L665=AK$635,$L665="",$D665=$AL$634),MAX(AK$637:AK664)+1,0)</f>
        <v>0</v>
      </c>
      <c r="AL665" s="1329">
        <f>IF(OR($L665=AL$635,$L665="",$D665=$AL$634),MAX(AL$637:AL664)+1,0)</f>
        <v>27</v>
      </c>
      <c r="AM665" s="5867"/>
      <c r="AN665" s="907" t="str">
        <f t="shared" si="84"/>
        <v/>
      </c>
      <c r="AO665" s="86" t="str">
        <f t="shared" si="85"/>
        <v/>
      </c>
      <c r="AP665" s="86" t="str">
        <f t="shared" si="86"/>
        <v>Espada bastarda</v>
      </c>
      <c r="AQ665" s="1327">
        <f>IF(OR($L665=AQ$635,$L665="",$D665=$AS$634),MAX(AQ$637:AQ664)+1,0)</f>
        <v>0</v>
      </c>
      <c r="AR665" s="1328">
        <f>IF(OR($L665=AR$635,$L665="",$D665=$AS$634),MAX(AR$637:AR664)+1,0)</f>
        <v>0</v>
      </c>
      <c r="AS665" s="1329">
        <f>IF(OR($L665=AS$635,$L665="",$D665=$AS$634),MAX(AS$637:AS664)+1,0)</f>
        <v>27</v>
      </c>
      <c r="AT665" s="5867"/>
      <c r="AU665" s="907" t="str">
        <f t="shared" si="87"/>
        <v/>
      </c>
      <c r="AV665" s="86" t="str">
        <f t="shared" si="88"/>
        <v/>
      </c>
      <c r="AW665" s="86" t="str">
        <f t="shared" si="89"/>
        <v>Espada bastarda</v>
      </c>
      <c r="AX665" s="1327">
        <f>IF(OR($L665=AX$635,$L665="",$D665=$AZ$634),MAX(AX$637:AX664)+1,0)</f>
        <v>0</v>
      </c>
      <c r="AY665" s="1328">
        <f>IF(OR($L665=AY$635,$L665="",$D665=$AZ$634),MAX(AY$637:AY664)+1,0)</f>
        <v>0</v>
      </c>
      <c r="AZ665" s="1329">
        <f>IF(OR($L665=AZ$635,$L665="",$D665=$AZ$634),MAX(AZ$637:AZ664)+1,0)</f>
        <v>27</v>
      </c>
      <c r="BA665" s="5867"/>
      <c r="BB665" s="907" t="str">
        <f t="shared" si="90"/>
        <v/>
      </c>
      <c r="BC665" s="86" t="str">
        <f t="shared" si="91"/>
        <v/>
      </c>
      <c r="BD665" s="86" t="str">
        <f t="shared" si="92"/>
        <v>Espada bastarda</v>
      </c>
      <c r="BE665" s="1327">
        <f>IF(OR($L665=BE$635,$L665="",$D665=$BG$634),MAX(BE$637:BE664)+1,0)</f>
        <v>0</v>
      </c>
      <c r="BF665" s="1328">
        <f>IF(OR($L665=BF$635,$L665="",$D665=$BG$634),MAX(BF$637:BF664)+1,0)</f>
        <v>0</v>
      </c>
      <c r="BG665" s="1329">
        <f>IF(OR($L665=BG$635,$L665="",$D665=$BG$634),MAX(BG$637:BG664)+1,0)</f>
        <v>27</v>
      </c>
      <c r="BH665" s="5867"/>
      <c r="BI665" s="907" t="str">
        <f t="shared" si="93"/>
        <v/>
      </c>
      <c r="BJ665" s="86" t="str">
        <f t="shared" si="94"/>
        <v/>
      </c>
      <c r="BK665" s="86" t="str">
        <f t="shared" si="95"/>
        <v>Espada bastarda</v>
      </c>
      <c r="BL665" s="1327">
        <f>IF(OR($L665=BL$635,$L665="",$D665=$BN$634),MAX(BL$637:BL664)+1,0)</f>
        <v>0</v>
      </c>
      <c r="BM665" s="1328">
        <f>IF(OR($L665=BM$635,$L665="",$D665=$BN$634),MAX(BM$637:BM664)+1,0)</f>
        <v>0</v>
      </c>
      <c r="BN665" s="1329">
        <f>IF(OR($L665=BN$635,$L665="",$D665=$BN$634),MAX(BN$637:BN664)+1,0)</f>
        <v>27</v>
      </c>
      <c r="BO665" s="5867"/>
      <c r="BP665" s="907" t="str">
        <f t="shared" si="96"/>
        <v/>
      </c>
      <c r="BQ665" s="86" t="str">
        <f t="shared" si="97"/>
        <v/>
      </c>
      <c r="BR665" s="86" t="str">
        <f t="shared" si="98"/>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838"/>
      <c r="C666" s="1208"/>
      <c r="D666" s="2957" t="s">
        <v>2139</v>
      </c>
      <c r="E666" s="2961">
        <v>70</v>
      </c>
      <c r="F666" s="2956">
        <v>-30</v>
      </c>
      <c r="G666" s="2956">
        <v>9</v>
      </c>
      <c r="H666" s="2956">
        <v>7</v>
      </c>
      <c r="I666" s="2956" t="s">
        <v>1555</v>
      </c>
      <c r="J666" s="2956" t="s">
        <v>1501</v>
      </c>
      <c r="K666" s="2947" t="s">
        <v>7463</v>
      </c>
      <c r="L666" s="2956" t="str">
        <f t="shared" si="102"/>
        <v>Distinta</v>
      </c>
      <c r="M666" s="2962">
        <v>15</v>
      </c>
      <c r="N666" s="2962">
        <v>5</v>
      </c>
      <c r="O666" s="2962">
        <v>25</v>
      </c>
      <c r="P666" s="2956"/>
      <c r="Q666" s="2956"/>
      <c r="R666" s="2956" t="s">
        <v>1459</v>
      </c>
      <c r="S666" s="2956" t="s">
        <v>1459</v>
      </c>
      <c r="T666" s="2956" t="s">
        <v>1459</v>
      </c>
      <c r="U666" s="2956"/>
      <c r="V666" s="2947" t="s">
        <v>2137</v>
      </c>
      <c r="W666" s="2947"/>
      <c r="X666" s="2945" t="str">
        <f t="shared" si="104"/>
        <v>Grande</v>
      </c>
      <c r="Y666" s="2886">
        <f t="shared" si="103"/>
        <v>0</v>
      </c>
      <c r="Z666" s="1326" t="str">
        <f t="shared" si="101"/>
        <v/>
      </c>
      <c r="AB666" s="907" t="s">
        <v>2143</v>
      </c>
      <c r="AC666" s="236" t="s">
        <v>2171</v>
      </c>
      <c r="AD666" s="1443"/>
      <c r="AE666" s="1338"/>
      <c r="AG666" s="907" t="str">
        <f t="shared" si="81"/>
        <v/>
      </c>
      <c r="AH666" s="86" t="str">
        <f t="shared" si="82"/>
        <v/>
      </c>
      <c r="AI666" s="86" t="str">
        <f t="shared" si="83"/>
        <v>Espada corta</v>
      </c>
      <c r="AJ666" s="1327">
        <f>IF(OR($L666=AJ$635,$L666="",$D666=$AL$634),MAX(AJ$637:AJ665)+1,0)</f>
        <v>0</v>
      </c>
      <c r="AK666" s="1328">
        <f>IF(OR($L666=AK$635,$L666="",$D666=$AL$634),MAX(AK$637:AK665)+1,0)</f>
        <v>0</v>
      </c>
      <c r="AL666" s="1329">
        <f>IF(OR($L666=AL$635,$L666="",$D666=$AL$634),MAX(AL$637:AL665)+1,0)</f>
        <v>28</v>
      </c>
      <c r="AM666" s="5867"/>
      <c r="AN666" s="907" t="str">
        <f t="shared" si="84"/>
        <v/>
      </c>
      <c r="AO666" s="86" t="str">
        <f t="shared" si="85"/>
        <v/>
      </c>
      <c r="AP666" s="86" t="str">
        <f t="shared" si="86"/>
        <v>Espada corta</v>
      </c>
      <c r="AQ666" s="1327">
        <f>IF(OR($L666=AQ$635,$L666="",$D666=$AS$634),MAX(AQ$637:AQ665)+1,0)</f>
        <v>0</v>
      </c>
      <c r="AR666" s="1328">
        <f>IF(OR($L666=AR$635,$L666="",$D666=$AS$634),MAX(AR$637:AR665)+1,0)</f>
        <v>0</v>
      </c>
      <c r="AS666" s="1329">
        <f>IF(OR($L666=AS$635,$L666="",$D666=$AS$634),MAX(AS$637:AS665)+1,0)</f>
        <v>28</v>
      </c>
      <c r="AT666" s="5867"/>
      <c r="AU666" s="907" t="str">
        <f t="shared" si="87"/>
        <v/>
      </c>
      <c r="AV666" s="86" t="str">
        <f t="shared" si="88"/>
        <v/>
      </c>
      <c r="AW666" s="86" t="str">
        <f t="shared" si="89"/>
        <v>Espada corta</v>
      </c>
      <c r="AX666" s="1327">
        <f>IF(OR($L666=AX$635,$L666="",$D666=$AZ$634),MAX(AX$637:AX665)+1,0)</f>
        <v>0</v>
      </c>
      <c r="AY666" s="1328">
        <f>IF(OR($L666=AY$635,$L666="",$D666=$AZ$634),MAX(AY$637:AY665)+1,0)</f>
        <v>0</v>
      </c>
      <c r="AZ666" s="1329">
        <f>IF(OR($L666=AZ$635,$L666="",$D666=$AZ$634),MAX(AZ$637:AZ665)+1,0)</f>
        <v>28</v>
      </c>
      <c r="BA666" s="5867"/>
      <c r="BB666" s="907" t="str">
        <f t="shared" si="90"/>
        <v/>
      </c>
      <c r="BC666" s="86" t="str">
        <f t="shared" si="91"/>
        <v/>
      </c>
      <c r="BD666" s="86" t="str">
        <f t="shared" si="92"/>
        <v>Espada corta</v>
      </c>
      <c r="BE666" s="1327">
        <f>IF(OR($L666=BE$635,$L666="",$D666=$BG$634),MAX(BE$637:BE665)+1,0)</f>
        <v>0</v>
      </c>
      <c r="BF666" s="1328">
        <f>IF(OR($L666=BF$635,$L666="",$D666=$BG$634),MAX(BF$637:BF665)+1,0)</f>
        <v>0</v>
      </c>
      <c r="BG666" s="1329">
        <f>IF(OR($L666=BG$635,$L666="",$D666=$BG$634),MAX(BG$637:BG665)+1,0)</f>
        <v>28</v>
      </c>
      <c r="BH666" s="5867"/>
      <c r="BI666" s="907" t="str">
        <f t="shared" si="93"/>
        <v/>
      </c>
      <c r="BJ666" s="86" t="str">
        <f t="shared" si="94"/>
        <v/>
      </c>
      <c r="BK666" s="86" t="str">
        <f t="shared" si="95"/>
        <v>Espada corta</v>
      </c>
      <c r="BL666" s="1327">
        <f>IF(OR($L666=BL$635,$L666="",$D666=$BN$634),MAX(BL$637:BL665)+1,0)</f>
        <v>0</v>
      </c>
      <c r="BM666" s="1328">
        <f>IF(OR($L666=BM$635,$L666="",$D666=$BN$634),MAX(BM$637:BM665)+1,0)</f>
        <v>0</v>
      </c>
      <c r="BN666" s="1329">
        <f>IF(OR($L666=BN$635,$L666="",$D666=$BN$634),MAX(BN$637:BN665)+1,0)</f>
        <v>28</v>
      </c>
      <c r="BO666" s="5867"/>
      <c r="BP666" s="907" t="str">
        <f t="shared" si="96"/>
        <v/>
      </c>
      <c r="BQ666" s="86" t="str">
        <f t="shared" si="97"/>
        <v/>
      </c>
      <c r="BR666" s="86" t="str">
        <f t="shared" si="98"/>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838"/>
      <c r="C667" s="1208"/>
      <c r="D667" s="2957" t="s">
        <v>2140</v>
      </c>
      <c r="E667" s="2961">
        <v>40</v>
      </c>
      <c r="F667" s="2956">
        <v>15</v>
      </c>
      <c r="G667" s="2956">
        <v>4</v>
      </c>
      <c r="H667" s="2956">
        <v>4</v>
      </c>
      <c r="I667" s="2956" t="s">
        <v>1556</v>
      </c>
      <c r="J667" s="2956" t="s">
        <v>1555</v>
      </c>
      <c r="K667" s="2947" t="s">
        <v>7460</v>
      </c>
      <c r="L667" s="2956" t="str">
        <f t="shared" si="102"/>
        <v>Distinta</v>
      </c>
      <c r="M667" s="2962">
        <v>12</v>
      </c>
      <c r="N667" s="2962">
        <v>1</v>
      </c>
      <c r="O667" s="2962">
        <v>20</v>
      </c>
      <c r="P667" s="2956"/>
      <c r="Q667" s="2956"/>
      <c r="R667" s="2956" t="s">
        <v>1459</v>
      </c>
      <c r="S667" s="2956" t="s">
        <v>1459</v>
      </c>
      <c r="T667" s="2956" t="s">
        <v>1459</v>
      </c>
      <c r="U667" s="2956"/>
      <c r="V667" s="2947" t="s">
        <v>2141</v>
      </c>
      <c r="W667" s="2947"/>
      <c r="X667" s="2945" t="str">
        <f t="shared" si="104"/>
        <v>Pequeña</v>
      </c>
      <c r="Y667" s="2886">
        <f t="shared" si="103"/>
        <v>0</v>
      </c>
      <c r="Z667" s="1326" t="str">
        <f t="shared" si="101"/>
        <v/>
      </c>
      <c r="AB667" s="907" t="s">
        <v>2144</v>
      </c>
      <c r="AC667" s="236" t="s">
        <v>7187</v>
      </c>
      <c r="AD667" s="1443"/>
      <c r="AE667" s="1331"/>
      <c r="AG667" s="907" t="str">
        <f t="shared" si="81"/>
        <v/>
      </c>
      <c r="AH667" s="86" t="str">
        <f t="shared" si="82"/>
        <v/>
      </c>
      <c r="AI667" s="86" t="str">
        <f t="shared" si="83"/>
        <v>Espada larga</v>
      </c>
      <c r="AJ667" s="1327">
        <f>IF(OR($L667=AJ$635,$L667="",$D667=$AL$634),MAX(AJ$637:AJ666)+1,0)</f>
        <v>0</v>
      </c>
      <c r="AK667" s="1328">
        <f>IF(OR($L667=AK$635,$L667="",$D667=$AL$634),MAX(AK$637:AK666)+1,0)</f>
        <v>0</v>
      </c>
      <c r="AL667" s="1329">
        <f>IF(OR($L667=AL$635,$L667="",$D667=$AL$634),MAX(AL$637:AL666)+1,0)</f>
        <v>29</v>
      </c>
      <c r="AM667" s="5867"/>
      <c r="AN667" s="907" t="str">
        <f t="shared" si="84"/>
        <v/>
      </c>
      <c r="AO667" s="86" t="str">
        <f t="shared" si="85"/>
        <v/>
      </c>
      <c r="AP667" s="86" t="str">
        <f t="shared" si="86"/>
        <v>Espada larga</v>
      </c>
      <c r="AQ667" s="1327">
        <f>IF(OR($L667=AQ$635,$L667="",$D667=$AS$634),MAX(AQ$637:AQ666)+1,0)</f>
        <v>0</v>
      </c>
      <c r="AR667" s="1328">
        <f>IF(OR($L667=AR$635,$L667="",$D667=$AS$634),MAX(AR$637:AR666)+1,0)</f>
        <v>0</v>
      </c>
      <c r="AS667" s="1329">
        <f>IF(OR($L667=AS$635,$L667="",$D667=$AS$634),MAX(AS$637:AS666)+1,0)</f>
        <v>29</v>
      </c>
      <c r="AT667" s="5867"/>
      <c r="AU667" s="907" t="str">
        <f t="shared" si="87"/>
        <v/>
      </c>
      <c r="AV667" s="86" t="str">
        <f t="shared" si="88"/>
        <v/>
      </c>
      <c r="AW667" s="86" t="str">
        <f t="shared" si="89"/>
        <v>Espada larga</v>
      </c>
      <c r="AX667" s="1327">
        <f>IF(OR($L667=AX$635,$L667="",$D667=$AZ$634),MAX(AX$637:AX666)+1,0)</f>
        <v>0</v>
      </c>
      <c r="AY667" s="1328">
        <f>IF(OR($L667=AY$635,$L667="",$D667=$AZ$634),MAX(AY$637:AY666)+1,0)</f>
        <v>0</v>
      </c>
      <c r="AZ667" s="1329">
        <f>IF(OR($L667=AZ$635,$L667="",$D667=$AZ$634),MAX(AZ$637:AZ666)+1,0)</f>
        <v>29</v>
      </c>
      <c r="BA667" s="5867"/>
      <c r="BB667" s="907" t="str">
        <f t="shared" si="90"/>
        <v/>
      </c>
      <c r="BC667" s="86" t="str">
        <f t="shared" si="91"/>
        <v/>
      </c>
      <c r="BD667" s="86" t="str">
        <f t="shared" si="92"/>
        <v>Espada larga</v>
      </c>
      <c r="BE667" s="1327">
        <f>IF(OR($L667=BE$635,$L667="",$D667=$BG$634),MAX(BE$637:BE666)+1,0)</f>
        <v>0</v>
      </c>
      <c r="BF667" s="1328">
        <f>IF(OR($L667=BF$635,$L667="",$D667=$BG$634),MAX(BF$637:BF666)+1,0)</f>
        <v>0</v>
      </c>
      <c r="BG667" s="1329">
        <f>IF(OR($L667=BG$635,$L667="",$D667=$BG$634),MAX(BG$637:BG666)+1,0)</f>
        <v>29</v>
      </c>
      <c r="BH667" s="5867"/>
      <c r="BI667" s="907" t="str">
        <f t="shared" si="93"/>
        <v/>
      </c>
      <c r="BJ667" s="86" t="str">
        <f t="shared" si="94"/>
        <v/>
      </c>
      <c r="BK667" s="86" t="str">
        <f t="shared" si="95"/>
        <v>Espada larga</v>
      </c>
      <c r="BL667" s="1327">
        <f>IF(OR($L667=BL$635,$L667="",$D667=$BN$634),MAX(BL$637:BL666)+1,0)</f>
        <v>0</v>
      </c>
      <c r="BM667" s="1328">
        <f>IF(OR($L667=BM$635,$L667="",$D667=$BN$634),MAX(BM$637:BM666)+1,0)</f>
        <v>0</v>
      </c>
      <c r="BN667" s="1329">
        <f>IF(OR($L667=BN$635,$L667="",$D667=$BN$634),MAX(BN$637:BN666)+1,0)</f>
        <v>29</v>
      </c>
      <c r="BO667" s="5867"/>
      <c r="BP667" s="907" t="str">
        <f t="shared" si="96"/>
        <v/>
      </c>
      <c r="BQ667" s="86" t="str">
        <f t="shared" si="97"/>
        <v/>
      </c>
      <c r="BR667" s="86" t="str">
        <f t="shared" si="98"/>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838"/>
      <c r="C668" s="1208"/>
      <c r="D668" s="2957" t="s">
        <v>2142</v>
      </c>
      <c r="E668" s="2961">
        <v>50</v>
      </c>
      <c r="F668" s="2956">
        <v>0</v>
      </c>
      <c r="G668" s="2956">
        <v>6</v>
      </c>
      <c r="H668" s="2956">
        <v>6</v>
      </c>
      <c r="I668" s="2956" t="s">
        <v>1555</v>
      </c>
      <c r="J668" s="2956" t="s">
        <v>1459</v>
      </c>
      <c r="K668" s="2947" t="s">
        <v>7458</v>
      </c>
      <c r="L668" s="2956" t="str">
        <f t="shared" si="102"/>
        <v>Distinta</v>
      </c>
      <c r="M668" s="2962">
        <v>13</v>
      </c>
      <c r="N668" s="2962">
        <v>3</v>
      </c>
      <c r="O668" s="2962">
        <v>25</v>
      </c>
      <c r="P668" s="2956"/>
      <c r="Q668" s="2956"/>
      <c r="R668" s="2956" t="s">
        <v>1459</v>
      </c>
      <c r="S668" s="2956" t="s">
        <v>1459</v>
      </c>
      <c r="T668" s="2956" t="s">
        <v>1459</v>
      </c>
      <c r="U668" s="2956"/>
      <c r="V668" s="2947" t="s">
        <v>1459</v>
      </c>
      <c r="W668" s="2947"/>
      <c r="X668" s="2945" t="str">
        <f t="shared" si="104"/>
        <v>Mediana</v>
      </c>
      <c r="Y668" s="2886">
        <f t="shared" si="103"/>
        <v>0</v>
      </c>
      <c r="Z668" s="1326" t="str">
        <f t="shared" si="101"/>
        <v/>
      </c>
      <c r="AB668" s="907" t="s">
        <v>7188</v>
      </c>
      <c r="AC668" s="236" t="s">
        <v>2173</v>
      </c>
      <c r="AD668" s="1443"/>
      <c r="AE668" s="1331"/>
      <c r="AG668" s="907" t="str">
        <f t="shared" si="81"/>
        <v/>
      </c>
      <c r="AH668" s="86" t="str">
        <f t="shared" si="82"/>
        <v/>
      </c>
      <c r="AI668" s="86" t="str">
        <f t="shared" si="83"/>
        <v>Estilete</v>
      </c>
      <c r="AJ668" s="1327">
        <f>IF(OR($L668=AJ$635,$L668="",$D668=$AL$634),MAX(AJ$637:AJ667)+1,0)</f>
        <v>0</v>
      </c>
      <c r="AK668" s="1328">
        <f>IF(OR($L668=AK$635,$L668="",$D668=$AL$634),MAX(AK$637:AK667)+1,0)</f>
        <v>0</v>
      </c>
      <c r="AL668" s="1329">
        <f>IF(OR($L668=AL$635,$L668="",$D668=$AL$634),MAX(AL$637:AL667)+1,0)</f>
        <v>30</v>
      </c>
      <c r="AM668" s="5867"/>
      <c r="AN668" s="907" t="str">
        <f t="shared" si="84"/>
        <v/>
      </c>
      <c r="AO668" s="86" t="str">
        <f t="shared" si="85"/>
        <v/>
      </c>
      <c r="AP668" s="86" t="str">
        <f t="shared" si="86"/>
        <v>Estilete</v>
      </c>
      <c r="AQ668" s="1327">
        <f>IF(OR($L668=AQ$635,$L668="",$D668=$AS$634),MAX(AQ$637:AQ667)+1,0)</f>
        <v>0</v>
      </c>
      <c r="AR668" s="1328">
        <f>IF(OR($L668=AR$635,$L668="",$D668=$AS$634),MAX(AR$637:AR667)+1,0)</f>
        <v>0</v>
      </c>
      <c r="AS668" s="1329">
        <f>IF(OR($L668=AS$635,$L668="",$D668=$AS$634),MAX(AS$637:AS667)+1,0)</f>
        <v>30</v>
      </c>
      <c r="AT668" s="5867"/>
      <c r="AU668" s="907" t="str">
        <f t="shared" si="87"/>
        <v/>
      </c>
      <c r="AV668" s="86" t="str">
        <f t="shared" si="88"/>
        <v/>
      </c>
      <c r="AW668" s="86" t="str">
        <f t="shared" si="89"/>
        <v>Estilete</v>
      </c>
      <c r="AX668" s="1327">
        <f>IF(OR($L668=AX$635,$L668="",$D668=$AZ$634),MAX(AX$637:AX667)+1,0)</f>
        <v>0</v>
      </c>
      <c r="AY668" s="1328">
        <f>IF(OR($L668=AY$635,$L668="",$D668=$AZ$634),MAX(AY$637:AY667)+1,0)</f>
        <v>0</v>
      </c>
      <c r="AZ668" s="1329">
        <f>IF(OR($L668=AZ$635,$L668="",$D668=$AZ$634),MAX(AZ$637:AZ667)+1,0)</f>
        <v>30</v>
      </c>
      <c r="BA668" s="5867"/>
      <c r="BB668" s="907" t="str">
        <f t="shared" si="90"/>
        <v/>
      </c>
      <c r="BC668" s="86" t="str">
        <f t="shared" si="91"/>
        <v/>
      </c>
      <c r="BD668" s="86" t="str">
        <f t="shared" si="92"/>
        <v>Estilete</v>
      </c>
      <c r="BE668" s="1327">
        <f>IF(OR($L668=BE$635,$L668="",$D668=$BG$634),MAX(BE$637:BE667)+1,0)</f>
        <v>0</v>
      </c>
      <c r="BF668" s="1328">
        <f>IF(OR($L668=BF$635,$L668="",$D668=$BG$634),MAX(BF$637:BF667)+1,0)</f>
        <v>0</v>
      </c>
      <c r="BG668" s="1329">
        <f>IF(OR($L668=BG$635,$L668="",$D668=$BG$634),MAX(BG$637:BG667)+1,0)</f>
        <v>30</v>
      </c>
      <c r="BH668" s="5867"/>
      <c r="BI668" s="907" t="str">
        <f t="shared" si="93"/>
        <v/>
      </c>
      <c r="BJ668" s="86" t="str">
        <f t="shared" si="94"/>
        <v/>
      </c>
      <c r="BK668" s="86" t="str">
        <f t="shared" si="95"/>
        <v>Estilete</v>
      </c>
      <c r="BL668" s="1327">
        <f>IF(OR($L668=BL$635,$L668="",$D668=$BN$634),MAX(BL$637:BL667)+1,0)</f>
        <v>0</v>
      </c>
      <c r="BM668" s="1328">
        <f>IF(OR($L668=BM$635,$L668="",$D668=$BN$634),MAX(BM$637:BM667)+1,0)</f>
        <v>0</v>
      </c>
      <c r="BN668" s="1329">
        <f>IF(OR($L668=BN$635,$L668="",$D668=$BN$634),MAX(BN$637:BN667)+1,0)</f>
        <v>30</v>
      </c>
      <c r="BO668" s="5867"/>
      <c r="BP668" s="907" t="str">
        <f t="shared" si="96"/>
        <v/>
      </c>
      <c r="BQ668" s="86" t="str">
        <f t="shared" si="97"/>
        <v/>
      </c>
      <c r="BR668" s="86" t="str">
        <f t="shared" si="98"/>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838"/>
      <c r="C669" s="1208"/>
      <c r="D669" s="2957" t="s">
        <v>2143</v>
      </c>
      <c r="E669" s="2961">
        <v>25</v>
      </c>
      <c r="F669" s="2956">
        <v>20</v>
      </c>
      <c r="G669" s="2956">
        <v>3</v>
      </c>
      <c r="H669" s="2956">
        <v>3</v>
      </c>
      <c r="I669" s="2956" t="s">
        <v>1556</v>
      </c>
      <c r="J669" s="2956" t="s">
        <v>1459</v>
      </c>
      <c r="K669" s="2947" t="s">
        <v>7460</v>
      </c>
      <c r="L669" s="2956" t="str">
        <f t="shared" si="102"/>
        <v>Distinta</v>
      </c>
      <c r="M669" s="2962">
        <v>8</v>
      </c>
      <c r="N669" s="2962">
        <v>-3</v>
      </c>
      <c r="O669" s="2962">
        <v>15</v>
      </c>
      <c r="P669" s="2956"/>
      <c r="Q669" s="2956"/>
      <c r="R669" s="2962">
        <v>30</v>
      </c>
      <c r="S669" s="2956" t="s">
        <v>1459</v>
      </c>
      <c r="T669" s="2956">
        <v>30</v>
      </c>
      <c r="U669" s="2956"/>
      <c r="V669" s="2947" t="s">
        <v>8772</v>
      </c>
      <c r="W669" s="2947"/>
      <c r="X669" s="2945" t="str">
        <f t="shared" si="104"/>
        <v>Pequeña</v>
      </c>
      <c r="Y669" s="2886">
        <f t="shared" si="103"/>
        <v>0</v>
      </c>
      <c r="Z669" s="1326" t="str">
        <f t="shared" si="101"/>
        <v/>
      </c>
      <c r="AB669" s="907" t="s">
        <v>2145</v>
      </c>
      <c r="AC669" s="236" t="s">
        <v>2179</v>
      </c>
      <c r="AD669" s="1443"/>
      <c r="AE669" s="1331"/>
      <c r="AG669" s="907" t="str">
        <f t="shared" si="81"/>
        <v/>
      </c>
      <c r="AH669" s="86" t="str">
        <f t="shared" si="82"/>
        <v/>
      </c>
      <c r="AI669" s="86" t="str">
        <f t="shared" si="83"/>
        <v>Estoque</v>
      </c>
      <c r="AJ669" s="1327">
        <f>IF(OR($L669=AJ$635,$L669="",$D669=$AL$634),MAX(AJ$637:AJ668)+1,0)</f>
        <v>0</v>
      </c>
      <c r="AK669" s="1328">
        <f>IF(OR($L669=AK$635,$L669="",$D669=$AL$634),MAX(AK$637:AK668)+1,0)</f>
        <v>0</v>
      </c>
      <c r="AL669" s="1329">
        <f>IF(OR($L669=AL$635,$L669="",$D669=$AL$634),MAX(AL$637:AL668)+1,0)</f>
        <v>31</v>
      </c>
      <c r="AM669" s="5867"/>
      <c r="AN669" s="907" t="str">
        <f t="shared" si="84"/>
        <v/>
      </c>
      <c r="AO669" s="86" t="str">
        <f t="shared" si="85"/>
        <v/>
      </c>
      <c r="AP669" s="86" t="str">
        <f t="shared" si="86"/>
        <v>Estoque</v>
      </c>
      <c r="AQ669" s="1327">
        <f>IF(OR($L669=AQ$635,$L669="",$D669=$AS$634),MAX(AQ$637:AQ668)+1,0)</f>
        <v>0</v>
      </c>
      <c r="AR669" s="1328">
        <f>IF(OR($L669=AR$635,$L669="",$D669=$AS$634),MAX(AR$637:AR668)+1,0)</f>
        <v>0</v>
      </c>
      <c r="AS669" s="1329">
        <f>IF(OR($L669=AS$635,$L669="",$D669=$AS$634),MAX(AS$637:AS668)+1,0)</f>
        <v>31</v>
      </c>
      <c r="AT669" s="5867"/>
      <c r="AU669" s="907" t="str">
        <f t="shared" si="87"/>
        <v/>
      </c>
      <c r="AV669" s="86" t="str">
        <f t="shared" si="88"/>
        <v/>
      </c>
      <c r="AW669" s="86" t="str">
        <f t="shared" si="89"/>
        <v>Estoque</v>
      </c>
      <c r="AX669" s="1327">
        <f>IF(OR($L669=AX$635,$L669="",$D669=$AZ$634),MAX(AX$637:AX668)+1,0)</f>
        <v>0</v>
      </c>
      <c r="AY669" s="1328">
        <f>IF(OR($L669=AY$635,$L669="",$D669=$AZ$634),MAX(AY$637:AY668)+1,0)</f>
        <v>0</v>
      </c>
      <c r="AZ669" s="1329">
        <f>IF(OR($L669=AZ$635,$L669="",$D669=$AZ$634),MAX(AZ$637:AZ668)+1,0)</f>
        <v>31</v>
      </c>
      <c r="BA669" s="5867"/>
      <c r="BB669" s="907" t="str">
        <f t="shared" si="90"/>
        <v/>
      </c>
      <c r="BC669" s="86" t="str">
        <f t="shared" si="91"/>
        <v/>
      </c>
      <c r="BD669" s="86" t="str">
        <f t="shared" si="92"/>
        <v>Estoque</v>
      </c>
      <c r="BE669" s="1327">
        <f>IF(OR($L669=BE$635,$L669="",$D669=$BG$634),MAX(BE$637:BE668)+1,0)</f>
        <v>0</v>
      </c>
      <c r="BF669" s="1328">
        <f>IF(OR($L669=BF$635,$L669="",$D669=$BG$634),MAX(BF$637:BF668)+1,0)</f>
        <v>0</v>
      </c>
      <c r="BG669" s="1329">
        <f>IF(OR($L669=BG$635,$L669="",$D669=$BG$634),MAX(BG$637:BG668)+1,0)</f>
        <v>31</v>
      </c>
      <c r="BH669" s="5867"/>
      <c r="BI669" s="907" t="str">
        <f t="shared" si="93"/>
        <v/>
      </c>
      <c r="BJ669" s="86" t="str">
        <f t="shared" si="94"/>
        <v/>
      </c>
      <c r="BK669" s="86" t="str">
        <f t="shared" si="95"/>
        <v>Estoque</v>
      </c>
      <c r="BL669" s="1327">
        <f>IF(OR($L669=BL$635,$L669="",$D669=$BN$634),MAX(BL$637:BL668)+1,0)</f>
        <v>0</v>
      </c>
      <c r="BM669" s="1328">
        <f>IF(OR($L669=BM$635,$L669="",$D669=$BN$634),MAX(BM$637:BM668)+1,0)</f>
        <v>0</v>
      </c>
      <c r="BN669" s="1329">
        <f>IF(OR($L669=BN$635,$L669="",$D669=$BN$634),MAX(BN$637:BN668)+1,0)</f>
        <v>31</v>
      </c>
      <c r="BO669" s="5867"/>
      <c r="BP669" s="907" t="str">
        <f t="shared" si="96"/>
        <v/>
      </c>
      <c r="BQ669" s="86" t="str">
        <f t="shared" si="97"/>
        <v/>
      </c>
      <c r="BR669" s="86" t="str">
        <f t="shared" si="98"/>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838"/>
      <c r="C670" s="1208"/>
      <c r="D670" s="2957" t="s">
        <v>2144</v>
      </c>
      <c r="E670" s="2961">
        <v>40</v>
      </c>
      <c r="F670" s="2956">
        <v>15</v>
      </c>
      <c r="G670" s="2956">
        <v>4</v>
      </c>
      <c r="H670" s="2956">
        <v>4</v>
      </c>
      <c r="I670" s="2956" t="s">
        <v>1556</v>
      </c>
      <c r="J670" s="2956" t="s">
        <v>1555</v>
      </c>
      <c r="K670" s="2947" t="s">
        <v>7458</v>
      </c>
      <c r="L670" s="2956" t="str">
        <f t="shared" si="102"/>
        <v>Distinta</v>
      </c>
      <c r="M670" s="2962">
        <v>11</v>
      </c>
      <c r="N670" s="2962">
        <v>2</v>
      </c>
      <c r="O670" s="2962">
        <v>20</v>
      </c>
      <c r="P670" s="2956"/>
      <c r="Q670" s="2956"/>
      <c r="R670" s="2956" t="s">
        <v>1459</v>
      </c>
      <c r="S670" s="2956" t="s">
        <v>1459</v>
      </c>
      <c r="T670" s="2956" t="s">
        <v>1459</v>
      </c>
      <c r="U670" s="2956"/>
      <c r="V670" s="2947" t="s">
        <v>2141</v>
      </c>
      <c r="W670" s="2947"/>
      <c r="X670" s="2945" t="str">
        <f t="shared" si="104"/>
        <v>Mediana</v>
      </c>
      <c r="Y670" s="2886">
        <f t="shared" si="103"/>
        <v>0</v>
      </c>
      <c r="Z670" s="1326" t="str">
        <f t="shared" si="101"/>
        <v/>
      </c>
      <c r="AB670" s="907" t="s">
        <v>2146</v>
      </c>
      <c r="AC670" s="236" t="s">
        <v>2181</v>
      </c>
      <c r="AD670" s="1443"/>
      <c r="AE670" s="1331"/>
      <c r="AG670" s="907" t="str">
        <f t="shared" ref="AG670:AG701" si="105">IF(ISNA(INDEX(Lista_Armas,MATCH($A33,AJ$638:AJ$774,0))),"",INDEX(Lista_Armas,MATCH($A33,AJ$638:AJ$774,0)))</f>
        <v/>
      </c>
      <c r="AH670" s="86" t="str">
        <f t="shared" ref="AH670:AH701" si="106">IF(ISNA(INDEX(Lista_Armas,MATCH($A33,AK$638:AK$774,0))),"",INDEX(Lista_Armas,MATCH($A33,AK$638:AK$774,0)))</f>
        <v/>
      </c>
      <c r="AI670" s="86" t="str">
        <f t="shared" ref="AI670:AI701" si="107">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867"/>
      <c r="AN670" s="907" t="str">
        <f t="shared" ref="AN670:AN701" si="108">IF(ISNA(INDEX(Lista_Armas,MATCH($A33,AQ$638:AQ$774,0))),"",INDEX(Lista_Armas,MATCH($A33,AQ$638:AQ$774,0)))</f>
        <v/>
      </c>
      <c r="AO670" s="86" t="str">
        <f t="shared" ref="AO670:AO701" si="109">IF(ISNA(INDEX(Lista_Armas,MATCH($A33,AR$638:AR$774,0))),"",INDEX(Lista_Armas,MATCH($A33,AR$638:AR$774,0)))</f>
        <v/>
      </c>
      <c r="AP670" s="86" t="str">
        <f t="shared" ref="AP670:AP701" si="110">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867"/>
      <c r="AU670" s="907" t="str">
        <f t="shared" ref="AU670:AU701" si="111">IF(ISNA(INDEX(Lista_Armas,MATCH($A33,AX$638:AX$774,0))),"",INDEX(Lista_Armas,MATCH($A33,AX$638:AX$774,0)))</f>
        <v/>
      </c>
      <c r="AV670" s="86" t="str">
        <f t="shared" ref="AV670:AV701" si="112">IF(ISNA(INDEX(Lista_Armas,MATCH($A33,AY$638:AY$774,0))),"",INDEX(Lista_Armas,MATCH($A33,AY$638:AY$774,0)))</f>
        <v/>
      </c>
      <c r="AW670" s="86" t="str">
        <f t="shared" ref="AW670:AW701" si="113">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867"/>
      <c r="BB670" s="907" t="str">
        <f t="shared" ref="BB670:BB701" si="114">IF(ISNA(INDEX(Lista_Armas,MATCH($A33,BE$638:BE$774,0))),"",INDEX(Lista_Armas,MATCH($A33,BE$638:BE$774,0)))</f>
        <v/>
      </c>
      <c r="BC670" s="86" t="str">
        <f t="shared" ref="BC670:BC701" si="115">IF(ISNA(INDEX(Lista_Armas,MATCH($A33,BF$638:BF$774,0))),"",INDEX(Lista_Armas,MATCH($A33,BF$638:BF$774,0)))</f>
        <v/>
      </c>
      <c r="BD670" s="86" t="str">
        <f t="shared" ref="BD670:BD701" si="116">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867"/>
      <c r="BI670" s="907" t="str">
        <f t="shared" ref="BI670:BI701" si="117">IF(ISNA(INDEX(Lista_Armas,MATCH($A33,BL$638:BL$774,0))),"",INDEX(Lista_Armas,MATCH($A33,BL$638:BL$774,0)))</f>
        <v/>
      </c>
      <c r="BJ670" s="86" t="str">
        <f t="shared" ref="BJ670:BJ701" si="118">IF(ISNA(INDEX(Lista_Armas,MATCH($A33,BM$638:BM$774,0))),"",INDEX(Lista_Armas,MATCH($A33,BM$638:BM$774,0)))</f>
        <v/>
      </c>
      <c r="BK670" s="86" t="str">
        <f t="shared" ref="BK670:BK701" si="119">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867"/>
      <c r="BP670" s="907" t="str">
        <f t="shared" ref="BP670:BP701" si="120">IF(ISNA(INDEX(Lista_Armas,MATCH($A33,BS$638:BS$774,0))),"",INDEX(Lista_Armas,MATCH($A33,BS$638:BS$774,0)))</f>
        <v/>
      </c>
      <c r="BQ670" s="86" t="str">
        <f t="shared" ref="BQ670:BQ701" si="121">IF(ISNA(INDEX(Lista_Armas,MATCH($A33,BT$638:BT$774,0))),"",INDEX(Lista_Armas,MATCH($A33,BT$638:BT$774,0)))</f>
        <v/>
      </c>
      <c r="BR670" s="86" t="str">
        <f t="shared" ref="BR670:BR701" si="122">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838"/>
      <c r="C671" s="1208"/>
      <c r="D671" s="2957" t="s">
        <v>7188</v>
      </c>
      <c r="E671" s="2961">
        <v>60</v>
      </c>
      <c r="F671" s="2956">
        <v>-10</v>
      </c>
      <c r="G671" s="2956">
        <v>7</v>
      </c>
      <c r="H671" s="2956">
        <v>7</v>
      </c>
      <c r="I671" s="2956" t="s">
        <v>1555</v>
      </c>
      <c r="J671" s="2956" t="s">
        <v>1459</v>
      </c>
      <c r="K671" s="2947" t="s">
        <v>7464</v>
      </c>
      <c r="L671" s="2956" t="str">
        <f t="shared" si="102"/>
        <v>Distinta</v>
      </c>
      <c r="M671" s="2962">
        <v>12</v>
      </c>
      <c r="N671" s="2962">
        <v>5</v>
      </c>
      <c r="O671" s="2962">
        <v>20</v>
      </c>
      <c r="P671" s="2956"/>
      <c r="Q671" s="2956"/>
      <c r="R671" s="2956" t="s">
        <v>1459</v>
      </c>
      <c r="S671" s="2956" t="s">
        <v>1459</v>
      </c>
      <c r="T671" s="2956" t="s">
        <v>1459</v>
      </c>
      <c r="U671" s="2956"/>
      <c r="V671" s="2947" t="s">
        <v>1459</v>
      </c>
      <c r="W671" s="2947"/>
      <c r="X671" s="2945" t="str">
        <f t="shared" si="104"/>
        <v>Mediana</v>
      </c>
      <c r="Y671" s="2886">
        <f t="shared" si="103"/>
        <v>0</v>
      </c>
      <c r="Z671" s="1326" t="str">
        <f t="shared" si="101"/>
        <v/>
      </c>
      <c r="AB671" s="907" t="s">
        <v>2147</v>
      </c>
      <c r="AC671" s="236" t="s">
        <v>7189</v>
      </c>
      <c r="AD671" s="1443"/>
      <c r="AE671" s="1331"/>
      <c r="AG671" s="907" t="str">
        <f t="shared" si="105"/>
        <v/>
      </c>
      <c r="AH671" s="86" t="str">
        <f t="shared" si="106"/>
        <v/>
      </c>
      <c r="AI671" s="86" t="str">
        <f t="shared" si="107"/>
        <v>Florete</v>
      </c>
      <c r="AJ671" s="1327">
        <f>IF(OR($L671=AJ$635,$L671="",$D671=$AL$634),MAX(AJ$637:AJ670)+1,0)</f>
        <v>0</v>
      </c>
      <c r="AK671" s="1328">
        <f>IF(OR($L671=AK$635,$L671="",$D671=$AL$634),MAX(AK$637:AK670)+1,0)</f>
        <v>0</v>
      </c>
      <c r="AL671" s="1329">
        <f>IF(OR($L671=AL$635,$L671="",$D671=$AL$634),MAX(AL$637:AL670)+1,0)</f>
        <v>33</v>
      </c>
      <c r="AM671" s="5867"/>
      <c r="AN671" s="907" t="str">
        <f t="shared" si="108"/>
        <v/>
      </c>
      <c r="AO671" s="86" t="str">
        <f t="shared" si="109"/>
        <v/>
      </c>
      <c r="AP671" s="86" t="str">
        <f t="shared" si="110"/>
        <v>Florete</v>
      </c>
      <c r="AQ671" s="1327">
        <f>IF(OR($L671=AQ$635,$L671="",$D671=$AS$634),MAX(AQ$637:AQ670)+1,0)</f>
        <v>0</v>
      </c>
      <c r="AR671" s="1328">
        <f>IF(OR($L671=AR$635,$L671="",$D671=$AS$634),MAX(AR$637:AR670)+1,0)</f>
        <v>0</v>
      </c>
      <c r="AS671" s="1329">
        <f>IF(OR($L671=AS$635,$L671="",$D671=$AS$634),MAX(AS$637:AS670)+1,0)</f>
        <v>33</v>
      </c>
      <c r="AT671" s="5867"/>
      <c r="AU671" s="907" t="str">
        <f t="shared" si="111"/>
        <v/>
      </c>
      <c r="AV671" s="86" t="str">
        <f t="shared" si="112"/>
        <v/>
      </c>
      <c r="AW671" s="86" t="str">
        <f t="shared" si="113"/>
        <v>Florete</v>
      </c>
      <c r="AX671" s="1327">
        <f>IF(OR($L671=AX$635,$L671="",$D671=$AZ$634),MAX(AX$637:AX670)+1,0)</f>
        <v>0</v>
      </c>
      <c r="AY671" s="1328">
        <f>IF(OR($L671=AY$635,$L671="",$D671=$AZ$634),MAX(AY$637:AY670)+1,0)</f>
        <v>0</v>
      </c>
      <c r="AZ671" s="1329">
        <f>IF(OR($L671=AZ$635,$L671="",$D671=$AZ$634),MAX(AZ$637:AZ670)+1,0)</f>
        <v>33</v>
      </c>
      <c r="BA671" s="5867"/>
      <c r="BB671" s="907" t="str">
        <f t="shared" si="114"/>
        <v/>
      </c>
      <c r="BC671" s="86" t="str">
        <f t="shared" si="115"/>
        <v/>
      </c>
      <c r="BD671" s="86" t="str">
        <f t="shared" si="116"/>
        <v>Florete</v>
      </c>
      <c r="BE671" s="1327">
        <f>IF(OR($L671=BE$635,$L671="",$D671=$BG$634),MAX(BE$637:BE670)+1,0)</f>
        <v>0</v>
      </c>
      <c r="BF671" s="1328">
        <f>IF(OR($L671=BF$635,$L671="",$D671=$BG$634),MAX(BF$637:BF670)+1,0)</f>
        <v>0</v>
      </c>
      <c r="BG671" s="1329">
        <f>IF(OR($L671=BG$635,$L671="",$D671=$BG$634),MAX(BG$637:BG670)+1,0)</f>
        <v>33</v>
      </c>
      <c r="BH671" s="5867"/>
      <c r="BI671" s="907" t="str">
        <f t="shared" si="117"/>
        <v/>
      </c>
      <c r="BJ671" s="86" t="str">
        <f t="shared" si="118"/>
        <v/>
      </c>
      <c r="BK671" s="86" t="str">
        <f t="shared" si="119"/>
        <v>Florete</v>
      </c>
      <c r="BL671" s="1327">
        <f>IF(OR($L671=BL$635,$L671="",$D671=$BN$634),MAX(BL$637:BL670)+1,0)</f>
        <v>0</v>
      </c>
      <c r="BM671" s="1328">
        <f>IF(OR($L671=BM$635,$L671="",$D671=$BN$634),MAX(BM$637:BM670)+1,0)</f>
        <v>0</v>
      </c>
      <c r="BN671" s="1329">
        <f>IF(OR($L671=BN$635,$L671="",$D671=$BN$634),MAX(BN$637:BN670)+1,0)</f>
        <v>33</v>
      </c>
      <c r="BO671" s="5867"/>
      <c r="BP671" s="907" t="str">
        <f t="shared" si="120"/>
        <v/>
      </c>
      <c r="BQ671" s="86" t="str">
        <f t="shared" si="121"/>
        <v/>
      </c>
      <c r="BR671" s="86" t="str">
        <f t="shared" si="122"/>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838"/>
      <c r="C672" s="1208"/>
      <c r="D672" s="2957" t="s">
        <v>2145</v>
      </c>
      <c r="E672" s="2961">
        <v>35</v>
      </c>
      <c r="F672" s="2956">
        <v>15</v>
      </c>
      <c r="G672" s="2956">
        <v>3</v>
      </c>
      <c r="H672" s="2956">
        <v>3</v>
      </c>
      <c r="I672" s="2956" t="s">
        <v>1556</v>
      </c>
      <c r="J672" s="2956" t="s">
        <v>1459</v>
      </c>
      <c r="K672" s="2947" t="s">
        <v>7465</v>
      </c>
      <c r="L672" s="2956" t="str">
        <f t="shared" si="102"/>
        <v>Distinta</v>
      </c>
      <c r="M672" s="2962">
        <v>9</v>
      </c>
      <c r="N672" s="2962">
        <v>-2</v>
      </c>
      <c r="O672" s="2962">
        <v>20</v>
      </c>
      <c r="P672" s="2956"/>
      <c r="Q672" s="2956"/>
      <c r="R672" s="2956" t="s">
        <v>1459</v>
      </c>
      <c r="S672" s="2956" t="s">
        <v>1459</v>
      </c>
      <c r="T672" s="2956" t="s">
        <v>1459</v>
      </c>
      <c r="U672" s="2956"/>
      <c r="V672" s="2947" t="s">
        <v>2141</v>
      </c>
      <c r="W672" s="2947"/>
      <c r="X672" s="2945" t="str">
        <f t="shared" si="104"/>
        <v>Pequeña</v>
      </c>
      <c r="Y672" s="2886">
        <f t="shared" si="103"/>
        <v>0</v>
      </c>
      <c r="Z672" s="1326" t="str">
        <f t="shared" si="101"/>
        <v/>
      </c>
      <c r="AB672" s="907" t="s">
        <v>7174</v>
      </c>
      <c r="AC672" s="236" t="s">
        <v>2187</v>
      </c>
      <c r="AD672" s="1443"/>
      <c r="AE672" s="1331"/>
      <c r="AG672" s="907" t="str">
        <f t="shared" si="105"/>
        <v/>
      </c>
      <c r="AH672" s="86" t="str">
        <f t="shared" si="106"/>
        <v/>
      </c>
      <c r="AI672" s="86" t="str">
        <f t="shared" si="107"/>
        <v>Garfio</v>
      </c>
      <c r="AJ672" s="1327">
        <f>IF(OR($L672=AJ$635,$L672="",$D672=$AL$634),MAX(AJ$637:AJ671)+1,0)</f>
        <v>0</v>
      </c>
      <c r="AK672" s="1328">
        <f>IF(OR($L672=AK$635,$L672="",$D672=$AL$634),MAX(AK$637:AK671)+1,0)</f>
        <v>0</v>
      </c>
      <c r="AL672" s="1329">
        <f>IF(OR($L672=AL$635,$L672="",$D672=$AL$634),MAX(AL$637:AL671)+1,0)</f>
        <v>34</v>
      </c>
      <c r="AM672" s="5867"/>
      <c r="AN672" s="907" t="str">
        <f t="shared" si="108"/>
        <v/>
      </c>
      <c r="AO672" s="86" t="str">
        <f t="shared" si="109"/>
        <v/>
      </c>
      <c r="AP672" s="86" t="str">
        <f t="shared" si="110"/>
        <v>Garfio</v>
      </c>
      <c r="AQ672" s="1327">
        <f>IF(OR($L672=AQ$635,$L672="",$D672=$AS$634),MAX(AQ$637:AQ671)+1,0)</f>
        <v>0</v>
      </c>
      <c r="AR672" s="1328">
        <f>IF(OR($L672=AR$635,$L672="",$D672=$AS$634),MAX(AR$637:AR671)+1,0)</f>
        <v>0</v>
      </c>
      <c r="AS672" s="1329">
        <f>IF(OR($L672=AS$635,$L672="",$D672=$AS$634),MAX(AS$637:AS671)+1,0)</f>
        <v>34</v>
      </c>
      <c r="AT672" s="5867"/>
      <c r="AU672" s="907" t="str">
        <f t="shared" si="111"/>
        <v/>
      </c>
      <c r="AV672" s="86" t="str">
        <f t="shared" si="112"/>
        <v/>
      </c>
      <c r="AW672" s="86" t="str">
        <f t="shared" si="113"/>
        <v>Garfio</v>
      </c>
      <c r="AX672" s="1327">
        <f>IF(OR($L672=AX$635,$L672="",$D672=$AZ$634),MAX(AX$637:AX671)+1,0)</f>
        <v>0</v>
      </c>
      <c r="AY672" s="1328">
        <f>IF(OR($L672=AY$635,$L672="",$D672=$AZ$634),MAX(AY$637:AY671)+1,0)</f>
        <v>0</v>
      </c>
      <c r="AZ672" s="1329">
        <f>IF(OR($L672=AZ$635,$L672="",$D672=$AZ$634),MAX(AZ$637:AZ671)+1,0)</f>
        <v>34</v>
      </c>
      <c r="BA672" s="5867"/>
      <c r="BB672" s="907" t="str">
        <f t="shared" si="114"/>
        <v/>
      </c>
      <c r="BC672" s="86" t="str">
        <f t="shared" si="115"/>
        <v/>
      </c>
      <c r="BD672" s="86" t="str">
        <f t="shared" si="116"/>
        <v>Garfio</v>
      </c>
      <c r="BE672" s="1327">
        <f>IF(OR($L672=BE$635,$L672="",$D672=$BG$634),MAX(BE$637:BE671)+1,0)</f>
        <v>0</v>
      </c>
      <c r="BF672" s="1328">
        <f>IF(OR($L672=BF$635,$L672="",$D672=$BG$634),MAX(BF$637:BF671)+1,0)</f>
        <v>0</v>
      </c>
      <c r="BG672" s="1329">
        <f>IF(OR($L672=BG$635,$L672="",$D672=$BG$634),MAX(BG$637:BG671)+1,0)</f>
        <v>34</v>
      </c>
      <c r="BH672" s="5867"/>
      <c r="BI672" s="907" t="str">
        <f t="shared" si="117"/>
        <v/>
      </c>
      <c r="BJ672" s="86" t="str">
        <f t="shared" si="118"/>
        <v/>
      </c>
      <c r="BK672" s="86" t="str">
        <f t="shared" si="119"/>
        <v>Garfio</v>
      </c>
      <c r="BL672" s="1327">
        <f>IF(OR($L672=BL$635,$L672="",$D672=$BN$634),MAX(BL$637:BL671)+1,0)</f>
        <v>0</v>
      </c>
      <c r="BM672" s="1328">
        <f>IF(OR($L672=BM$635,$L672="",$D672=$BN$634),MAX(BM$637:BM671)+1,0)</f>
        <v>0</v>
      </c>
      <c r="BN672" s="1329">
        <f>IF(OR($L672=BN$635,$L672="",$D672=$BN$634),MAX(BN$637:BN671)+1,0)</f>
        <v>34</v>
      </c>
      <c r="BO672" s="5867"/>
      <c r="BP672" s="907" t="str">
        <f t="shared" si="120"/>
        <v/>
      </c>
      <c r="BQ672" s="86" t="str">
        <f t="shared" si="121"/>
        <v/>
      </c>
      <c r="BR672" s="86" t="str">
        <f t="shared" si="122"/>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838"/>
      <c r="C673" s="1208"/>
      <c r="D673" s="2957" t="s">
        <v>2146</v>
      </c>
      <c r="E673" s="2961">
        <v>30</v>
      </c>
      <c r="F673" s="2956">
        <v>10</v>
      </c>
      <c r="G673" s="2956">
        <v>3</v>
      </c>
      <c r="H673" s="2956">
        <v>3</v>
      </c>
      <c r="I673" s="2956" t="s">
        <v>1556</v>
      </c>
      <c r="J673" s="2956" t="s">
        <v>1459</v>
      </c>
      <c r="K673" s="2947" t="s">
        <v>7460</v>
      </c>
      <c r="L673" s="2956" t="str">
        <f t="shared" si="102"/>
        <v>Distinta</v>
      </c>
      <c r="M673" s="2962">
        <v>11</v>
      </c>
      <c r="N673" s="2962">
        <v>-2</v>
      </c>
      <c r="O673" s="2962">
        <v>15</v>
      </c>
      <c r="P673" s="2956"/>
      <c r="Q673" s="2956"/>
      <c r="R673" s="2956" t="s">
        <v>1459</v>
      </c>
      <c r="S673" s="2956" t="s">
        <v>1459</v>
      </c>
      <c r="T673" s="2956" t="s">
        <v>1459</v>
      </c>
      <c r="U673" s="2956"/>
      <c r="V673" s="2947" t="s">
        <v>1459</v>
      </c>
      <c r="W673" s="2947"/>
      <c r="X673" s="2945" t="str">
        <f t="shared" si="104"/>
        <v>Pequeña</v>
      </c>
      <c r="Y673" s="2886">
        <f t="shared" si="103"/>
        <v>0</v>
      </c>
      <c r="Z673" s="1326" t="str">
        <f t="shared" si="101"/>
        <v/>
      </c>
      <c r="AB673" s="907" t="s">
        <v>7175</v>
      </c>
      <c r="AC673" s="236" t="s">
        <v>2188</v>
      </c>
      <c r="AD673" s="1443"/>
      <c r="AE673" s="1331"/>
      <c r="AG673" s="907" t="str">
        <f t="shared" si="105"/>
        <v/>
      </c>
      <c r="AH673" s="86" t="str">
        <f t="shared" si="106"/>
        <v/>
      </c>
      <c r="AI673" s="86" t="str">
        <f t="shared" si="107"/>
        <v>Garrote</v>
      </c>
      <c r="AJ673" s="1327">
        <f>IF(OR($L673=AJ$635,$L673="",$D673=$AL$634),MAX(AJ$637:AJ672)+1,0)</f>
        <v>0</v>
      </c>
      <c r="AK673" s="1328">
        <f>IF(OR($L673=AK$635,$L673="",$D673=$AL$634),MAX(AK$637:AK672)+1,0)</f>
        <v>0</v>
      </c>
      <c r="AL673" s="1329">
        <f>IF(OR($L673=AL$635,$L673="",$D673=$AL$634),MAX(AL$637:AL672)+1,0)</f>
        <v>35</v>
      </c>
      <c r="AM673" s="5867"/>
      <c r="AN673" s="907" t="str">
        <f t="shared" si="108"/>
        <v/>
      </c>
      <c r="AO673" s="86" t="str">
        <f t="shared" si="109"/>
        <v/>
      </c>
      <c r="AP673" s="86" t="str">
        <f t="shared" si="110"/>
        <v>Garrote</v>
      </c>
      <c r="AQ673" s="1327">
        <f>IF(OR($L673=AQ$635,$L673="",$D673=$AS$634),MAX(AQ$637:AQ672)+1,0)</f>
        <v>0</v>
      </c>
      <c r="AR673" s="1328">
        <f>IF(OR($L673=AR$635,$L673="",$D673=$AS$634),MAX(AR$637:AR672)+1,0)</f>
        <v>0</v>
      </c>
      <c r="AS673" s="1329">
        <f>IF(OR($L673=AS$635,$L673="",$D673=$AS$634),MAX(AS$637:AS672)+1,0)</f>
        <v>35</v>
      </c>
      <c r="AT673" s="5867"/>
      <c r="AU673" s="907" t="str">
        <f t="shared" si="111"/>
        <v/>
      </c>
      <c r="AV673" s="86" t="str">
        <f t="shared" si="112"/>
        <v/>
      </c>
      <c r="AW673" s="86" t="str">
        <f t="shared" si="113"/>
        <v>Garrote</v>
      </c>
      <c r="AX673" s="1327">
        <f>IF(OR($L673=AX$635,$L673="",$D673=$AZ$634),MAX(AX$637:AX672)+1,0)</f>
        <v>0</v>
      </c>
      <c r="AY673" s="1328">
        <f>IF(OR($L673=AY$635,$L673="",$D673=$AZ$634),MAX(AY$637:AY672)+1,0)</f>
        <v>0</v>
      </c>
      <c r="AZ673" s="1329">
        <f>IF(OR($L673=AZ$635,$L673="",$D673=$AZ$634),MAX(AZ$637:AZ672)+1,0)</f>
        <v>35</v>
      </c>
      <c r="BA673" s="5867"/>
      <c r="BB673" s="907" t="str">
        <f t="shared" si="114"/>
        <v/>
      </c>
      <c r="BC673" s="86" t="str">
        <f t="shared" si="115"/>
        <v/>
      </c>
      <c r="BD673" s="86" t="str">
        <f t="shared" si="116"/>
        <v>Garrote</v>
      </c>
      <c r="BE673" s="1327">
        <f>IF(OR($L673=BE$635,$L673="",$D673=$BG$634),MAX(BE$637:BE672)+1,0)</f>
        <v>0</v>
      </c>
      <c r="BF673" s="1328">
        <f>IF(OR($L673=BF$635,$L673="",$D673=$BG$634),MAX(BF$637:BF672)+1,0)</f>
        <v>0</v>
      </c>
      <c r="BG673" s="1329">
        <f>IF(OR($L673=BG$635,$L673="",$D673=$BG$634),MAX(BG$637:BG672)+1,0)</f>
        <v>35</v>
      </c>
      <c r="BH673" s="5867"/>
      <c r="BI673" s="907" t="str">
        <f t="shared" si="117"/>
        <v/>
      </c>
      <c r="BJ673" s="86" t="str">
        <f t="shared" si="118"/>
        <v/>
      </c>
      <c r="BK673" s="86" t="str">
        <f t="shared" si="119"/>
        <v>Garrote</v>
      </c>
      <c r="BL673" s="1327">
        <f>IF(OR($L673=BL$635,$L673="",$D673=$BN$634),MAX(BL$637:BL672)+1,0)</f>
        <v>0</v>
      </c>
      <c r="BM673" s="1328">
        <f>IF(OR($L673=BM$635,$L673="",$D673=$BN$634),MAX(BM$637:BM672)+1,0)</f>
        <v>0</v>
      </c>
      <c r="BN673" s="1329">
        <f>IF(OR($L673=BN$635,$L673="",$D673=$BN$634),MAX(BN$637:BN672)+1,0)</f>
        <v>35</v>
      </c>
      <c r="BO673" s="5867"/>
      <c r="BP673" s="907" t="str">
        <f t="shared" si="120"/>
        <v/>
      </c>
      <c r="BQ673" s="86" t="str">
        <f t="shared" si="121"/>
        <v/>
      </c>
      <c r="BR673" s="86" t="str">
        <f t="shared" si="122"/>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838"/>
      <c r="C674" s="1208"/>
      <c r="D674" s="2957" t="s">
        <v>2147</v>
      </c>
      <c r="E674" s="2961">
        <v>30</v>
      </c>
      <c r="F674" s="2956">
        <v>0</v>
      </c>
      <c r="G674" s="2956">
        <v>5</v>
      </c>
      <c r="H674" s="2956">
        <v>5</v>
      </c>
      <c r="I674" s="2956" t="s">
        <v>1501</v>
      </c>
      <c r="J674" s="2956" t="s">
        <v>1459</v>
      </c>
      <c r="K674" s="2947" t="s">
        <v>7461</v>
      </c>
      <c r="L674" s="2956" t="str">
        <f t="shared" si="102"/>
        <v>Distinta</v>
      </c>
      <c r="M674" s="2962">
        <v>11</v>
      </c>
      <c r="N674" s="2962">
        <v>-2</v>
      </c>
      <c r="O674" s="2962">
        <v>15</v>
      </c>
      <c r="P674" s="2956"/>
      <c r="Q674" s="2956"/>
      <c r="R674" s="2956" t="s">
        <v>1459</v>
      </c>
      <c r="S674" s="2956" t="s">
        <v>1459</v>
      </c>
      <c r="T674" s="2956" t="s">
        <v>1459</v>
      </c>
      <c r="U674" s="2956"/>
      <c r="V674" s="2947" t="s">
        <v>1459</v>
      </c>
      <c r="W674" s="2947"/>
      <c r="X674" s="2945" t="str">
        <f t="shared" si="104"/>
        <v>Mediana</v>
      </c>
      <c r="Y674" s="2886">
        <f t="shared" si="103"/>
        <v>0</v>
      </c>
      <c r="Z674" s="1326" t="str">
        <f t="shared" si="101"/>
        <v/>
      </c>
      <c r="AB674" s="907" t="s">
        <v>2149</v>
      </c>
      <c r="AC674" s="236" t="s">
        <v>2192</v>
      </c>
      <c r="AD674" s="1443"/>
      <c r="AE674" s="1331"/>
      <c r="AG674" s="907" t="str">
        <f t="shared" si="105"/>
        <v/>
      </c>
      <c r="AH674" s="86" t="str">
        <f t="shared" si="106"/>
        <v/>
      </c>
      <c r="AI674" s="86" t="str">
        <f t="shared" si="107"/>
        <v>Glavius</v>
      </c>
      <c r="AJ674" s="1327">
        <f>IF(OR($L674=AJ$635,$L674="",$D674=$AL$634),MAX(AJ$637:AJ673)+1,0)</f>
        <v>0</v>
      </c>
      <c r="AK674" s="1328">
        <f>IF(OR($L674=AK$635,$L674="",$D674=$AL$634),MAX(AK$637:AK673)+1,0)</f>
        <v>0</v>
      </c>
      <c r="AL674" s="1329">
        <f>IF(OR($L674=AL$635,$L674="",$D674=$AL$634),MAX(AL$637:AL673)+1,0)</f>
        <v>36</v>
      </c>
      <c r="AM674" s="5867"/>
      <c r="AN674" s="907" t="str">
        <f t="shared" si="108"/>
        <v/>
      </c>
      <c r="AO674" s="86" t="str">
        <f t="shared" si="109"/>
        <v/>
      </c>
      <c r="AP674" s="86" t="str">
        <f t="shared" si="110"/>
        <v>Glavius</v>
      </c>
      <c r="AQ674" s="1327">
        <f>IF(OR($L674=AQ$635,$L674="",$D674=$AS$634),MAX(AQ$637:AQ673)+1,0)</f>
        <v>0</v>
      </c>
      <c r="AR674" s="1328">
        <f>IF(OR($L674=AR$635,$L674="",$D674=$AS$634),MAX(AR$637:AR673)+1,0)</f>
        <v>0</v>
      </c>
      <c r="AS674" s="1329">
        <f>IF(OR($L674=AS$635,$L674="",$D674=$AS$634),MAX(AS$637:AS673)+1,0)</f>
        <v>36</v>
      </c>
      <c r="AT674" s="5867"/>
      <c r="AU674" s="907" t="str">
        <f t="shared" si="111"/>
        <v/>
      </c>
      <c r="AV674" s="86" t="str">
        <f t="shared" si="112"/>
        <v/>
      </c>
      <c r="AW674" s="86" t="str">
        <f t="shared" si="113"/>
        <v>Glavius</v>
      </c>
      <c r="AX674" s="1327">
        <f>IF(OR($L674=AX$635,$L674="",$D674=$AZ$634),MAX(AX$637:AX673)+1,0)</f>
        <v>0</v>
      </c>
      <c r="AY674" s="1328">
        <f>IF(OR($L674=AY$635,$L674="",$D674=$AZ$634),MAX(AY$637:AY673)+1,0)</f>
        <v>0</v>
      </c>
      <c r="AZ674" s="1329">
        <f>IF(OR($L674=AZ$635,$L674="",$D674=$AZ$634),MAX(AZ$637:AZ673)+1,0)</f>
        <v>36</v>
      </c>
      <c r="BA674" s="5867"/>
      <c r="BB674" s="907" t="str">
        <f t="shared" si="114"/>
        <v/>
      </c>
      <c r="BC674" s="86" t="str">
        <f t="shared" si="115"/>
        <v/>
      </c>
      <c r="BD674" s="86" t="str">
        <f t="shared" si="116"/>
        <v>Glavius</v>
      </c>
      <c r="BE674" s="1327">
        <f>IF(OR($L674=BE$635,$L674="",$D674=$BG$634),MAX(BE$637:BE673)+1,0)</f>
        <v>0</v>
      </c>
      <c r="BF674" s="1328">
        <f>IF(OR($L674=BF$635,$L674="",$D674=$BG$634),MAX(BF$637:BF673)+1,0)</f>
        <v>0</v>
      </c>
      <c r="BG674" s="1329">
        <f>IF(OR($L674=BG$635,$L674="",$D674=$BG$634),MAX(BG$637:BG673)+1,0)</f>
        <v>36</v>
      </c>
      <c r="BH674" s="5867"/>
      <c r="BI674" s="907" t="str">
        <f t="shared" si="117"/>
        <v/>
      </c>
      <c r="BJ674" s="86" t="str">
        <f t="shared" si="118"/>
        <v/>
      </c>
      <c r="BK674" s="86" t="str">
        <f t="shared" si="119"/>
        <v>Glavius</v>
      </c>
      <c r="BL674" s="1327">
        <f>IF(OR($L674=BL$635,$L674="",$D674=$BN$634),MAX(BL$637:BL673)+1,0)</f>
        <v>0</v>
      </c>
      <c r="BM674" s="1328">
        <f>IF(OR($L674=BM$635,$L674="",$D674=$BN$634),MAX(BM$637:BM673)+1,0)</f>
        <v>0</v>
      </c>
      <c r="BN674" s="1329">
        <f>IF(OR($L674=BN$635,$L674="",$D674=$BN$634),MAX(BN$637:BN673)+1,0)</f>
        <v>36</v>
      </c>
      <c r="BO674" s="5867"/>
      <c r="BP674" s="907" t="str">
        <f t="shared" si="120"/>
        <v/>
      </c>
      <c r="BQ674" s="86" t="str">
        <f t="shared" si="121"/>
        <v/>
      </c>
      <c r="BR674" s="86" t="str">
        <f t="shared" si="122"/>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838"/>
      <c r="C675" s="1208"/>
      <c r="D675" s="2957" t="s">
        <v>7174</v>
      </c>
      <c r="E675" s="2961">
        <v>40</v>
      </c>
      <c r="F675" s="2956">
        <v>0</v>
      </c>
      <c r="G675" s="2956">
        <v>7</v>
      </c>
      <c r="H675" s="2956">
        <v>6</v>
      </c>
      <c r="I675" s="2956" t="s">
        <v>1556</v>
      </c>
      <c r="J675" s="2956" t="s">
        <v>1555</v>
      </c>
      <c r="K675" s="2947" t="s">
        <v>7455</v>
      </c>
      <c r="L675" s="2956" t="str">
        <f t="shared" si="102"/>
        <v>Distinta</v>
      </c>
      <c r="M675" s="2962">
        <v>12</v>
      </c>
      <c r="N675" s="2962">
        <v>1</v>
      </c>
      <c r="O675" s="2962">
        <v>20</v>
      </c>
      <c r="P675" s="2956"/>
      <c r="Q675" s="2956"/>
      <c r="R675" s="2956" t="s">
        <v>1459</v>
      </c>
      <c r="S675" s="2956" t="s">
        <v>1459</v>
      </c>
      <c r="T675" s="2956" t="s">
        <v>1459</v>
      </c>
      <c r="U675" s="2956"/>
      <c r="V675" s="2947" t="s">
        <v>2137</v>
      </c>
      <c r="W675" s="2947"/>
      <c r="X675" s="2945" t="str">
        <f t="shared" si="104"/>
        <v>Grande</v>
      </c>
      <c r="Y675" s="2886">
        <f t="shared" si="103"/>
        <v>0</v>
      </c>
      <c r="Z675" s="1326" t="str">
        <f t="shared" ref="Z675:Z706" si="123">IF(AND(K675&lt;&gt;"Natural/-",ISNUMBER(SEARCH(D675,Armas_Conocidas))),", "&amp;K675,"")</f>
        <v/>
      </c>
      <c r="AB675" s="907" t="s">
        <v>2150</v>
      </c>
      <c r="AC675" s="236" t="s">
        <v>7190</v>
      </c>
      <c r="AD675" s="1443"/>
      <c r="AE675" s="1331"/>
      <c r="AG675" s="907" t="str">
        <f t="shared" si="105"/>
        <v/>
      </c>
      <c r="AH675" s="86" t="str">
        <f t="shared" si="106"/>
        <v/>
      </c>
      <c r="AI675" s="86" t="str">
        <f t="shared" si="107"/>
        <v>Goedendag</v>
      </c>
      <c r="AJ675" s="1327">
        <f>IF(OR($L675=AJ$635,$L675="",$D675=$AL$634),MAX(AJ$637:AJ674)+1,0)</f>
        <v>0</v>
      </c>
      <c r="AK675" s="1328">
        <f>IF(OR($L675=AK$635,$L675="",$D675=$AL$634),MAX(AK$637:AK674)+1,0)</f>
        <v>0</v>
      </c>
      <c r="AL675" s="1329">
        <f>IF(OR($L675=AL$635,$L675="",$D675=$AL$634),MAX(AL$637:AL674)+1,0)</f>
        <v>37</v>
      </c>
      <c r="AM675" s="5867"/>
      <c r="AN675" s="907" t="str">
        <f t="shared" si="108"/>
        <v/>
      </c>
      <c r="AO675" s="86" t="str">
        <f t="shared" si="109"/>
        <v/>
      </c>
      <c r="AP675" s="86" t="str">
        <f t="shared" si="110"/>
        <v>Goedendag</v>
      </c>
      <c r="AQ675" s="1327">
        <f>IF(OR($L675=AQ$635,$L675="",$D675=$AS$634),MAX(AQ$637:AQ674)+1,0)</f>
        <v>0</v>
      </c>
      <c r="AR675" s="1328">
        <f>IF(OR($L675=AR$635,$L675="",$D675=$AS$634),MAX(AR$637:AR674)+1,0)</f>
        <v>0</v>
      </c>
      <c r="AS675" s="1329">
        <f>IF(OR($L675=AS$635,$L675="",$D675=$AS$634),MAX(AS$637:AS674)+1,0)</f>
        <v>37</v>
      </c>
      <c r="AT675" s="5867"/>
      <c r="AU675" s="907" t="str">
        <f t="shared" si="111"/>
        <v/>
      </c>
      <c r="AV675" s="86" t="str">
        <f t="shared" si="112"/>
        <v/>
      </c>
      <c r="AW675" s="86" t="str">
        <f t="shared" si="113"/>
        <v>Goedendag</v>
      </c>
      <c r="AX675" s="1327">
        <f>IF(OR($L675=AX$635,$L675="",$D675=$AZ$634),MAX(AX$637:AX674)+1,0)</f>
        <v>0</v>
      </c>
      <c r="AY675" s="1328">
        <f>IF(OR($L675=AY$635,$L675="",$D675=$AZ$634),MAX(AY$637:AY674)+1,0)</f>
        <v>0</v>
      </c>
      <c r="AZ675" s="1329">
        <f>IF(OR($L675=AZ$635,$L675="",$D675=$AZ$634),MAX(AZ$637:AZ674)+1,0)</f>
        <v>37</v>
      </c>
      <c r="BA675" s="5867"/>
      <c r="BB675" s="907" t="str">
        <f t="shared" si="114"/>
        <v/>
      </c>
      <c r="BC675" s="86" t="str">
        <f t="shared" si="115"/>
        <v/>
      </c>
      <c r="BD675" s="86" t="str">
        <f t="shared" si="116"/>
        <v>Goedendag</v>
      </c>
      <c r="BE675" s="1327">
        <f>IF(OR($L675=BE$635,$L675="",$D675=$BG$634),MAX(BE$637:BE674)+1,0)</f>
        <v>0</v>
      </c>
      <c r="BF675" s="1328">
        <f>IF(OR($L675=BF$635,$L675="",$D675=$BG$634),MAX(BF$637:BF674)+1,0)</f>
        <v>0</v>
      </c>
      <c r="BG675" s="1329">
        <f>IF(OR($L675=BG$635,$L675="",$D675=$BG$634),MAX(BG$637:BG674)+1,0)</f>
        <v>37</v>
      </c>
      <c r="BH675" s="5867"/>
      <c r="BI675" s="907" t="str">
        <f t="shared" si="117"/>
        <v/>
      </c>
      <c r="BJ675" s="86" t="str">
        <f t="shared" si="118"/>
        <v/>
      </c>
      <c r="BK675" s="86" t="str">
        <f t="shared" si="119"/>
        <v>Goedendag</v>
      </c>
      <c r="BL675" s="1327">
        <f>IF(OR($L675=BL$635,$L675="",$D675=$BN$634),MAX(BL$637:BL674)+1,0)</f>
        <v>0</v>
      </c>
      <c r="BM675" s="1328">
        <f>IF(OR($L675=BM$635,$L675="",$D675=$BN$634),MAX(BM$637:BM674)+1,0)</f>
        <v>0</v>
      </c>
      <c r="BN675" s="1329">
        <f>IF(OR($L675=BN$635,$L675="",$D675=$BN$634),MAX(BN$637:BN674)+1,0)</f>
        <v>37</v>
      </c>
      <c r="BO675" s="5867"/>
      <c r="BP675" s="907" t="str">
        <f t="shared" si="120"/>
        <v/>
      </c>
      <c r="BQ675" s="86" t="str">
        <f t="shared" si="121"/>
        <v/>
      </c>
      <c r="BR675" s="86" t="str">
        <f t="shared" si="122"/>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838"/>
      <c r="C676" s="1208"/>
      <c r="D676" s="2957" t="s">
        <v>7175</v>
      </c>
      <c r="E676" s="2961">
        <v>35</v>
      </c>
      <c r="F676" s="2956">
        <v>5</v>
      </c>
      <c r="G676" s="2956">
        <v>6</v>
      </c>
      <c r="H676" s="2956">
        <v>4</v>
      </c>
      <c r="I676" s="2956" t="s">
        <v>1556</v>
      </c>
      <c r="J676" s="2956" t="s">
        <v>1501</v>
      </c>
      <c r="K676" s="2947" t="s">
        <v>7455</v>
      </c>
      <c r="L676" s="2956" t="str">
        <f t="shared" ref="L676:L707" si="124">IF(ISNUMBER(SEARCH($D676,Armas_Conocidas)),"Conocida",IF(OR(ISNUMBER(SEARCH(LEFT($K676,SEARCH("/",$K676)),Tipologías_Conocidas)),AND(NOT(ISNUMBER(SEARCH("/-",$K676))),ISNUMBER(SEARCH(MID($K676,SEARCH("/",$K676)+1,LEN($K676)),Tipologías_Conocidas)))),IF(ISNUMBER(SEARCH($K676,Tipologías_Conocidas)),"Similar","Mixta"),"Distinta"))</f>
        <v>Distinta</v>
      </c>
      <c r="M676" s="2962">
        <v>10</v>
      </c>
      <c r="N676" s="2962">
        <v>2</v>
      </c>
      <c r="O676" s="2962">
        <v>20</v>
      </c>
      <c r="P676" s="2956"/>
      <c r="Q676" s="2956"/>
      <c r="R676" s="2956" t="s">
        <v>1459</v>
      </c>
      <c r="S676" s="2956" t="s">
        <v>1459</v>
      </c>
      <c r="T676" s="2956" t="s">
        <v>1459</v>
      </c>
      <c r="U676" s="2956"/>
      <c r="V676" s="2947" t="s">
        <v>7220</v>
      </c>
      <c r="W676" s="2947"/>
      <c r="X676" s="2945" t="str">
        <f t="shared" si="104"/>
        <v>Grande</v>
      </c>
      <c r="Y676" s="2886">
        <f t="shared" ref="Y676:Y707" si="125">Bono_Fue</f>
        <v>0</v>
      </c>
      <c r="Z676" s="1326" t="str">
        <f t="shared" si="123"/>
        <v/>
      </c>
      <c r="AB676" s="907" t="s">
        <v>2151</v>
      </c>
      <c r="AC676" s="236" t="s">
        <v>7191</v>
      </c>
      <c r="AD676" s="1443"/>
      <c r="AE676" s="1331"/>
      <c r="AG676" s="907" t="str">
        <f t="shared" si="105"/>
        <v/>
      </c>
      <c r="AH676" s="86" t="str">
        <f t="shared" si="106"/>
        <v/>
      </c>
      <c r="AI676" s="86" t="str">
        <f t="shared" si="107"/>
        <v>Gosse Messer</v>
      </c>
      <c r="AJ676" s="1327">
        <f>IF(OR($L676=AJ$635,$L676="",$D676=$AL$634),MAX(AJ$637:AJ675)+1,0)</f>
        <v>0</v>
      </c>
      <c r="AK676" s="1328">
        <f>IF(OR($L676=AK$635,$L676="",$D676=$AL$634),MAX(AK$637:AK675)+1,0)</f>
        <v>0</v>
      </c>
      <c r="AL676" s="1329">
        <f>IF(OR($L676=AL$635,$L676="",$D676=$AL$634),MAX(AL$637:AL675)+1,0)</f>
        <v>38</v>
      </c>
      <c r="AM676" s="5867"/>
      <c r="AN676" s="907" t="str">
        <f t="shared" si="108"/>
        <v/>
      </c>
      <c r="AO676" s="86" t="str">
        <f t="shared" si="109"/>
        <v/>
      </c>
      <c r="AP676" s="86" t="str">
        <f t="shared" si="110"/>
        <v>Gosse Messer</v>
      </c>
      <c r="AQ676" s="1327">
        <f>IF(OR($L676=AQ$635,$L676="",$D676=$AS$634),MAX(AQ$637:AQ675)+1,0)</f>
        <v>0</v>
      </c>
      <c r="AR676" s="1328">
        <f>IF(OR($L676=AR$635,$L676="",$D676=$AS$634),MAX(AR$637:AR675)+1,0)</f>
        <v>0</v>
      </c>
      <c r="AS676" s="1329">
        <f>IF(OR($L676=AS$635,$L676="",$D676=$AS$634),MAX(AS$637:AS675)+1,0)</f>
        <v>38</v>
      </c>
      <c r="AT676" s="5867"/>
      <c r="AU676" s="907" t="str">
        <f t="shared" si="111"/>
        <v/>
      </c>
      <c r="AV676" s="86" t="str">
        <f t="shared" si="112"/>
        <v/>
      </c>
      <c r="AW676" s="86" t="str">
        <f t="shared" si="113"/>
        <v>Gosse Messer</v>
      </c>
      <c r="AX676" s="1327">
        <f>IF(OR($L676=AX$635,$L676="",$D676=$AZ$634),MAX(AX$637:AX675)+1,0)</f>
        <v>0</v>
      </c>
      <c r="AY676" s="1328">
        <f>IF(OR($L676=AY$635,$L676="",$D676=$AZ$634),MAX(AY$637:AY675)+1,0)</f>
        <v>0</v>
      </c>
      <c r="AZ676" s="1329">
        <f>IF(OR($L676=AZ$635,$L676="",$D676=$AZ$634),MAX(AZ$637:AZ675)+1,0)</f>
        <v>38</v>
      </c>
      <c r="BA676" s="5867"/>
      <c r="BB676" s="907" t="str">
        <f t="shared" si="114"/>
        <v/>
      </c>
      <c r="BC676" s="86" t="str">
        <f t="shared" si="115"/>
        <v/>
      </c>
      <c r="BD676" s="86" t="str">
        <f t="shared" si="116"/>
        <v>Gosse Messer</v>
      </c>
      <c r="BE676" s="1327">
        <f>IF(OR($L676=BE$635,$L676="",$D676=$BG$634),MAX(BE$637:BE675)+1,0)</f>
        <v>0</v>
      </c>
      <c r="BF676" s="1328">
        <f>IF(OR($L676=BF$635,$L676="",$D676=$BG$634),MAX(BF$637:BF675)+1,0)</f>
        <v>0</v>
      </c>
      <c r="BG676" s="1329">
        <f>IF(OR($L676=BG$635,$L676="",$D676=$BG$634),MAX(BG$637:BG675)+1,0)</f>
        <v>38</v>
      </c>
      <c r="BH676" s="5867"/>
      <c r="BI676" s="907" t="str">
        <f t="shared" si="117"/>
        <v/>
      </c>
      <c r="BJ676" s="86" t="str">
        <f t="shared" si="118"/>
        <v/>
      </c>
      <c r="BK676" s="86" t="str">
        <f t="shared" si="119"/>
        <v>Gosse Messer</v>
      </c>
      <c r="BL676" s="1327">
        <f>IF(OR($L676=BL$635,$L676="",$D676=$BN$634),MAX(BL$637:BL675)+1,0)</f>
        <v>0</v>
      </c>
      <c r="BM676" s="1328">
        <f>IF(OR($L676=BM$635,$L676="",$D676=$BN$634),MAX(BM$637:BM675)+1,0)</f>
        <v>0</v>
      </c>
      <c r="BN676" s="1329">
        <f>IF(OR($L676=BN$635,$L676="",$D676=$BN$634),MAX(BN$637:BN675)+1,0)</f>
        <v>38</v>
      </c>
      <c r="BO676" s="5867"/>
      <c r="BP676" s="907" t="str">
        <f t="shared" si="120"/>
        <v/>
      </c>
      <c r="BQ676" s="86" t="str">
        <f t="shared" si="121"/>
        <v/>
      </c>
      <c r="BR676" s="86" t="str">
        <f t="shared" si="122"/>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838"/>
      <c r="C677" s="1208"/>
      <c r="D677" s="2957" t="s">
        <v>7177</v>
      </c>
      <c r="E677" s="2961">
        <v>75</v>
      </c>
      <c r="F677" s="2956">
        <v>-30</v>
      </c>
      <c r="G677" s="2956">
        <v>9</v>
      </c>
      <c r="H677" s="2956">
        <v>6</v>
      </c>
      <c r="I677" s="2956" t="s">
        <v>1555</v>
      </c>
      <c r="J677" s="2956" t="s">
        <v>1459</v>
      </c>
      <c r="K677" s="2947" t="s">
        <v>7462</v>
      </c>
      <c r="L677" s="2956" t="str">
        <f t="shared" si="124"/>
        <v>Distinta</v>
      </c>
      <c r="M677" s="2962">
        <v>12</v>
      </c>
      <c r="N677" s="2962">
        <v>3</v>
      </c>
      <c r="O677" s="2962">
        <v>20</v>
      </c>
      <c r="P677" s="2956"/>
      <c r="Q677" s="2956"/>
      <c r="R677" s="2956" t="s">
        <v>1459</v>
      </c>
      <c r="S677" s="2956" t="s">
        <v>1459</v>
      </c>
      <c r="T677" s="2956" t="s">
        <v>1459</v>
      </c>
      <c r="U677" s="2956"/>
      <c r="V677" s="2947" t="s">
        <v>1583</v>
      </c>
      <c r="W677" s="2947"/>
      <c r="X677" s="2945" t="str">
        <f t="shared" si="104"/>
        <v>Grande</v>
      </c>
      <c r="Y677" s="2886">
        <f t="shared" si="125"/>
        <v>0</v>
      </c>
      <c r="Z677" s="1326" t="str">
        <f t="shared" si="123"/>
        <v/>
      </c>
      <c r="AB677" s="907" t="s">
        <v>2153</v>
      </c>
      <c r="AC677" s="236" t="s">
        <v>7192</v>
      </c>
      <c r="AD677" s="1443"/>
      <c r="AE677" s="1331"/>
      <c r="AG677" s="907" t="str">
        <f t="shared" si="105"/>
        <v/>
      </c>
      <c r="AH677" s="86" t="str">
        <f t="shared" si="106"/>
        <v/>
      </c>
      <c r="AI677" s="86" t="str">
        <f t="shared" si="107"/>
        <v>Gran martillo guerra</v>
      </c>
      <c r="AJ677" s="1327">
        <f>IF(OR($L677=AJ$635,$L677="",$D677=$AL$634),MAX(AJ$637:AJ676)+1,0)</f>
        <v>0</v>
      </c>
      <c r="AK677" s="1328">
        <f>IF(OR($L677=AK$635,$L677="",$D677=$AL$634),MAX(AK$637:AK676)+1,0)</f>
        <v>0</v>
      </c>
      <c r="AL677" s="1329">
        <f>IF(OR($L677=AL$635,$L677="",$D677=$AL$634),MAX(AL$637:AL676)+1,0)</f>
        <v>39</v>
      </c>
      <c r="AM677" s="5867"/>
      <c r="AN677" s="907" t="str">
        <f t="shared" si="108"/>
        <v/>
      </c>
      <c r="AO677" s="86" t="str">
        <f t="shared" si="109"/>
        <v/>
      </c>
      <c r="AP677" s="86" t="str">
        <f t="shared" si="110"/>
        <v>Gran martillo guerra</v>
      </c>
      <c r="AQ677" s="1327">
        <f>IF(OR($L677=AQ$635,$L677="",$D677=$AS$634),MAX(AQ$637:AQ676)+1,0)</f>
        <v>0</v>
      </c>
      <c r="AR677" s="1328">
        <f>IF(OR($L677=AR$635,$L677="",$D677=$AS$634),MAX(AR$637:AR676)+1,0)</f>
        <v>0</v>
      </c>
      <c r="AS677" s="1329">
        <f>IF(OR($L677=AS$635,$L677="",$D677=$AS$634),MAX(AS$637:AS676)+1,0)</f>
        <v>39</v>
      </c>
      <c r="AT677" s="5867"/>
      <c r="AU677" s="907" t="str">
        <f t="shared" si="111"/>
        <v/>
      </c>
      <c r="AV677" s="86" t="str">
        <f t="shared" si="112"/>
        <v/>
      </c>
      <c r="AW677" s="86" t="str">
        <f t="shared" si="113"/>
        <v>Gran martillo guerra</v>
      </c>
      <c r="AX677" s="1327">
        <f>IF(OR($L677=AX$635,$L677="",$D677=$AZ$634),MAX(AX$637:AX676)+1,0)</f>
        <v>0</v>
      </c>
      <c r="AY677" s="1328">
        <f>IF(OR($L677=AY$635,$L677="",$D677=$AZ$634),MAX(AY$637:AY676)+1,0)</f>
        <v>0</v>
      </c>
      <c r="AZ677" s="1329">
        <f>IF(OR($L677=AZ$635,$L677="",$D677=$AZ$634),MAX(AZ$637:AZ676)+1,0)</f>
        <v>39</v>
      </c>
      <c r="BA677" s="5867"/>
      <c r="BB677" s="907" t="str">
        <f t="shared" si="114"/>
        <v/>
      </c>
      <c r="BC677" s="86" t="str">
        <f t="shared" si="115"/>
        <v/>
      </c>
      <c r="BD677" s="86" t="str">
        <f t="shared" si="116"/>
        <v>Gran martillo guerra</v>
      </c>
      <c r="BE677" s="1327">
        <f>IF(OR($L677=BE$635,$L677="",$D677=$BG$634),MAX(BE$637:BE676)+1,0)</f>
        <v>0</v>
      </c>
      <c r="BF677" s="1328">
        <f>IF(OR($L677=BF$635,$L677="",$D677=$BG$634),MAX(BF$637:BF676)+1,0)</f>
        <v>0</v>
      </c>
      <c r="BG677" s="1329">
        <f>IF(OR($L677=BG$635,$L677="",$D677=$BG$634),MAX(BG$637:BG676)+1,0)</f>
        <v>39</v>
      </c>
      <c r="BH677" s="5867"/>
      <c r="BI677" s="907" t="str">
        <f t="shared" si="117"/>
        <v/>
      </c>
      <c r="BJ677" s="86" t="str">
        <f t="shared" si="118"/>
        <v/>
      </c>
      <c r="BK677" s="86" t="str">
        <f t="shared" si="119"/>
        <v>Gran martillo guerra</v>
      </c>
      <c r="BL677" s="1327">
        <f>IF(OR($L677=BL$635,$L677="",$D677=$BN$634),MAX(BL$637:BL676)+1,0)</f>
        <v>0</v>
      </c>
      <c r="BM677" s="1328">
        <f>IF(OR($L677=BM$635,$L677="",$D677=$BN$634),MAX(BM$637:BM676)+1,0)</f>
        <v>0</v>
      </c>
      <c r="BN677" s="1329">
        <f>IF(OR($L677=BN$635,$L677="",$D677=$BN$634),MAX(BN$637:BN676)+1,0)</f>
        <v>39</v>
      </c>
      <c r="BO677" s="5867"/>
      <c r="BP677" s="907" t="str">
        <f t="shared" si="120"/>
        <v/>
      </c>
      <c r="BQ677" s="86" t="str">
        <f t="shared" si="121"/>
        <v/>
      </c>
      <c r="BR677" s="86" t="str">
        <f t="shared" si="122"/>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838"/>
      <c r="C678" s="1208"/>
      <c r="D678" s="2957" t="s">
        <v>2149</v>
      </c>
      <c r="E678" s="2961">
        <v>70</v>
      </c>
      <c r="F678" s="2956">
        <v>-35</v>
      </c>
      <c r="G678" s="2956">
        <v>10</v>
      </c>
      <c r="H678" s="2956">
        <v>7</v>
      </c>
      <c r="I678" s="2956" t="s">
        <v>1501</v>
      </c>
      <c r="J678" s="2956" t="s">
        <v>1459</v>
      </c>
      <c r="K678" s="2947" t="s">
        <v>7461</v>
      </c>
      <c r="L678" s="2956" t="str">
        <f t="shared" si="124"/>
        <v>Distinta</v>
      </c>
      <c r="M678" s="2962">
        <v>16</v>
      </c>
      <c r="N678" s="2962">
        <v>6</v>
      </c>
      <c r="O678" s="2962">
        <v>20</v>
      </c>
      <c r="P678" s="2956"/>
      <c r="Q678" s="2956"/>
      <c r="R678" s="2956" t="s">
        <v>1459</v>
      </c>
      <c r="S678" s="2956" t="s">
        <v>1459</v>
      </c>
      <c r="T678" s="2956" t="s">
        <v>1459</v>
      </c>
      <c r="U678" s="2956"/>
      <c r="V678" s="2947" t="s">
        <v>2137</v>
      </c>
      <c r="W678" s="2947"/>
      <c r="X678" s="2945" t="str">
        <f t="shared" si="104"/>
        <v>Mediana</v>
      </c>
      <c r="Y678" s="2886">
        <f t="shared" si="125"/>
        <v>0</v>
      </c>
      <c r="Z678" s="1326" t="str">
        <f t="shared" si="123"/>
        <v/>
      </c>
      <c r="AB678" s="907" t="s">
        <v>2154</v>
      </c>
      <c r="AC678" s="236" t="s">
        <v>2195</v>
      </c>
      <c r="AD678" s="1443"/>
      <c r="AE678" s="1331"/>
      <c r="AG678" s="907" t="str">
        <f t="shared" si="105"/>
        <v/>
      </c>
      <c r="AH678" s="86" t="str">
        <f t="shared" si="106"/>
        <v/>
      </c>
      <c r="AI678" s="86" t="str">
        <f t="shared" si="107"/>
        <v>Guadaña</v>
      </c>
      <c r="AJ678" s="1327">
        <f>IF(OR($L678=AJ$635,$L678="",$D678=$AL$634),MAX(AJ$637:AJ677)+1,0)</f>
        <v>0</v>
      </c>
      <c r="AK678" s="1328">
        <f>IF(OR($L678=AK$635,$L678="",$D678=$AL$634),MAX(AK$637:AK677)+1,0)</f>
        <v>0</v>
      </c>
      <c r="AL678" s="1329">
        <f>IF(OR($L678=AL$635,$L678="",$D678=$AL$634),MAX(AL$637:AL677)+1,0)</f>
        <v>40</v>
      </c>
      <c r="AM678" s="5867"/>
      <c r="AN678" s="907" t="str">
        <f t="shared" si="108"/>
        <v/>
      </c>
      <c r="AO678" s="86" t="str">
        <f t="shared" si="109"/>
        <v/>
      </c>
      <c r="AP678" s="86" t="str">
        <f t="shared" si="110"/>
        <v>Guadaña</v>
      </c>
      <c r="AQ678" s="1327">
        <f>IF(OR($L678=AQ$635,$L678="",$D678=$AS$634),MAX(AQ$637:AQ677)+1,0)</f>
        <v>0</v>
      </c>
      <c r="AR678" s="1328">
        <f>IF(OR($L678=AR$635,$L678="",$D678=$AS$634),MAX(AR$637:AR677)+1,0)</f>
        <v>0</v>
      </c>
      <c r="AS678" s="1329">
        <f>IF(OR($L678=AS$635,$L678="",$D678=$AS$634),MAX(AS$637:AS677)+1,0)</f>
        <v>40</v>
      </c>
      <c r="AT678" s="5867"/>
      <c r="AU678" s="907" t="str">
        <f t="shared" si="111"/>
        <v/>
      </c>
      <c r="AV678" s="86" t="str">
        <f t="shared" si="112"/>
        <v/>
      </c>
      <c r="AW678" s="86" t="str">
        <f t="shared" si="113"/>
        <v>Guadaña</v>
      </c>
      <c r="AX678" s="1327">
        <f>IF(OR($L678=AX$635,$L678="",$D678=$AZ$634),MAX(AX$637:AX677)+1,0)</f>
        <v>0</v>
      </c>
      <c r="AY678" s="1328">
        <f>IF(OR($L678=AY$635,$L678="",$D678=$AZ$634),MAX(AY$637:AY677)+1,0)</f>
        <v>0</v>
      </c>
      <c r="AZ678" s="1329">
        <f>IF(OR($L678=AZ$635,$L678="",$D678=$AZ$634),MAX(AZ$637:AZ677)+1,0)</f>
        <v>40</v>
      </c>
      <c r="BA678" s="5867"/>
      <c r="BB678" s="907" t="str">
        <f t="shared" si="114"/>
        <v/>
      </c>
      <c r="BC678" s="86" t="str">
        <f t="shared" si="115"/>
        <v/>
      </c>
      <c r="BD678" s="86" t="str">
        <f t="shared" si="116"/>
        <v>Guadaña</v>
      </c>
      <c r="BE678" s="1327">
        <f>IF(OR($L678=BE$635,$L678="",$D678=$BG$634),MAX(BE$637:BE677)+1,0)</f>
        <v>0</v>
      </c>
      <c r="BF678" s="1328">
        <f>IF(OR($L678=BF$635,$L678="",$D678=$BG$634),MAX(BF$637:BF677)+1,0)</f>
        <v>0</v>
      </c>
      <c r="BG678" s="1329">
        <f>IF(OR($L678=BG$635,$L678="",$D678=$BG$634),MAX(BG$637:BG677)+1,0)</f>
        <v>40</v>
      </c>
      <c r="BH678" s="5867"/>
      <c r="BI678" s="907" t="str">
        <f t="shared" si="117"/>
        <v/>
      </c>
      <c r="BJ678" s="86" t="str">
        <f t="shared" si="118"/>
        <v/>
      </c>
      <c r="BK678" s="86" t="str">
        <f t="shared" si="119"/>
        <v>Guadaña</v>
      </c>
      <c r="BL678" s="1327">
        <f>IF(OR($L678=BL$635,$L678="",$D678=$BN$634),MAX(BL$637:BL677)+1,0)</f>
        <v>0</v>
      </c>
      <c r="BM678" s="1328">
        <f>IF(OR($L678=BM$635,$L678="",$D678=$BN$634),MAX(BM$637:BM677)+1,0)</f>
        <v>0</v>
      </c>
      <c r="BN678" s="1329">
        <f>IF(OR($L678=BN$635,$L678="",$D678=$BN$634),MAX(BN$637:BN677)+1,0)</f>
        <v>40</v>
      </c>
      <c r="BO678" s="5867"/>
      <c r="BP678" s="907" t="str">
        <f t="shared" si="120"/>
        <v/>
      </c>
      <c r="BQ678" s="86" t="str">
        <f t="shared" si="121"/>
        <v/>
      </c>
      <c r="BR678" s="86" t="str">
        <f t="shared" si="122"/>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838"/>
      <c r="C679" s="1208"/>
      <c r="D679" s="2957" t="s">
        <v>2150</v>
      </c>
      <c r="E679" s="2961">
        <v>35</v>
      </c>
      <c r="F679" s="2956">
        <v>0</v>
      </c>
      <c r="G679" s="2956">
        <v>9</v>
      </c>
      <c r="H679" s="2956">
        <v>5</v>
      </c>
      <c r="I679" s="2956" t="s">
        <v>1555</v>
      </c>
      <c r="J679" s="2956" t="s">
        <v>1501</v>
      </c>
      <c r="K679" s="2947" t="s">
        <v>7454</v>
      </c>
      <c r="L679" s="2956" t="str">
        <f t="shared" si="124"/>
        <v>Distinta</v>
      </c>
      <c r="M679" s="2962">
        <v>12</v>
      </c>
      <c r="N679" s="2962">
        <v>2</v>
      </c>
      <c r="O679" s="2962">
        <v>25</v>
      </c>
      <c r="P679" s="2956"/>
      <c r="Q679" s="2956"/>
      <c r="R679" s="2956" t="s">
        <v>1459</v>
      </c>
      <c r="S679" s="2956" t="s">
        <v>1459</v>
      </c>
      <c r="T679" s="2956" t="s">
        <v>1459</v>
      </c>
      <c r="U679" s="2956"/>
      <c r="V679" s="2947" t="s">
        <v>2137</v>
      </c>
      <c r="W679" s="2947"/>
      <c r="X679" s="2945" t="str">
        <f t="shared" si="104"/>
        <v>Grande</v>
      </c>
      <c r="Y679" s="2886">
        <f t="shared" si="125"/>
        <v>0</v>
      </c>
      <c r="Z679" s="1326" t="str">
        <f t="shared" si="123"/>
        <v/>
      </c>
      <c r="AB679" s="907" t="s">
        <v>7193</v>
      </c>
      <c r="AC679" s="236" t="s">
        <v>2197</v>
      </c>
      <c r="AD679" s="1443"/>
      <c r="AE679" s="1331"/>
      <c r="AG679" s="907" t="str">
        <f t="shared" si="105"/>
        <v/>
      </c>
      <c r="AH679" s="86" t="str">
        <f t="shared" si="106"/>
        <v/>
      </c>
      <c r="AI679" s="86" t="str">
        <f t="shared" si="107"/>
        <v>Guandao</v>
      </c>
      <c r="AJ679" s="1327">
        <f>IF(OR($L679=AJ$635,$L679="",$D679=$AL$634),MAX(AJ$637:AJ678)+1,0)</f>
        <v>0</v>
      </c>
      <c r="AK679" s="1328">
        <f>IF(OR($L679=AK$635,$L679="",$D679=$AL$634),MAX(AK$637:AK678)+1,0)</f>
        <v>0</v>
      </c>
      <c r="AL679" s="1329">
        <f>IF(OR($L679=AL$635,$L679="",$D679=$AL$634),MAX(AL$637:AL678)+1,0)</f>
        <v>41</v>
      </c>
      <c r="AM679" s="5867"/>
      <c r="AN679" s="907" t="str">
        <f t="shared" si="108"/>
        <v/>
      </c>
      <c r="AO679" s="86" t="str">
        <f t="shared" si="109"/>
        <v/>
      </c>
      <c r="AP679" s="86" t="str">
        <f t="shared" si="110"/>
        <v>Guandao</v>
      </c>
      <c r="AQ679" s="1327">
        <f>IF(OR($L679=AQ$635,$L679="",$D679=$AS$634),MAX(AQ$637:AQ678)+1,0)</f>
        <v>0</v>
      </c>
      <c r="AR679" s="1328">
        <f>IF(OR($L679=AR$635,$L679="",$D679=$AS$634),MAX(AR$637:AR678)+1,0)</f>
        <v>0</v>
      </c>
      <c r="AS679" s="1329">
        <f>IF(OR($L679=AS$635,$L679="",$D679=$AS$634),MAX(AS$637:AS678)+1,0)</f>
        <v>41</v>
      </c>
      <c r="AT679" s="5867"/>
      <c r="AU679" s="907" t="str">
        <f t="shared" si="111"/>
        <v/>
      </c>
      <c r="AV679" s="86" t="str">
        <f t="shared" si="112"/>
        <v/>
      </c>
      <c r="AW679" s="86" t="str">
        <f t="shared" si="113"/>
        <v>Guandao</v>
      </c>
      <c r="AX679" s="1327">
        <f>IF(OR($L679=AX$635,$L679="",$D679=$AZ$634),MAX(AX$637:AX678)+1,0)</f>
        <v>0</v>
      </c>
      <c r="AY679" s="1328">
        <f>IF(OR($L679=AY$635,$L679="",$D679=$AZ$634),MAX(AY$637:AY678)+1,0)</f>
        <v>0</v>
      </c>
      <c r="AZ679" s="1329">
        <f>IF(OR($L679=AZ$635,$L679="",$D679=$AZ$634),MAX(AZ$637:AZ678)+1,0)</f>
        <v>41</v>
      </c>
      <c r="BA679" s="5867"/>
      <c r="BB679" s="907" t="str">
        <f t="shared" si="114"/>
        <v/>
      </c>
      <c r="BC679" s="86" t="str">
        <f t="shared" si="115"/>
        <v/>
      </c>
      <c r="BD679" s="86" t="str">
        <f t="shared" si="116"/>
        <v>Guandao</v>
      </c>
      <c r="BE679" s="1327">
        <f>IF(OR($L679=BE$635,$L679="",$D679=$BG$634),MAX(BE$637:BE678)+1,0)</f>
        <v>0</v>
      </c>
      <c r="BF679" s="1328">
        <f>IF(OR($L679=BF$635,$L679="",$D679=$BG$634),MAX(BF$637:BF678)+1,0)</f>
        <v>0</v>
      </c>
      <c r="BG679" s="1329">
        <f>IF(OR($L679=BG$635,$L679="",$D679=$BG$634),MAX(BG$637:BG678)+1,0)</f>
        <v>41</v>
      </c>
      <c r="BH679" s="5867"/>
      <c r="BI679" s="907" t="str">
        <f t="shared" si="117"/>
        <v/>
      </c>
      <c r="BJ679" s="86" t="str">
        <f t="shared" si="118"/>
        <v/>
      </c>
      <c r="BK679" s="86" t="str">
        <f t="shared" si="119"/>
        <v>Guandao</v>
      </c>
      <c r="BL679" s="1327">
        <f>IF(OR($L679=BL$635,$L679="",$D679=$BN$634),MAX(BL$637:BL678)+1,0)</f>
        <v>0</v>
      </c>
      <c r="BM679" s="1328">
        <f>IF(OR($L679=BM$635,$L679="",$D679=$BN$634),MAX(BM$637:BM678)+1,0)</f>
        <v>0</v>
      </c>
      <c r="BN679" s="1329">
        <f>IF(OR($L679=BN$635,$L679="",$D679=$BN$634),MAX(BN$637:BN678)+1,0)</f>
        <v>41</v>
      </c>
      <c r="BO679" s="5867"/>
      <c r="BP679" s="907" t="str">
        <f t="shared" si="120"/>
        <v/>
      </c>
      <c r="BQ679" s="86" t="str">
        <f t="shared" si="121"/>
        <v/>
      </c>
      <c r="BR679" s="86" t="str">
        <f t="shared" si="122"/>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838"/>
      <c r="C680" s="1208"/>
      <c r="D680" s="2957" t="s">
        <v>7179</v>
      </c>
      <c r="E680" s="2961">
        <v>65</v>
      </c>
      <c r="F680" s="2956">
        <v>-20</v>
      </c>
      <c r="G680" s="2956">
        <v>11</v>
      </c>
      <c r="H680" s="2956">
        <v>7</v>
      </c>
      <c r="I680" s="2956" t="s">
        <v>1555</v>
      </c>
      <c r="J680" s="2956" t="s">
        <v>1556</v>
      </c>
      <c r="K680" s="2947" t="s">
        <v>7455</v>
      </c>
      <c r="L680" s="2956" t="str">
        <f t="shared" si="124"/>
        <v>Distinta</v>
      </c>
      <c r="M680" s="2962">
        <v>13</v>
      </c>
      <c r="N680" s="2962">
        <v>3</v>
      </c>
      <c r="O680" s="2962">
        <v>20</v>
      </c>
      <c r="P680" s="2956"/>
      <c r="Q680" s="2956"/>
      <c r="R680" s="2956" t="s">
        <v>1459</v>
      </c>
      <c r="S680" s="2956" t="s">
        <v>1459</v>
      </c>
      <c r="T680" s="2956" t="s">
        <v>1459</v>
      </c>
      <c r="U680" s="2956"/>
      <c r="V680" s="2947" t="s">
        <v>1583</v>
      </c>
      <c r="W680" s="2947"/>
      <c r="X680" s="2945" t="str">
        <f t="shared" si="104"/>
        <v>Grande</v>
      </c>
      <c r="Y680" s="2886">
        <f t="shared" si="125"/>
        <v>0</v>
      </c>
      <c r="Z680" s="1326" t="str">
        <f t="shared" si="123"/>
        <v/>
      </c>
      <c r="AB680" s="907" t="s">
        <v>2155</v>
      </c>
      <c r="AC680" s="236" t="s">
        <v>7194</v>
      </c>
      <c r="AD680" s="1443"/>
      <c r="AE680" s="1331"/>
      <c r="AG680" s="907" t="str">
        <f t="shared" si="105"/>
        <v/>
      </c>
      <c r="AH680" s="86" t="str">
        <f t="shared" si="106"/>
        <v/>
      </c>
      <c r="AI680" s="86" t="str">
        <f t="shared" si="107"/>
        <v>Hacha a dos manos</v>
      </c>
      <c r="AJ680" s="1327">
        <f>IF(OR($L680=AJ$635,$L680="",$D680=$AL$634),MAX(AJ$637:AJ679)+1,0)</f>
        <v>0</v>
      </c>
      <c r="AK680" s="1328">
        <f>IF(OR($L680=AK$635,$L680="",$D680=$AL$634),MAX(AK$637:AK679)+1,0)</f>
        <v>0</v>
      </c>
      <c r="AL680" s="1329">
        <f>IF(OR($L680=AL$635,$L680="",$D680=$AL$634),MAX(AL$637:AL679)+1,0)</f>
        <v>42</v>
      </c>
      <c r="AM680" s="5867"/>
      <c r="AN680" s="907" t="str">
        <f t="shared" si="108"/>
        <v/>
      </c>
      <c r="AO680" s="86" t="str">
        <f t="shared" si="109"/>
        <v/>
      </c>
      <c r="AP680" s="86" t="str">
        <f t="shared" si="110"/>
        <v>Hacha a dos manos</v>
      </c>
      <c r="AQ680" s="1327">
        <f>IF(OR($L680=AQ$635,$L680="",$D680=$AS$634),MAX(AQ$637:AQ679)+1,0)</f>
        <v>0</v>
      </c>
      <c r="AR680" s="1328">
        <f>IF(OR($L680=AR$635,$L680="",$D680=$AS$634),MAX(AR$637:AR679)+1,0)</f>
        <v>0</v>
      </c>
      <c r="AS680" s="1329">
        <f>IF(OR($L680=AS$635,$L680="",$D680=$AS$634),MAX(AS$637:AS679)+1,0)</f>
        <v>42</v>
      </c>
      <c r="AT680" s="5867"/>
      <c r="AU680" s="907" t="str">
        <f t="shared" si="111"/>
        <v/>
      </c>
      <c r="AV680" s="86" t="str">
        <f t="shared" si="112"/>
        <v/>
      </c>
      <c r="AW680" s="86" t="str">
        <f t="shared" si="113"/>
        <v>Hacha a dos manos</v>
      </c>
      <c r="AX680" s="1327">
        <f>IF(OR($L680=AX$635,$L680="",$D680=$AZ$634),MAX(AX$637:AX679)+1,0)</f>
        <v>0</v>
      </c>
      <c r="AY680" s="1328">
        <f>IF(OR($L680=AY$635,$L680="",$D680=$AZ$634),MAX(AY$637:AY679)+1,0)</f>
        <v>0</v>
      </c>
      <c r="AZ680" s="1329">
        <f>IF(OR($L680=AZ$635,$L680="",$D680=$AZ$634),MAX(AZ$637:AZ679)+1,0)</f>
        <v>42</v>
      </c>
      <c r="BA680" s="5867"/>
      <c r="BB680" s="907" t="str">
        <f t="shared" si="114"/>
        <v/>
      </c>
      <c r="BC680" s="86" t="str">
        <f t="shared" si="115"/>
        <v/>
      </c>
      <c r="BD680" s="86" t="str">
        <f t="shared" si="116"/>
        <v>Hacha a dos manos</v>
      </c>
      <c r="BE680" s="1327">
        <f>IF(OR($L680=BE$635,$L680="",$D680=$BG$634),MAX(BE$637:BE679)+1,0)</f>
        <v>0</v>
      </c>
      <c r="BF680" s="1328">
        <f>IF(OR($L680=BF$635,$L680="",$D680=$BG$634),MAX(BF$637:BF679)+1,0)</f>
        <v>0</v>
      </c>
      <c r="BG680" s="1329">
        <f>IF(OR($L680=BG$635,$L680="",$D680=$BG$634),MAX(BG$637:BG679)+1,0)</f>
        <v>42</v>
      </c>
      <c r="BH680" s="5867"/>
      <c r="BI680" s="907" t="str">
        <f t="shared" si="117"/>
        <v/>
      </c>
      <c r="BJ680" s="86" t="str">
        <f t="shared" si="118"/>
        <v/>
      </c>
      <c r="BK680" s="86" t="str">
        <f t="shared" si="119"/>
        <v>Hacha a dos manos</v>
      </c>
      <c r="BL680" s="1327">
        <f>IF(OR($L680=BL$635,$L680="",$D680=$BN$634),MAX(BL$637:BL679)+1,0)</f>
        <v>0</v>
      </c>
      <c r="BM680" s="1328">
        <f>IF(OR($L680=BM$635,$L680="",$D680=$BN$634),MAX(BM$637:BM679)+1,0)</f>
        <v>0</v>
      </c>
      <c r="BN680" s="1329">
        <f>IF(OR($L680=BN$635,$L680="",$D680=$BN$634),MAX(BN$637:BN679)+1,0)</f>
        <v>42</v>
      </c>
      <c r="BO680" s="5867"/>
      <c r="BP680" s="907" t="str">
        <f t="shared" si="120"/>
        <v/>
      </c>
      <c r="BQ680" s="86" t="str">
        <f t="shared" si="121"/>
        <v/>
      </c>
      <c r="BR680" s="86" t="str">
        <f t="shared" si="122"/>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838"/>
      <c r="C681" s="1208"/>
      <c r="D681" s="2957" t="s">
        <v>2151</v>
      </c>
      <c r="E681" s="2961">
        <v>100</v>
      </c>
      <c r="F681" s="2956">
        <v>-70</v>
      </c>
      <c r="G681" s="2956">
        <v>11</v>
      </c>
      <c r="H681" s="2956">
        <v>9</v>
      </c>
      <c r="I681" s="2956" t="s">
        <v>1555</v>
      </c>
      <c r="J681" s="2956" t="s">
        <v>1501</v>
      </c>
      <c r="K681" s="2947" t="s">
        <v>7466</v>
      </c>
      <c r="L681" s="2956" t="str">
        <f t="shared" si="124"/>
        <v>Distinta</v>
      </c>
      <c r="M681" s="2962">
        <v>17</v>
      </c>
      <c r="N681" s="2962">
        <v>7</v>
      </c>
      <c r="O681" s="2962">
        <v>30</v>
      </c>
      <c r="P681" s="2956"/>
      <c r="Q681" s="2956"/>
      <c r="R681" s="2956" t="s">
        <v>1459</v>
      </c>
      <c r="S681" s="2956" t="s">
        <v>1459</v>
      </c>
      <c r="T681" s="2956" t="s">
        <v>1459</v>
      </c>
      <c r="U681" s="2956"/>
      <c r="V681" s="2947" t="s">
        <v>2137</v>
      </c>
      <c r="W681" s="2947"/>
      <c r="X681" s="2945" t="str">
        <f t="shared" si="104"/>
        <v>Grande</v>
      </c>
      <c r="Y681" s="2886">
        <f t="shared" si="125"/>
        <v>0</v>
      </c>
      <c r="Z681" s="1326" t="str">
        <f t="shared" si="123"/>
        <v/>
      </c>
      <c r="AB681" s="907" t="s">
        <v>7196</v>
      </c>
      <c r="AC681" s="236" t="s">
        <v>7195</v>
      </c>
      <c r="AD681" s="1443"/>
      <c r="AE681" s="1331"/>
      <c r="AG681" s="907" t="str">
        <f t="shared" si="105"/>
        <v/>
      </c>
      <c r="AH681" s="86" t="str">
        <f t="shared" si="106"/>
        <v/>
      </c>
      <c r="AI681" s="86" t="str">
        <f t="shared" si="107"/>
        <v>Hacha de guerra</v>
      </c>
      <c r="AJ681" s="1327">
        <f>IF(OR($L681=AJ$635,$L681="",$D681=$AL$634),MAX(AJ$637:AJ680)+1,0)</f>
        <v>0</v>
      </c>
      <c r="AK681" s="1328">
        <f>IF(OR($L681=AK$635,$L681="",$D681=$AL$634),MAX(AK$637:AK680)+1,0)</f>
        <v>0</v>
      </c>
      <c r="AL681" s="1329">
        <f>IF(OR($L681=AL$635,$L681="",$D681=$AL$634),MAX(AL$637:AL680)+1,0)</f>
        <v>43</v>
      </c>
      <c r="AM681" s="5867"/>
      <c r="AN681" s="907" t="str">
        <f t="shared" si="108"/>
        <v/>
      </c>
      <c r="AO681" s="86" t="str">
        <f t="shared" si="109"/>
        <v/>
      </c>
      <c r="AP681" s="86" t="str">
        <f t="shared" si="110"/>
        <v>Hacha de guerra</v>
      </c>
      <c r="AQ681" s="1327">
        <f>IF(OR($L681=AQ$635,$L681="",$D681=$AS$634),MAX(AQ$637:AQ680)+1,0)</f>
        <v>0</v>
      </c>
      <c r="AR681" s="1328">
        <f>IF(OR($L681=AR$635,$L681="",$D681=$AS$634),MAX(AR$637:AR680)+1,0)</f>
        <v>0</v>
      </c>
      <c r="AS681" s="1329">
        <f>IF(OR($L681=AS$635,$L681="",$D681=$AS$634),MAX(AS$637:AS680)+1,0)</f>
        <v>43</v>
      </c>
      <c r="AT681" s="5867"/>
      <c r="AU681" s="907" t="str">
        <f t="shared" si="111"/>
        <v/>
      </c>
      <c r="AV681" s="86" t="str">
        <f t="shared" si="112"/>
        <v/>
      </c>
      <c r="AW681" s="86" t="str">
        <f t="shared" si="113"/>
        <v>Hacha de guerra</v>
      </c>
      <c r="AX681" s="1327">
        <f>IF(OR($L681=AX$635,$L681="",$D681=$AZ$634),MAX(AX$637:AX680)+1,0)</f>
        <v>0</v>
      </c>
      <c r="AY681" s="1328">
        <f>IF(OR($L681=AY$635,$L681="",$D681=$AZ$634),MAX(AY$637:AY680)+1,0)</f>
        <v>0</v>
      </c>
      <c r="AZ681" s="1329">
        <f>IF(OR($L681=AZ$635,$L681="",$D681=$AZ$634),MAX(AZ$637:AZ680)+1,0)</f>
        <v>43</v>
      </c>
      <c r="BA681" s="5867"/>
      <c r="BB681" s="907" t="str">
        <f t="shared" si="114"/>
        <v/>
      </c>
      <c r="BC681" s="86" t="str">
        <f t="shared" si="115"/>
        <v/>
      </c>
      <c r="BD681" s="86" t="str">
        <f t="shared" si="116"/>
        <v>Hacha de guerra</v>
      </c>
      <c r="BE681" s="1327">
        <f>IF(OR($L681=BE$635,$L681="",$D681=$BG$634),MAX(BE$637:BE680)+1,0)</f>
        <v>0</v>
      </c>
      <c r="BF681" s="1328">
        <f>IF(OR($L681=BF$635,$L681="",$D681=$BG$634),MAX(BF$637:BF680)+1,0)</f>
        <v>0</v>
      </c>
      <c r="BG681" s="1329">
        <f>IF(OR($L681=BG$635,$L681="",$D681=$BG$634),MAX(BG$637:BG680)+1,0)</f>
        <v>43</v>
      </c>
      <c r="BH681" s="5867"/>
      <c r="BI681" s="907" t="str">
        <f t="shared" si="117"/>
        <v/>
      </c>
      <c r="BJ681" s="86" t="str">
        <f t="shared" si="118"/>
        <v/>
      </c>
      <c r="BK681" s="86" t="str">
        <f t="shared" si="119"/>
        <v>Hacha de guerra</v>
      </c>
      <c r="BL681" s="1327">
        <f>IF(OR($L681=BL$635,$L681="",$D681=$BN$634),MAX(BL$637:BL680)+1,0)</f>
        <v>0</v>
      </c>
      <c r="BM681" s="1328">
        <f>IF(OR($L681=BM$635,$L681="",$D681=$BN$634),MAX(BM$637:BM680)+1,0)</f>
        <v>0</v>
      </c>
      <c r="BN681" s="1329">
        <f>IF(OR($L681=BN$635,$L681="",$D681=$BN$634),MAX(BN$637:BN680)+1,0)</f>
        <v>43</v>
      </c>
      <c r="BO681" s="5867"/>
      <c r="BP681" s="907" t="str">
        <f t="shared" si="120"/>
        <v/>
      </c>
      <c r="BQ681" s="86" t="str">
        <f t="shared" si="121"/>
        <v/>
      </c>
      <c r="BR681" s="86" t="str">
        <f t="shared" si="122"/>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838"/>
      <c r="C682" s="1208"/>
      <c r="D682" s="2957" t="s">
        <v>2153</v>
      </c>
      <c r="E682" s="2961">
        <v>70</v>
      </c>
      <c r="F682" s="2956">
        <v>-30</v>
      </c>
      <c r="G682" s="2956">
        <v>7</v>
      </c>
      <c r="H682" s="2956">
        <v>7</v>
      </c>
      <c r="I682" s="2956" t="s">
        <v>1555</v>
      </c>
      <c r="J682" s="2956" t="s">
        <v>1501</v>
      </c>
      <c r="K682" s="2947" t="s">
        <v>7467</v>
      </c>
      <c r="L682" s="2956" t="str">
        <f t="shared" si="124"/>
        <v>Distinta</v>
      </c>
      <c r="M682" s="2962">
        <v>15</v>
      </c>
      <c r="N682" s="2962">
        <v>5</v>
      </c>
      <c r="O682" s="2962">
        <v>25</v>
      </c>
      <c r="P682" s="2956"/>
      <c r="Q682" s="2956"/>
      <c r="R682" s="2962">
        <v>100</v>
      </c>
      <c r="S682" s="2956" t="s">
        <v>1459</v>
      </c>
      <c r="T682" s="2962">
        <v>5</v>
      </c>
      <c r="U682" s="2956"/>
      <c r="V682" s="2947" t="s">
        <v>8773</v>
      </c>
      <c r="W682" s="2947"/>
      <c r="X682" s="2945" t="str">
        <f t="shared" si="104"/>
        <v>Mediana</v>
      </c>
      <c r="Y682" s="2886">
        <f t="shared" si="125"/>
        <v>0</v>
      </c>
      <c r="Z682" s="1326" t="str">
        <f t="shared" si="123"/>
        <v/>
      </c>
      <c r="AB682" s="907" t="s">
        <v>7198</v>
      </c>
      <c r="AC682" s="236" t="s">
        <v>7197</v>
      </c>
      <c r="AD682" s="1443"/>
      <c r="AE682" s="1331"/>
      <c r="AG682" s="907" t="str">
        <f t="shared" si="105"/>
        <v/>
      </c>
      <c r="AH682" s="86" t="str">
        <f t="shared" si="106"/>
        <v/>
      </c>
      <c r="AI682" s="86" t="str">
        <f t="shared" si="107"/>
        <v>Hacha de mano</v>
      </c>
      <c r="AJ682" s="1327">
        <f>IF(OR($L682=AJ$635,$L682="",$D682=$AL$634),MAX(AJ$637:AJ681)+1,0)</f>
        <v>0</v>
      </c>
      <c r="AK682" s="1328">
        <f>IF(OR($L682=AK$635,$L682="",$D682=$AL$634),MAX(AK$637:AK681)+1,0)</f>
        <v>0</v>
      </c>
      <c r="AL682" s="1329">
        <f>IF(OR($L682=AL$635,$L682="",$D682=$AL$634),MAX(AL$637:AL681)+1,0)</f>
        <v>44</v>
      </c>
      <c r="AM682" s="5867"/>
      <c r="AN682" s="907" t="str">
        <f t="shared" si="108"/>
        <v/>
      </c>
      <c r="AO682" s="86" t="str">
        <f t="shared" si="109"/>
        <v/>
      </c>
      <c r="AP682" s="86" t="str">
        <f t="shared" si="110"/>
        <v>Hacha de mano</v>
      </c>
      <c r="AQ682" s="1327">
        <f>IF(OR($L682=AQ$635,$L682="",$D682=$AS$634),MAX(AQ$637:AQ681)+1,0)</f>
        <v>0</v>
      </c>
      <c r="AR682" s="1328">
        <f>IF(OR($L682=AR$635,$L682="",$D682=$AS$634),MAX(AR$637:AR681)+1,0)</f>
        <v>0</v>
      </c>
      <c r="AS682" s="1329">
        <f>IF(OR($L682=AS$635,$L682="",$D682=$AS$634),MAX(AS$637:AS681)+1,0)</f>
        <v>44</v>
      </c>
      <c r="AT682" s="5867"/>
      <c r="AU682" s="907" t="str">
        <f t="shared" si="111"/>
        <v/>
      </c>
      <c r="AV682" s="86" t="str">
        <f t="shared" si="112"/>
        <v/>
      </c>
      <c r="AW682" s="86" t="str">
        <f t="shared" si="113"/>
        <v>Hacha de mano</v>
      </c>
      <c r="AX682" s="1327">
        <f>IF(OR($L682=AX$635,$L682="",$D682=$AZ$634),MAX(AX$637:AX681)+1,0)</f>
        <v>0</v>
      </c>
      <c r="AY682" s="1328">
        <f>IF(OR($L682=AY$635,$L682="",$D682=$AZ$634),MAX(AY$637:AY681)+1,0)</f>
        <v>0</v>
      </c>
      <c r="AZ682" s="1329">
        <f>IF(OR($L682=AZ$635,$L682="",$D682=$AZ$634),MAX(AZ$637:AZ681)+1,0)</f>
        <v>44</v>
      </c>
      <c r="BA682" s="5867"/>
      <c r="BB682" s="907" t="str">
        <f t="shared" si="114"/>
        <v/>
      </c>
      <c r="BC682" s="86" t="str">
        <f t="shared" si="115"/>
        <v/>
      </c>
      <c r="BD682" s="86" t="str">
        <f t="shared" si="116"/>
        <v>Hacha de mano</v>
      </c>
      <c r="BE682" s="1327">
        <f>IF(OR($L682=BE$635,$L682="",$D682=$BG$634),MAX(BE$637:BE681)+1,0)</f>
        <v>0</v>
      </c>
      <c r="BF682" s="1328">
        <f>IF(OR($L682=BF$635,$L682="",$D682=$BG$634),MAX(BF$637:BF681)+1,0)</f>
        <v>0</v>
      </c>
      <c r="BG682" s="1329">
        <f>IF(OR($L682=BG$635,$L682="",$D682=$BG$634),MAX(BG$637:BG681)+1,0)</f>
        <v>44</v>
      </c>
      <c r="BH682" s="5867"/>
      <c r="BI682" s="907" t="str">
        <f t="shared" si="117"/>
        <v/>
      </c>
      <c r="BJ682" s="86" t="str">
        <f t="shared" si="118"/>
        <v/>
      </c>
      <c r="BK682" s="86" t="str">
        <f t="shared" si="119"/>
        <v>Hacha de mano</v>
      </c>
      <c r="BL682" s="1327">
        <f>IF(OR($L682=BL$635,$L682="",$D682=$BN$634),MAX(BL$637:BL681)+1,0)</f>
        <v>0</v>
      </c>
      <c r="BM682" s="1328">
        <f>IF(OR($L682=BM$635,$L682="",$D682=$BN$634),MAX(BM$637:BM681)+1,0)</f>
        <v>0</v>
      </c>
      <c r="BN682" s="1329">
        <f>IF(OR($L682=BN$635,$L682="",$D682=$BN$634),MAX(BN$637:BN681)+1,0)</f>
        <v>44</v>
      </c>
      <c r="BO682" s="5867"/>
      <c r="BP682" s="907" t="str">
        <f t="shared" si="120"/>
        <v/>
      </c>
      <c r="BQ682" s="86" t="str">
        <f t="shared" si="121"/>
        <v/>
      </c>
      <c r="BR682" s="86" t="str">
        <f t="shared" si="122"/>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838"/>
      <c r="C683" s="1208"/>
      <c r="D683" s="2957" t="s">
        <v>2154</v>
      </c>
      <c r="E683" s="2961">
        <v>45</v>
      </c>
      <c r="F683" s="2956">
        <v>0</v>
      </c>
      <c r="G683" s="2956">
        <v>5</v>
      </c>
      <c r="H683" s="2956">
        <v>5</v>
      </c>
      <c r="I683" s="2956" t="s">
        <v>1555</v>
      </c>
      <c r="J683" s="2956" t="s">
        <v>1459</v>
      </c>
      <c r="K683" s="2947" t="s">
        <v>7467</v>
      </c>
      <c r="L683" s="2956" t="str">
        <f t="shared" si="124"/>
        <v>Distinta</v>
      </c>
      <c r="M683" s="2962">
        <v>13</v>
      </c>
      <c r="N683" s="2962">
        <v>4</v>
      </c>
      <c r="O683" s="2962">
        <v>15</v>
      </c>
      <c r="P683" s="2956"/>
      <c r="Q683" s="2956"/>
      <c r="R683" s="2962">
        <v>80</v>
      </c>
      <c r="S683" s="2956" t="s">
        <v>1459</v>
      </c>
      <c r="T683" s="2962">
        <v>10</v>
      </c>
      <c r="U683" s="2956"/>
      <c r="V683" s="2947" t="s">
        <v>8774</v>
      </c>
      <c r="W683" s="2947"/>
      <c r="X683" s="2945" t="str">
        <f t="shared" si="104"/>
        <v>Mediana</v>
      </c>
      <c r="Y683" s="2886">
        <f t="shared" si="125"/>
        <v>0</v>
      </c>
      <c r="Z683" s="1326" t="str">
        <f t="shared" si="123"/>
        <v/>
      </c>
      <c r="AB683" s="907" t="s">
        <v>7199</v>
      </c>
      <c r="AC683" s="236" t="s">
        <v>2235</v>
      </c>
      <c r="AD683" s="1443"/>
      <c r="AE683" s="1331"/>
      <c r="AG683" s="907" t="str">
        <f t="shared" si="105"/>
        <v/>
      </c>
      <c r="AH683" s="86" t="str">
        <f t="shared" si="106"/>
        <v/>
      </c>
      <c r="AI683" s="86" t="str">
        <f t="shared" si="107"/>
        <v>Hu Die Dao</v>
      </c>
      <c r="AJ683" s="1327">
        <f>IF(OR($L683=AJ$635,$L683="",$D683=$AL$634),MAX(AJ$637:AJ682)+1,0)</f>
        <v>0</v>
      </c>
      <c r="AK683" s="1328">
        <f>IF(OR($L683=AK$635,$L683="",$D683=$AL$634),MAX(AK$637:AK682)+1,0)</f>
        <v>0</v>
      </c>
      <c r="AL683" s="1329">
        <f>IF(OR($L683=AL$635,$L683="",$D683=$AL$634),MAX(AL$637:AL682)+1,0)</f>
        <v>45</v>
      </c>
      <c r="AM683" s="5867"/>
      <c r="AN683" s="907" t="str">
        <f t="shared" si="108"/>
        <v/>
      </c>
      <c r="AO683" s="86" t="str">
        <f t="shared" si="109"/>
        <v/>
      </c>
      <c r="AP683" s="86" t="str">
        <f t="shared" si="110"/>
        <v>Hu Die Dao</v>
      </c>
      <c r="AQ683" s="1327">
        <f>IF(OR($L683=AQ$635,$L683="",$D683=$AS$634),MAX(AQ$637:AQ682)+1,0)</f>
        <v>0</v>
      </c>
      <c r="AR683" s="1328">
        <f>IF(OR($L683=AR$635,$L683="",$D683=$AS$634),MAX(AR$637:AR682)+1,0)</f>
        <v>0</v>
      </c>
      <c r="AS683" s="1329">
        <f>IF(OR($L683=AS$635,$L683="",$D683=$AS$634),MAX(AS$637:AS682)+1,0)</f>
        <v>45</v>
      </c>
      <c r="AT683" s="5867"/>
      <c r="AU683" s="907" t="str">
        <f t="shared" si="111"/>
        <v/>
      </c>
      <c r="AV683" s="86" t="str">
        <f t="shared" si="112"/>
        <v/>
      </c>
      <c r="AW683" s="86" t="str">
        <f t="shared" si="113"/>
        <v>Hu Die Dao</v>
      </c>
      <c r="AX683" s="1327">
        <f>IF(OR($L683=AX$635,$L683="",$D683=$AZ$634),MAX(AX$637:AX682)+1,0)</f>
        <v>0</v>
      </c>
      <c r="AY683" s="1328">
        <f>IF(OR($L683=AY$635,$L683="",$D683=$AZ$634),MAX(AY$637:AY682)+1,0)</f>
        <v>0</v>
      </c>
      <c r="AZ683" s="1329">
        <f>IF(OR($L683=AZ$635,$L683="",$D683=$AZ$634),MAX(AZ$637:AZ682)+1,0)</f>
        <v>45</v>
      </c>
      <c r="BA683" s="5867"/>
      <c r="BB683" s="907" t="str">
        <f t="shared" si="114"/>
        <v/>
      </c>
      <c r="BC683" s="86" t="str">
        <f t="shared" si="115"/>
        <v/>
      </c>
      <c r="BD683" s="86" t="str">
        <f t="shared" si="116"/>
        <v>Hu Die Dao</v>
      </c>
      <c r="BE683" s="1327">
        <f>IF(OR($L683=BE$635,$L683="",$D683=$BG$634),MAX(BE$637:BE682)+1,0)</f>
        <v>0</v>
      </c>
      <c r="BF683" s="1328">
        <f>IF(OR($L683=BF$635,$L683="",$D683=$BG$634),MAX(BF$637:BF682)+1,0)</f>
        <v>0</v>
      </c>
      <c r="BG683" s="1329">
        <f>IF(OR($L683=BG$635,$L683="",$D683=$BG$634),MAX(BG$637:BG682)+1,0)</f>
        <v>45</v>
      </c>
      <c r="BH683" s="5867"/>
      <c r="BI683" s="907" t="str">
        <f t="shared" si="117"/>
        <v/>
      </c>
      <c r="BJ683" s="86" t="str">
        <f t="shared" si="118"/>
        <v/>
      </c>
      <c r="BK683" s="86" t="str">
        <f t="shared" si="119"/>
        <v>Hu Die Dao</v>
      </c>
      <c r="BL683" s="1327">
        <f>IF(OR($L683=BL$635,$L683="",$D683=$BN$634),MAX(BL$637:BL682)+1,0)</f>
        <v>0</v>
      </c>
      <c r="BM683" s="1328">
        <f>IF(OR($L683=BM$635,$L683="",$D683=$BN$634),MAX(BM$637:BM682)+1,0)</f>
        <v>0</v>
      </c>
      <c r="BN683" s="1329">
        <f>IF(OR($L683=BN$635,$L683="",$D683=$BN$634),MAX(BN$637:BN682)+1,0)</f>
        <v>45</v>
      </c>
      <c r="BO683" s="5867"/>
      <c r="BP683" s="907" t="str">
        <f t="shared" si="120"/>
        <v/>
      </c>
      <c r="BQ683" s="86" t="str">
        <f t="shared" si="121"/>
        <v/>
      </c>
      <c r="BR683" s="86" t="str">
        <f t="shared" si="122"/>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838"/>
      <c r="C684" s="1208"/>
      <c r="D684" s="2957" t="s">
        <v>7193</v>
      </c>
      <c r="E684" s="2961">
        <v>30</v>
      </c>
      <c r="F684" s="2956">
        <v>15</v>
      </c>
      <c r="G684" s="2956">
        <v>5</v>
      </c>
      <c r="H684" s="2956">
        <v>5</v>
      </c>
      <c r="I684" s="2956" t="s">
        <v>1555</v>
      </c>
      <c r="J684" s="2956" t="s">
        <v>1501</v>
      </c>
      <c r="K684" s="2947" t="s">
        <v>7460</v>
      </c>
      <c r="L684" s="2956" t="str">
        <f t="shared" si="124"/>
        <v>Distinta</v>
      </c>
      <c r="M684" s="2962">
        <v>10</v>
      </c>
      <c r="N684" s="2962">
        <v>-2</v>
      </c>
      <c r="O684" s="2962">
        <v>20</v>
      </c>
      <c r="P684" s="2956"/>
      <c r="Q684" s="2956"/>
      <c r="R684" s="2956" t="s">
        <v>1459</v>
      </c>
      <c r="S684" s="2956" t="s">
        <v>1459</v>
      </c>
      <c r="T684" s="2956" t="s">
        <v>1459</v>
      </c>
      <c r="U684" s="2956"/>
      <c r="V684" s="2947" t="s">
        <v>7221</v>
      </c>
      <c r="W684" s="2947"/>
      <c r="X684" s="2945" t="str">
        <f t="shared" si="104"/>
        <v>Pequeña</v>
      </c>
      <c r="Y684" s="2886">
        <f t="shared" si="125"/>
        <v>0</v>
      </c>
      <c r="Z684" s="1326" t="str">
        <f t="shared" si="123"/>
        <v/>
      </c>
      <c r="AB684" s="907" t="s">
        <v>7200</v>
      </c>
      <c r="AC684" s="236" t="s">
        <v>2240</v>
      </c>
      <c r="AD684" s="1443"/>
      <c r="AE684" s="1331"/>
      <c r="AG684" s="907" t="str">
        <f t="shared" si="105"/>
        <v/>
      </c>
      <c r="AH684" s="86" t="str">
        <f t="shared" si="106"/>
        <v/>
      </c>
      <c r="AI684" s="86" t="str">
        <f t="shared" si="107"/>
        <v>Jabalina</v>
      </c>
      <c r="AJ684" s="1327">
        <f>IF(OR($L684=AJ$635,$L684="",$D684=$AL$634),MAX(AJ$637:AJ683)+1,0)</f>
        <v>0</v>
      </c>
      <c r="AK684" s="1328">
        <f>IF(OR($L684=AK$635,$L684="",$D684=$AL$634),MAX(AK$637:AK683)+1,0)</f>
        <v>0</v>
      </c>
      <c r="AL684" s="1329">
        <f>IF(OR($L684=AL$635,$L684="",$D684=$AL$634),MAX(AL$637:AL683)+1,0)</f>
        <v>46</v>
      </c>
      <c r="AM684" s="5867"/>
      <c r="AN684" s="907" t="str">
        <f t="shared" si="108"/>
        <v/>
      </c>
      <c r="AO684" s="86" t="str">
        <f t="shared" si="109"/>
        <v/>
      </c>
      <c r="AP684" s="86" t="str">
        <f t="shared" si="110"/>
        <v>Jabalina</v>
      </c>
      <c r="AQ684" s="1327">
        <f>IF(OR($L684=AQ$635,$L684="",$D684=$AS$634),MAX(AQ$637:AQ683)+1,0)</f>
        <v>0</v>
      </c>
      <c r="AR684" s="1328">
        <f>IF(OR($L684=AR$635,$L684="",$D684=$AS$634),MAX(AR$637:AR683)+1,0)</f>
        <v>0</v>
      </c>
      <c r="AS684" s="1329">
        <f>IF(OR($L684=AS$635,$L684="",$D684=$AS$634),MAX(AS$637:AS683)+1,0)</f>
        <v>46</v>
      </c>
      <c r="AT684" s="5867"/>
      <c r="AU684" s="907" t="str">
        <f t="shared" si="111"/>
        <v/>
      </c>
      <c r="AV684" s="86" t="str">
        <f t="shared" si="112"/>
        <v/>
      </c>
      <c r="AW684" s="86" t="str">
        <f t="shared" si="113"/>
        <v>Jabalina</v>
      </c>
      <c r="AX684" s="1327">
        <f>IF(OR($L684=AX$635,$L684="",$D684=$AZ$634),MAX(AX$637:AX683)+1,0)</f>
        <v>0</v>
      </c>
      <c r="AY684" s="1328">
        <f>IF(OR($L684=AY$635,$L684="",$D684=$AZ$634),MAX(AY$637:AY683)+1,0)</f>
        <v>0</v>
      </c>
      <c r="AZ684" s="1329">
        <f>IF(OR($L684=AZ$635,$L684="",$D684=$AZ$634),MAX(AZ$637:AZ683)+1,0)</f>
        <v>46</v>
      </c>
      <c r="BA684" s="5867"/>
      <c r="BB684" s="907" t="str">
        <f t="shared" si="114"/>
        <v/>
      </c>
      <c r="BC684" s="86" t="str">
        <f t="shared" si="115"/>
        <v/>
      </c>
      <c r="BD684" s="86" t="str">
        <f t="shared" si="116"/>
        <v>Jabalina</v>
      </c>
      <c r="BE684" s="1327">
        <f>IF(OR($L684=BE$635,$L684="",$D684=$BG$634),MAX(BE$637:BE683)+1,0)</f>
        <v>0</v>
      </c>
      <c r="BF684" s="1328">
        <f>IF(OR($L684=BF$635,$L684="",$D684=$BG$634),MAX(BF$637:BF683)+1,0)</f>
        <v>0</v>
      </c>
      <c r="BG684" s="1329">
        <f>IF(OR($L684=BG$635,$L684="",$D684=$BG$634),MAX(BG$637:BG683)+1,0)</f>
        <v>46</v>
      </c>
      <c r="BH684" s="5867"/>
      <c r="BI684" s="907" t="str">
        <f t="shared" si="117"/>
        <v/>
      </c>
      <c r="BJ684" s="86" t="str">
        <f t="shared" si="118"/>
        <v/>
      </c>
      <c r="BK684" s="86" t="str">
        <f t="shared" si="119"/>
        <v>Jabalina</v>
      </c>
      <c r="BL684" s="1327">
        <f>IF(OR($L684=BL$635,$L684="",$D684=$BN$634),MAX(BL$637:BL683)+1,0)</f>
        <v>0</v>
      </c>
      <c r="BM684" s="1328">
        <f>IF(OR($L684=BM$635,$L684="",$D684=$BN$634),MAX(BM$637:BM683)+1,0)</f>
        <v>0</v>
      </c>
      <c r="BN684" s="1329">
        <f>IF(OR($L684=BN$635,$L684="",$D684=$BN$634),MAX(BN$637:BN683)+1,0)</f>
        <v>46</v>
      </c>
      <c r="BO684" s="5867"/>
      <c r="BP684" s="907" t="str">
        <f t="shared" si="120"/>
        <v/>
      </c>
      <c r="BQ684" s="86" t="str">
        <f t="shared" si="121"/>
        <v/>
      </c>
      <c r="BR684" s="86" t="str">
        <f t="shared" si="122"/>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838"/>
      <c r="C685" s="1208"/>
      <c r="D685" s="2957" t="s">
        <v>2155</v>
      </c>
      <c r="E685" s="2961">
        <v>35</v>
      </c>
      <c r="F685" s="2956">
        <v>5</v>
      </c>
      <c r="G685" s="2956">
        <v>4</v>
      </c>
      <c r="H685" s="2956">
        <v>4</v>
      </c>
      <c r="I685" s="2956" t="s">
        <v>1556</v>
      </c>
      <c r="J685" s="2956" t="s">
        <v>1459</v>
      </c>
      <c r="K685" s="2947" t="s">
        <v>7455</v>
      </c>
      <c r="L685" s="2956" t="str">
        <f t="shared" si="124"/>
        <v>Distinta</v>
      </c>
      <c r="M685" s="2962">
        <v>10</v>
      </c>
      <c r="N685" s="2962">
        <v>-2</v>
      </c>
      <c r="O685" s="2962">
        <v>20</v>
      </c>
      <c r="P685" s="2956"/>
      <c r="Q685" s="2956"/>
      <c r="R685" s="2962">
        <v>100</v>
      </c>
      <c r="S685" s="2956" t="s">
        <v>1459</v>
      </c>
      <c r="T685" s="2962">
        <v>30</v>
      </c>
      <c r="U685" s="2956"/>
      <c r="V685" s="2947" t="s">
        <v>8773</v>
      </c>
      <c r="W685" s="2947"/>
      <c r="X685" s="2945" t="str">
        <f t="shared" si="104"/>
        <v>Grande</v>
      </c>
      <c r="Y685" s="2886">
        <f t="shared" si="125"/>
        <v>0</v>
      </c>
      <c r="Z685" s="1326" t="str">
        <f t="shared" si="123"/>
        <v/>
      </c>
      <c r="AB685" s="907" t="s">
        <v>2156</v>
      </c>
      <c r="AC685" s="236" t="s">
        <v>2244</v>
      </c>
      <c r="AD685" s="1443"/>
      <c r="AE685" s="1331"/>
      <c r="AG685" s="907" t="str">
        <f t="shared" si="105"/>
        <v/>
      </c>
      <c r="AH685" s="86" t="str">
        <f t="shared" si="106"/>
        <v/>
      </c>
      <c r="AI685" s="86" t="str">
        <f t="shared" si="107"/>
        <v>Katzbalger</v>
      </c>
      <c r="AJ685" s="1327">
        <f>IF(OR($L685=AJ$635,$L685="",$D685=$AL$634),MAX(AJ$637:AJ684)+1,0)</f>
        <v>0</v>
      </c>
      <c r="AK685" s="1328">
        <f>IF(OR($L685=AK$635,$L685="",$D685=$AL$634),MAX(AK$637:AK684)+1,0)</f>
        <v>0</v>
      </c>
      <c r="AL685" s="1329">
        <f>IF(OR($L685=AL$635,$L685="",$D685=$AL$634),MAX(AL$637:AL684)+1,0)</f>
        <v>47</v>
      </c>
      <c r="AM685" s="5867"/>
      <c r="AN685" s="907" t="str">
        <f t="shared" si="108"/>
        <v/>
      </c>
      <c r="AO685" s="86" t="str">
        <f t="shared" si="109"/>
        <v/>
      </c>
      <c r="AP685" s="86" t="str">
        <f t="shared" si="110"/>
        <v>Katzbalger</v>
      </c>
      <c r="AQ685" s="1327">
        <f>IF(OR($L685=AQ$635,$L685="",$D685=$AS$634),MAX(AQ$637:AQ684)+1,0)</f>
        <v>0</v>
      </c>
      <c r="AR685" s="1328">
        <f>IF(OR($L685=AR$635,$L685="",$D685=$AS$634),MAX(AR$637:AR684)+1,0)</f>
        <v>0</v>
      </c>
      <c r="AS685" s="1329">
        <f>IF(OR($L685=AS$635,$L685="",$D685=$AS$634),MAX(AS$637:AS684)+1,0)</f>
        <v>47</v>
      </c>
      <c r="AT685" s="5867"/>
      <c r="AU685" s="907" t="str">
        <f t="shared" si="111"/>
        <v/>
      </c>
      <c r="AV685" s="86" t="str">
        <f t="shared" si="112"/>
        <v/>
      </c>
      <c r="AW685" s="86" t="str">
        <f t="shared" si="113"/>
        <v>Katzbalger</v>
      </c>
      <c r="AX685" s="1327">
        <f>IF(OR($L685=AX$635,$L685="",$D685=$AZ$634),MAX(AX$637:AX684)+1,0)</f>
        <v>0</v>
      </c>
      <c r="AY685" s="1328">
        <f>IF(OR($L685=AY$635,$L685="",$D685=$AZ$634),MAX(AY$637:AY684)+1,0)</f>
        <v>0</v>
      </c>
      <c r="AZ685" s="1329">
        <f>IF(OR($L685=AZ$635,$L685="",$D685=$AZ$634),MAX(AZ$637:AZ684)+1,0)</f>
        <v>47</v>
      </c>
      <c r="BA685" s="5867"/>
      <c r="BB685" s="907" t="str">
        <f t="shared" si="114"/>
        <v/>
      </c>
      <c r="BC685" s="86" t="str">
        <f t="shared" si="115"/>
        <v/>
      </c>
      <c r="BD685" s="86" t="str">
        <f t="shared" si="116"/>
        <v>Katzbalger</v>
      </c>
      <c r="BE685" s="1327">
        <f>IF(OR($L685=BE$635,$L685="",$D685=$BG$634),MAX(BE$637:BE684)+1,0)</f>
        <v>0</v>
      </c>
      <c r="BF685" s="1328">
        <f>IF(OR($L685=BF$635,$L685="",$D685=$BG$634),MAX(BF$637:BF684)+1,0)</f>
        <v>0</v>
      </c>
      <c r="BG685" s="1329">
        <f>IF(OR($L685=BG$635,$L685="",$D685=$BG$634),MAX(BG$637:BG684)+1,0)</f>
        <v>47</v>
      </c>
      <c r="BH685" s="5867"/>
      <c r="BI685" s="907" t="str">
        <f t="shared" si="117"/>
        <v/>
      </c>
      <c r="BJ685" s="86" t="str">
        <f t="shared" si="118"/>
        <v/>
      </c>
      <c r="BK685" s="86" t="str">
        <f t="shared" si="119"/>
        <v>Katzbalger</v>
      </c>
      <c r="BL685" s="1327">
        <f>IF(OR($L685=BL$635,$L685="",$D685=$BN$634),MAX(BL$637:BL684)+1,0)</f>
        <v>0</v>
      </c>
      <c r="BM685" s="1328">
        <f>IF(OR($L685=BM$635,$L685="",$D685=$BN$634),MAX(BM$637:BM684)+1,0)</f>
        <v>0</v>
      </c>
      <c r="BN685" s="1329">
        <f>IF(OR($L685=BN$635,$L685="",$D685=$BN$634),MAX(BN$637:BN684)+1,0)</f>
        <v>47</v>
      </c>
      <c r="BO685" s="5867"/>
      <c r="BP685" s="907" t="str">
        <f t="shared" si="120"/>
        <v/>
      </c>
      <c r="BQ685" s="86" t="str">
        <f t="shared" si="121"/>
        <v/>
      </c>
      <c r="BR685" s="86" t="str">
        <f t="shared" si="122"/>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838"/>
      <c r="C686" s="1208"/>
      <c r="D686" s="2957" t="s">
        <v>7196</v>
      </c>
      <c r="E686" s="2961">
        <v>45</v>
      </c>
      <c r="F686" s="2956">
        <v>10</v>
      </c>
      <c r="G686" s="2956">
        <v>5</v>
      </c>
      <c r="H686" s="2956">
        <v>5</v>
      </c>
      <c r="I686" s="2956" t="s">
        <v>1555</v>
      </c>
      <c r="J686" s="2956" t="s">
        <v>1459</v>
      </c>
      <c r="K686" s="2947" t="s">
        <v>7460</v>
      </c>
      <c r="L686" s="2956" t="str">
        <f t="shared" si="124"/>
        <v>Distinta</v>
      </c>
      <c r="M686" s="2962">
        <v>13</v>
      </c>
      <c r="N686" s="2962">
        <v>2</v>
      </c>
      <c r="O686" s="2962">
        <v>20</v>
      </c>
      <c r="P686" s="2956"/>
      <c r="Q686" s="2956"/>
      <c r="R686" s="2956" t="s">
        <v>1459</v>
      </c>
      <c r="S686" s="2956" t="s">
        <v>1459</v>
      </c>
      <c r="T686" s="2956" t="s">
        <v>1459</v>
      </c>
      <c r="U686" s="2956"/>
      <c r="V686" s="2947" t="s">
        <v>1459</v>
      </c>
      <c r="W686" s="2947"/>
      <c r="X686" s="2945" t="str">
        <f t="shared" si="104"/>
        <v>Pequeña</v>
      </c>
      <c r="Y686" s="2886">
        <f t="shared" si="125"/>
        <v>0</v>
      </c>
      <c r="Z686" s="1326" t="str">
        <f t="shared" si="123"/>
        <v/>
      </c>
      <c r="AB686" s="907" t="s">
        <v>2157</v>
      </c>
      <c r="AC686" s="236" t="s">
        <v>2245</v>
      </c>
      <c r="AD686" s="1443"/>
      <c r="AE686" s="1331"/>
      <c r="AG686" s="907" t="str">
        <f t="shared" si="105"/>
        <v/>
      </c>
      <c r="AH686" s="86" t="str">
        <f t="shared" si="106"/>
        <v/>
      </c>
      <c r="AI686" s="86" t="str">
        <f t="shared" si="107"/>
        <v>Kerambit</v>
      </c>
      <c r="AJ686" s="1327">
        <f>IF(OR($L686=AJ$635,$L686="",$D686=$AL$634),MAX(AJ$637:AJ685)+1,0)</f>
        <v>0</v>
      </c>
      <c r="AK686" s="1328">
        <f>IF(OR($L686=AK$635,$L686="",$D686=$AL$634),MAX(AK$637:AK685)+1,0)</f>
        <v>0</v>
      </c>
      <c r="AL686" s="1329">
        <f>IF(OR($L686=AL$635,$L686="",$D686=$AL$634),MAX(AL$637:AL685)+1,0)</f>
        <v>48</v>
      </c>
      <c r="AM686" s="5867"/>
      <c r="AN686" s="907" t="str">
        <f t="shared" si="108"/>
        <v/>
      </c>
      <c r="AO686" s="86" t="str">
        <f t="shared" si="109"/>
        <v/>
      </c>
      <c r="AP686" s="86" t="str">
        <f t="shared" si="110"/>
        <v>Kerambit</v>
      </c>
      <c r="AQ686" s="1327">
        <f>IF(OR($L686=AQ$635,$L686="",$D686=$AS$634),MAX(AQ$637:AQ685)+1,0)</f>
        <v>0</v>
      </c>
      <c r="AR686" s="1328">
        <f>IF(OR($L686=AR$635,$L686="",$D686=$AS$634),MAX(AR$637:AR685)+1,0)</f>
        <v>0</v>
      </c>
      <c r="AS686" s="1329">
        <f>IF(OR($L686=AS$635,$L686="",$D686=$AS$634),MAX(AS$637:AS685)+1,0)</f>
        <v>48</v>
      </c>
      <c r="AT686" s="5867"/>
      <c r="AU686" s="907" t="str">
        <f t="shared" si="111"/>
        <v/>
      </c>
      <c r="AV686" s="86" t="str">
        <f t="shared" si="112"/>
        <v/>
      </c>
      <c r="AW686" s="86" t="str">
        <f t="shared" si="113"/>
        <v>Kerambit</v>
      </c>
      <c r="AX686" s="1327">
        <f>IF(OR($L686=AX$635,$L686="",$D686=$AZ$634),MAX(AX$637:AX685)+1,0)</f>
        <v>0</v>
      </c>
      <c r="AY686" s="1328">
        <f>IF(OR($L686=AY$635,$L686="",$D686=$AZ$634),MAX(AY$637:AY685)+1,0)</f>
        <v>0</v>
      </c>
      <c r="AZ686" s="1329">
        <f>IF(OR($L686=AZ$635,$L686="",$D686=$AZ$634),MAX(AZ$637:AZ685)+1,0)</f>
        <v>48</v>
      </c>
      <c r="BA686" s="5867"/>
      <c r="BB686" s="907" t="str">
        <f t="shared" si="114"/>
        <v/>
      </c>
      <c r="BC686" s="86" t="str">
        <f t="shared" si="115"/>
        <v/>
      </c>
      <c r="BD686" s="86" t="str">
        <f t="shared" si="116"/>
        <v>Kerambit</v>
      </c>
      <c r="BE686" s="1327">
        <f>IF(OR($L686=BE$635,$L686="",$D686=$BG$634),MAX(BE$637:BE685)+1,0)</f>
        <v>0</v>
      </c>
      <c r="BF686" s="1328">
        <f>IF(OR($L686=BF$635,$L686="",$D686=$BG$634),MAX(BF$637:BF685)+1,0)</f>
        <v>0</v>
      </c>
      <c r="BG686" s="1329">
        <f>IF(OR($L686=BG$635,$L686="",$D686=$BG$634),MAX(BG$637:BG685)+1,0)</f>
        <v>48</v>
      </c>
      <c r="BH686" s="5867"/>
      <c r="BI686" s="907" t="str">
        <f t="shared" si="117"/>
        <v/>
      </c>
      <c r="BJ686" s="86" t="str">
        <f t="shared" si="118"/>
        <v/>
      </c>
      <c r="BK686" s="86" t="str">
        <f t="shared" si="119"/>
        <v>Kerambit</v>
      </c>
      <c r="BL686" s="1327">
        <f>IF(OR($L686=BL$635,$L686="",$D686=$BN$634),MAX(BL$637:BL685)+1,0)</f>
        <v>0</v>
      </c>
      <c r="BM686" s="1328">
        <f>IF(OR($L686=BM$635,$L686="",$D686=$BN$634),MAX(BM$637:BM685)+1,0)</f>
        <v>0</v>
      </c>
      <c r="BN686" s="1329">
        <f>IF(OR($L686=BN$635,$L686="",$D686=$BN$634),MAX(BN$637:BN685)+1,0)</f>
        <v>48</v>
      </c>
      <c r="BO686" s="5867"/>
      <c r="BP686" s="907" t="str">
        <f t="shared" si="120"/>
        <v/>
      </c>
      <c r="BQ686" s="86" t="str">
        <f t="shared" si="121"/>
        <v/>
      </c>
      <c r="BR686" s="86" t="str">
        <f t="shared" si="122"/>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838"/>
      <c r="C687" s="1208"/>
      <c r="D687" s="2957" t="s">
        <v>7198</v>
      </c>
      <c r="E687" s="2961">
        <v>25</v>
      </c>
      <c r="F687" s="2956">
        <v>20</v>
      </c>
      <c r="G687" s="2956">
        <v>4</v>
      </c>
      <c r="H687" s="2956">
        <v>4</v>
      </c>
      <c r="I687" s="2956" t="s">
        <v>1555</v>
      </c>
      <c r="J687" s="2956" t="s">
        <v>1501</v>
      </c>
      <c r="K687" s="2947" t="s">
        <v>7460</v>
      </c>
      <c r="L687" s="2956" t="str">
        <f t="shared" si="124"/>
        <v>Distinta</v>
      </c>
      <c r="M687" s="2962">
        <v>10</v>
      </c>
      <c r="N687" s="2962">
        <v>-2</v>
      </c>
      <c r="O687" s="2962">
        <v>15</v>
      </c>
      <c r="P687" s="2956"/>
      <c r="Q687" s="2956"/>
      <c r="R687" s="2956" t="s">
        <v>1459</v>
      </c>
      <c r="S687" s="2956" t="s">
        <v>1459</v>
      </c>
      <c r="T687" s="2956" t="s">
        <v>1459</v>
      </c>
      <c r="U687" s="2956"/>
      <c r="V687" s="2947" t="s">
        <v>7221</v>
      </c>
      <c r="W687" s="2947"/>
      <c r="X687" s="2945" t="str">
        <f t="shared" si="104"/>
        <v>Pequeña</v>
      </c>
      <c r="Y687" s="2886">
        <f t="shared" si="125"/>
        <v>0</v>
      </c>
      <c r="Z687" s="1326" t="str">
        <f t="shared" si="123"/>
        <v/>
      </c>
      <c r="AB687" s="907" t="s">
        <v>2159</v>
      </c>
      <c r="AC687" s="236" t="s">
        <v>2247</v>
      </c>
      <c r="AD687" s="1443"/>
      <c r="AE687" s="1331"/>
      <c r="AG687" s="907" t="str">
        <f t="shared" si="105"/>
        <v/>
      </c>
      <c r="AH687" s="86" t="str">
        <f t="shared" si="106"/>
        <v/>
      </c>
      <c r="AI687" s="86" t="str">
        <f t="shared" si="107"/>
        <v>Koncerz</v>
      </c>
      <c r="AJ687" s="1327">
        <f>IF(OR($L687=AJ$635,$L687="",$D687=$AL$634),MAX(AJ$637:AJ686)+1,0)</f>
        <v>0</v>
      </c>
      <c r="AK687" s="1328">
        <f>IF(OR($L687=AK$635,$L687="",$D687=$AL$634),MAX(AK$637:AK686)+1,0)</f>
        <v>0</v>
      </c>
      <c r="AL687" s="1329">
        <f>IF(OR($L687=AL$635,$L687="",$D687=$AL$634),MAX(AL$637:AL686)+1,0)</f>
        <v>49</v>
      </c>
      <c r="AM687" s="5867"/>
      <c r="AN687" s="907" t="str">
        <f t="shared" si="108"/>
        <v/>
      </c>
      <c r="AO687" s="86" t="str">
        <f t="shared" si="109"/>
        <v/>
      </c>
      <c r="AP687" s="86" t="str">
        <f t="shared" si="110"/>
        <v>Koncerz</v>
      </c>
      <c r="AQ687" s="1327">
        <f>IF(OR($L687=AQ$635,$L687="",$D687=$AS$634),MAX(AQ$637:AQ686)+1,0)</f>
        <v>0</v>
      </c>
      <c r="AR687" s="1328">
        <f>IF(OR($L687=AR$635,$L687="",$D687=$AS$634),MAX(AR$637:AR686)+1,0)</f>
        <v>0</v>
      </c>
      <c r="AS687" s="1329">
        <f>IF(OR($L687=AS$635,$L687="",$D687=$AS$634),MAX(AS$637:AS686)+1,0)</f>
        <v>49</v>
      </c>
      <c r="AT687" s="5867"/>
      <c r="AU687" s="907" t="str">
        <f t="shared" si="111"/>
        <v/>
      </c>
      <c r="AV687" s="86" t="str">
        <f t="shared" si="112"/>
        <v/>
      </c>
      <c r="AW687" s="86" t="str">
        <f t="shared" si="113"/>
        <v>Koncerz</v>
      </c>
      <c r="AX687" s="1327">
        <f>IF(OR($L687=AX$635,$L687="",$D687=$AZ$634),MAX(AX$637:AX686)+1,0)</f>
        <v>0</v>
      </c>
      <c r="AY687" s="1328">
        <f>IF(OR($L687=AY$635,$L687="",$D687=$AZ$634),MAX(AY$637:AY686)+1,0)</f>
        <v>0</v>
      </c>
      <c r="AZ687" s="1329">
        <f>IF(OR($L687=AZ$635,$L687="",$D687=$AZ$634),MAX(AZ$637:AZ686)+1,0)</f>
        <v>49</v>
      </c>
      <c r="BA687" s="5867"/>
      <c r="BB687" s="907" t="str">
        <f t="shared" si="114"/>
        <v/>
      </c>
      <c r="BC687" s="86" t="str">
        <f t="shared" si="115"/>
        <v/>
      </c>
      <c r="BD687" s="86" t="str">
        <f t="shared" si="116"/>
        <v>Koncerz</v>
      </c>
      <c r="BE687" s="1327">
        <f>IF(OR($L687=BE$635,$L687="",$D687=$BG$634),MAX(BE$637:BE686)+1,0)</f>
        <v>0</v>
      </c>
      <c r="BF687" s="1328">
        <f>IF(OR($L687=BF$635,$L687="",$D687=$BG$634),MAX(BF$637:BF686)+1,0)</f>
        <v>0</v>
      </c>
      <c r="BG687" s="1329">
        <f>IF(OR($L687=BG$635,$L687="",$D687=$BG$634),MAX(BG$637:BG686)+1,0)</f>
        <v>49</v>
      </c>
      <c r="BH687" s="5867"/>
      <c r="BI687" s="907" t="str">
        <f t="shared" si="117"/>
        <v/>
      </c>
      <c r="BJ687" s="86" t="str">
        <f t="shared" si="118"/>
        <v/>
      </c>
      <c r="BK687" s="86" t="str">
        <f t="shared" si="119"/>
        <v>Koncerz</v>
      </c>
      <c r="BL687" s="1327">
        <f>IF(OR($L687=BL$635,$L687="",$D687=$BN$634),MAX(BL$637:BL686)+1,0)</f>
        <v>0</v>
      </c>
      <c r="BM687" s="1328">
        <f>IF(OR($L687=BM$635,$L687="",$D687=$BN$634),MAX(BM$637:BM686)+1,0)</f>
        <v>0</v>
      </c>
      <c r="BN687" s="1329">
        <f>IF(OR($L687=BN$635,$L687="",$D687=$BN$634),MAX(BN$637:BN686)+1,0)</f>
        <v>49</v>
      </c>
      <c r="BO687" s="5867"/>
      <c r="BP687" s="907" t="str">
        <f t="shared" si="120"/>
        <v/>
      </c>
      <c r="BQ687" s="86" t="str">
        <f t="shared" si="121"/>
        <v/>
      </c>
      <c r="BR687" s="86" t="str">
        <f t="shared" si="122"/>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838"/>
      <c r="C688" s="1208"/>
      <c r="D688" s="2957" t="s">
        <v>7199</v>
      </c>
      <c r="E688" s="2961">
        <v>60</v>
      </c>
      <c r="F688" s="2956">
        <v>-30</v>
      </c>
      <c r="G688" s="2956">
        <v>8</v>
      </c>
      <c r="H688" s="2956">
        <v>8</v>
      </c>
      <c r="I688" s="2956" t="s">
        <v>1556</v>
      </c>
      <c r="J688" s="2956" t="s">
        <v>1459</v>
      </c>
      <c r="K688" s="2947" t="s">
        <v>7458</v>
      </c>
      <c r="L688" s="2956" t="str">
        <f t="shared" si="124"/>
        <v>Distinta</v>
      </c>
      <c r="M688" s="2962">
        <v>9</v>
      </c>
      <c r="N688" s="2962">
        <v>2</v>
      </c>
      <c r="O688" s="2962">
        <v>20</v>
      </c>
      <c r="P688" s="2956"/>
      <c r="Q688" s="2956"/>
      <c r="R688" s="2956" t="s">
        <v>1459</v>
      </c>
      <c r="S688" s="2956" t="s">
        <v>1459</v>
      </c>
      <c r="T688" s="2956" t="s">
        <v>1459</v>
      </c>
      <c r="U688" s="2956"/>
      <c r="V688" s="2947" t="s">
        <v>2158</v>
      </c>
      <c r="W688" s="2947"/>
      <c r="X688" s="2945" t="str">
        <f t="shared" si="104"/>
        <v>Mediana</v>
      </c>
      <c r="Y688" s="2886">
        <f t="shared" si="125"/>
        <v>0</v>
      </c>
      <c r="Z688" s="1326" t="str">
        <f t="shared" si="123"/>
        <v/>
      </c>
      <c r="AB688" s="907" t="s">
        <v>2161</v>
      </c>
      <c r="AC688" s="236" t="s">
        <v>2248</v>
      </c>
      <c r="AD688" s="1443"/>
      <c r="AE688" s="1331"/>
      <c r="AG688" s="907" t="str">
        <f t="shared" si="105"/>
        <v/>
      </c>
      <c r="AH688" s="86" t="str">
        <f t="shared" si="106"/>
        <v/>
      </c>
      <c r="AI688" s="86" t="str">
        <f t="shared" si="107"/>
        <v>Kukri</v>
      </c>
      <c r="AJ688" s="1327">
        <f>IF(OR($L688=AJ$635,$L688="",$D688=$AL$634),MAX(AJ$637:AJ687)+1,0)</f>
        <v>0</v>
      </c>
      <c r="AK688" s="1328">
        <f>IF(OR($L688=AK$635,$L688="",$D688=$AL$634),MAX(AK$637:AK687)+1,0)</f>
        <v>0</v>
      </c>
      <c r="AL688" s="1329">
        <f>IF(OR($L688=AL$635,$L688="",$D688=$AL$634),MAX(AL$637:AL687)+1,0)</f>
        <v>50</v>
      </c>
      <c r="AM688" s="5867"/>
      <c r="AN688" s="907" t="str">
        <f t="shared" si="108"/>
        <v/>
      </c>
      <c r="AO688" s="86" t="str">
        <f t="shared" si="109"/>
        <v/>
      </c>
      <c r="AP688" s="86" t="str">
        <f t="shared" si="110"/>
        <v>Kukri</v>
      </c>
      <c r="AQ688" s="1327">
        <f>IF(OR($L688=AQ$635,$L688="",$D688=$AS$634),MAX(AQ$637:AQ687)+1,0)</f>
        <v>0</v>
      </c>
      <c r="AR688" s="1328">
        <f>IF(OR($L688=AR$635,$L688="",$D688=$AS$634),MAX(AR$637:AR687)+1,0)</f>
        <v>0</v>
      </c>
      <c r="AS688" s="1329">
        <f>IF(OR($L688=AS$635,$L688="",$D688=$AS$634),MAX(AS$637:AS687)+1,0)</f>
        <v>50</v>
      </c>
      <c r="AT688" s="5867"/>
      <c r="AU688" s="907" t="str">
        <f t="shared" si="111"/>
        <v/>
      </c>
      <c r="AV688" s="86" t="str">
        <f t="shared" si="112"/>
        <v/>
      </c>
      <c r="AW688" s="86" t="str">
        <f t="shared" si="113"/>
        <v>Kukri</v>
      </c>
      <c r="AX688" s="1327">
        <f>IF(OR($L688=AX$635,$L688="",$D688=$AZ$634),MAX(AX$637:AX687)+1,0)</f>
        <v>0</v>
      </c>
      <c r="AY688" s="1328">
        <f>IF(OR($L688=AY$635,$L688="",$D688=$AZ$634),MAX(AY$637:AY687)+1,0)</f>
        <v>0</v>
      </c>
      <c r="AZ688" s="1329">
        <f>IF(OR($L688=AZ$635,$L688="",$D688=$AZ$634),MAX(AZ$637:AZ687)+1,0)</f>
        <v>50</v>
      </c>
      <c r="BA688" s="5867"/>
      <c r="BB688" s="907" t="str">
        <f t="shared" si="114"/>
        <v/>
      </c>
      <c r="BC688" s="86" t="str">
        <f t="shared" si="115"/>
        <v/>
      </c>
      <c r="BD688" s="86" t="str">
        <f t="shared" si="116"/>
        <v>Kukri</v>
      </c>
      <c r="BE688" s="1327">
        <f>IF(OR($L688=BE$635,$L688="",$D688=$BG$634),MAX(BE$637:BE687)+1,0)</f>
        <v>0</v>
      </c>
      <c r="BF688" s="1328">
        <f>IF(OR($L688=BF$635,$L688="",$D688=$BG$634),MAX(BF$637:BF687)+1,0)</f>
        <v>0</v>
      </c>
      <c r="BG688" s="1329">
        <f>IF(OR($L688=BG$635,$L688="",$D688=$BG$634),MAX(BG$637:BG687)+1,0)</f>
        <v>50</v>
      </c>
      <c r="BH688" s="5867"/>
      <c r="BI688" s="907" t="str">
        <f t="shared" si="117"/>
        <v/>
      </c>
      <c r="BJ688" s="86" t="str">
        <f t="shared" si="118"/>
        <v/>
      </c>
      <c r="BK688" s="86" t="str">
        <f t="shared" si="119"/>
        <v>Kukri</v>
      </c>
      <c r="BL688" s="1327">
        <f>IF(OR($L688=BL$635,$L688="",$D688=$BN$634),MAX(BL$637:BL687)+1,0)</f>
        <v>0</v>
      </c>
      <c r="BM688" s="1328">
        <f>IF(OR($L688=BM$635,$L688="",$D688=$BN$634),MAX(BM$637:BM687)+1,0)</f>
        <v>0</v>
      </c>
      <c r="BN688" s="1329">
        <f>IF(OR($L688=BN$635,$L688="",$D688=$BN$634),MAX(BN$637:BN687)+1,0)</f>
        <v>50</v>
      </c>
      <c r="BO688" s="5867"/>
      <c r="BP688" s="907" t="str">
        <f t="shared" si="120"/>
        <v/>
      </c>
      <c r="BQ688" s="86" t="str">
        <f t="shared" si="121"/>
        <v/>
      </c>
      <c r="BR688" s="86" t="str">
        <f t="shared" si="122"/>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838"/>
      <c r="C689" s="1208"/>
      <c r="D689" s="2957" t="s">
        <v>7200</v>
      </c>
      <c r="E689" s="2961">
        <v>35</v>
      </c>
      <c r="F689" s="2956">
        <v>10</v>
      </c>
      <c r="G689" s="2956">
        <v>6</v>
      </c>
      <c r="H689" s="2956">
        <v>6</v>
      </c>
      <c r="I689" s="2956" t="s">
        <v>1555</v>
      </c>
      <c r="J689" s="2956" t="s">
        <v>1459</v>
      </c>
      <c r="K689" s="2947" t="s">
        <v>7460</v>
      </c>
      <c r="L689" s="2956" t="str">
        <f t="shared" si="124"/>
        <v>Distinta</v>
      </c>
      <c r="M689" s="2962">
        <v>12</v>
      </c>
      <c r="N689" s="2962">
        <v>3</v>
      </c>
      <c r="O689" s="2962">
        <v>20</v>
      </c>
      <c r="P689" s="2956"/>
      <c r="Q689" s="2956"/>
      <c r="R689" s="2956" t="s">
        <v>1459</v>
      </c>
      <c r="S689" s="2956" t="s">
        <v>1459</v>
      </c>
      <c r="T689" s="2956" t="s">
        <v>1459</v>
      </c>
      <c r="U689" s="2956"/>
      <c r="V689" s="2947" t="s">
        <v>1459</v>
      </c>
      <c r="W689" s="2947"/>
      <c r="X689" s="2945" t="str">
        <f t="shared" si="104"/>
        <v>Pequeña</v>
      </c>
      <c r="Y689" s="2886">
        <f t="shared" si="125"/>
        <v>0</v>
      </c>
      <c r="Z689" s="1326" t="str">
        <f t="shared" si="123"/>
        <v/>
      </c>
      <c r="AB689" s="907" t="s">
        <v>7201</v>
      </c>
      <c r="AC689" s="236" t="s">
        <v>2258</v>
      </c>
      <c r="AD689" s="1443"/>
      <c r="AE689" s="1331"/>
      <c r="AG689" s="907" t="str">
        <f t="shared" si="105"/>
        <v/>
      </c>
      <c r="AH689" s="86" t="str">
        <f t="shared" si="106"/>
        <v/>
      </c>
      <c r="AI689" s="86" t="str">
        <f t="shared" si="107"/>
        <v>Lanza</v>
      </c>
      <c r="AJ689" s="1327">
        <f>IF(OR($L689=AJ$635,$L689="",$D689=$AL$634),MAX(AJ$637:AJ688)+1,0)</f>
        <v>0</v>
      </c>
      <c r="AK689" s="1328">
        <f>IF(OR($L689=AK$635,$L689="",$D689=$AL$634),MAX(AK$637:AK688)+1,0)</f>
        <v>0</v>
      </c>
      <c r="AL689" s="1329">
        <f>IF(OR($L689=AL$635,$L689="",$D689=$AL$634),MAX(AL$637:AL688)+1,0)</f>
        <v>51</v>
      </c>
      <c r="AM689" s="5867"/>
      <c r="AN689" s="907" t="str">
        <f t="shared" si="108"/>
        <v/>
      </c>
      <c r="AO689" s="86" t="str">
        <f t="shared" si="109"/>
        <v/>
      </c>
      <c r="AP689" s="86" t="str">
        <f t="shared" si="110"/>
        <v>Lanza</v>
      </c>
      <c r="AQ689" s="1327">
        <f>IF(OR($L689=AQ$635,$L689="",$D689=$AS$634),MAX(AQ$637:AQ688)+1,0)</f>
        <v>0</v>
      </c>
      <c r="AR689" s="1328">
        <f>IF(OR($L689=AR$635,$L689="",$D689=$AS$634),MAX(AR$637:AR688)+1,0)</f>
        <v>0</v>
      </c>
      <c r="AS689" s="1329">
        <f>IF(OR($L689=AS$635,$L689="",$D689=$AS$634),MAX(AS$637:AS688)+1,0)</f>
        <v>51</v>
      </c>
      <c r="AT689" s="5867"/>
      <c r="AU689" s="907" t="str">
        <f t="shared" si="111"/>
        <v/>
      </c>
      <c r="AV689" s="86" t="str">
        <f t="shared" si="112"/>
        <v/>
      </c>
      <c r="AW689" s="86" t="str">
        <f t="shared" si="113"/>
        <v>Lanza</v>
      </c>
      <c r="AX689" s="1327">
        <f>IF(OR($L689=AX$635,$L689="",$D689=$AZ$634),MAX(AX$637:AX688)+1,0)</f>
        <v>0</v>
      </c>
      <c r="AY689" s="1328">
        <f>IF(OR($L689=AY$635,$L689="",$D689=$AZ$634),MAX(AY$637:AY688)+1,0)</f>
        <v>0</v>
      </c>
      <c r="AZ689" s="1329">
        <f>IF(OR($L689=AZ$635,$L689="",$D689=$AZ$634),MAX(AZ$637:AZ688)+1,0)</f>
        <v>51</v>
      </c>
      <c r="BA689" s="5867"/>
      <c r="BB689" s="907" t="str">
        <f t="shared" si="114"/>
        <v/>
      </c>
      <c r="BC689" s="86" t="str">
        <f t="shared" si="115"/>
        <v/>
      </c>
      <c r="BD689" s="86" t="str">
        <f t="shared" si="116"/>
        <v>Lanza</v>
      </c>
      <c r="BE689" s="1327">
        <f>IF(OR($L689=BE$635,$L689="",$D689=$BG$634),MAX(BE$637:BE688)+1,0)</f>
        <v>0</v>
      </c>
      <c r="BF689" s="1328">
        <f>IF(OR($L689=BF$635,$L689="",$D689=$BG$634),MAX(BF$637:BF688)+1,0)</f>
        <v>0</v>
      </c>
      <c r="BG689" s="1329">
        <f>IF(OR($L689=BG$635,$L689="",$D689=$BG$634),MAX(BG$637:BG688)+1,0)</f>
        <v>51</v>
      </c>
      <c r="BH689" s="5867"/>
      <c r="BI689" s="907" t="str">
        <f t="shared" si="117"/>
        <v/>
      </c>
      <c r="BJ689" s="86" t="str">
        <f t="shared" si="118"/>
        <v/>
      </c>
      <c r="BK689" s="86" t="str">
        <f t="shared" si="119"/>
        <v>Lanza</v>
      </c>
      <c r="BL689" s="1327">
        <f>IF(OR($L689=BL$635,$L689="",$D689=$BN$634),MAX(BL$637:BL688)+1,0)</f>
        <v>0</v>
      </c>
      <c r="BM689" s="1328">
        <f>IF(OR($L689=BM$635,$L689="",$D689=$BN$634),MAX(BM$637:BM688)+1,0)</f>
        <v>0</v>
      </c>
      <c r="BN689" s="1329">
        <f>IF(OR($L689=BN$635,$L689="",$D689=$BN$634),MAX(BN$637:BN688)+1,0)</f>
        <v>51</v>
      </c>
      <c r="BO689" s="5867"/>
      <c r="BP689" s="907" t="str">
        <f t="shared" si="120"/>
        <v/>
      </c>
      <c r="BQ689" s="86" t="str">
        <f t="shared" si="121"/>
        <v/>
      </c>
      <c r="BR689" s="86" t="str">
        <f t="shared" si="122"/>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838"/>
      <c r="C690" s="1208"/>
      <c r="D690" s="2957" t="s">
        <v>2156</v>
      </c>
      <c r="E690" s="2961">
        <v>40</v>
      </c>
      <c r="F690" s="2956">
        <v>5</v>
      </c>
      <c r="G690" s="2956">
        <v>4</v>
      </c>
      <c r="H690" s="2956">
        <v>4</v>
      </c>
      <c r="I690" s="2956" t="s">
        <v>1556</v>
      </c>
      <c r="J690" s="2956" t="s">
        <v>1459</v>
      </c>
      <c r="K690" s="2947" t="s">
        <v>7455</v>
      </c>
      <c r="L690" s="2956" t="str">
        <f t="shared" si="124"/>
        <v>Distinta</v>
      </c>
      <c r="M690" s="2962">
        <v>13</v>
      </c>
      <c r="N690" s="2962">
        <v>2</v>
      </c>
      <c r="O690" s="2962">
        <v>25</v>
      </c>
      <c r="P690" s="2956"/>
      <c r="Q690" s="2956"/>
      <c r="R690" s="2962">
        <v>80</v>
      </c>
      <c r="S690" s="2956" t="s">
        <v>1459</v>
      </c>
      <c r="T690" s="2962">
        <v>30</v>
      </c>
      <c r="U690" s="2956"/>
      <c r="V690" s="2947" t="s">
        <v>8775</v>
      </c>
      <c r="W690" s="2947"/>
      <c r="X690" s="2945" t="str">
        <f t="shared" si="104"/>
        <v>Grande</v>
      </c>
      <c r="Y690" s="2886">
        <f t="shared" si="125"/>
        <v>0</v>
      </c>
      <c r="Z690" s="1326" t="str">
        <f t="shared" si="123"/>
        <v/>
      </c>
      <c r="AB690" s="907" t="s">
        <v>2163</v>
      </c>
      <c r="AC690" s="236" t="s">
        <v>2242</v>
      </c>
      <c r="AD690" s="1443"/>
      <c r="AE690" s="1331"/>
      <c r="AG690" s="907" t="str">
        <f t="shared" si="105"/>
        <v/>
      </c>
      <c r="AH690" s="86" t="str">
        <f t="shared" si="106"/>
        <v/>
      </c>
      <c r="AI690" s="86" t="str">
        <f t="shared" si="107"/>
        <v>Lanza de caballería</v>
      </c>
      <c r="AJ690" s="1327">
        <f>IF(OR($L690=AJ$635,$L690="",$D690=$AL$634),MAX(AJ$637:AJ689)+1,0)</f>
        <v>0</v>
      </c>
      <c r="AK690" s="1328">
        <f>IF(OR($L690=AK$635,$L690="",$D690=$AL$634),MAX(AK$637:AK689)+1,0)</f>
        <v>0</v>
      </c>
      <c r="AL690" s="1329">
        <f>IF(OR($L690=AL$635,$L690="",$D690=$AL$634),MAX(AL$637:AL689)+1,0)</f>
        <v>52</v>
      </c>
      <c r="AM690" s="5867"/>
      <c r="AN690" s="907" t="str">
        <f t="shared" si="108"/>
        <v/>
      </c>
      <c r="AO690" s="86" t="str">
        <f t="shared" si="109"/>
        <v/>
      </c>
      <c r="AP690" s="86" t="str">
        <f t="shared" si="110"/>
        <v>Lanza de caballería</v>
      </c>
      <c r="AQ690" s="1327">
        <f>IF(OR($L690=AQ$635,$L690="",$D690=$AS$634),MAX(AQ$637:AQ689)+1,0)</f>
        <v>0</v>
      </c>
      <c r="AR690" s="1328">
        <f>IF(OR($L690=AR$635,$L690="",$D690=$AS$634),MAX(AR$637:AR689)+1,0)</f>
        <v>0</v>
      </c>
      <c r="AS690" s="1329">
        <f>IF(OR($L690=AS$635,$L690="",$D690=$AS$634),MAX(AS$637:AS689)+1,0)</f>
        <v>52</v>
      </c>
      <c r="AT690" s="5867"/>
      <c r="AU690" s="907" t="str">
        <f t="shared" si="111"/>
        <v/>
      </c>
      <c r="AV690" s="86" t="str">
        <f t="shared" si="112"/>
        <v/>
      </c>
      <c r="AW690" s="86" t="str">
        <f t="shared" si="113"/>
        <v>Lanza de caballería</v>
      </c>
      <c r="AX690" s="1327">
        <f>IF(OR($L690=AX$635,$L690="",$D690=$AZ$634),MAX(AX$637:AX689)+1,0)</f>
        <v>0</v>
      </c>
      <c r="AY690" s="1328">
        <f>IF(OR($L690=AY$635,$L690="",$D690=$AZ$634),MAX(AY$637:AY689)+1,0)</f>
        <v>0</v>
      </c>
      <c r="AZ690" s="1329">
        <f>IF(OR($L690=AZ$635,$L690="",$D690=$AZ$634),MAX(AZ$637:AZ689)+1,0)</f>
        <v>52</v>
      </c>
      <c r="BA690" s="5867"/>
      <c r="BB690" s="907" t="str">
        <f t="shared" si="114"/>
        <v/>
      </c>
      <c r="BC690" s="86" t="str">
        <f t="shared" si="115"/>
        <v/>
      </c>
      <c r="BD690" s="86" t="str">
        <f t="shared" si="116"/>
        <v>Lanza de caballería</v>
      </c>
      <c r="BE690" s="1327">
        <f>IF(OR($L690=BE$635,$L690="",$D690=$BG$634),MAX(BE$637:BE689)+1,0)</f>
        <v>0</v>
      </c>
      <c r="BF690" s="1328">
        <f>IF(OR($L690=BF$635,$L690="",$D690=$BG$634),MAX(BF$637:BF689)+1,0)</f>
        <v>0</v>
      </c>
      <c r="BG690" s="1329">
        <f>IF(OR($L690=BG$635,$L690="",$D690=$BG$634),MAX(BG$637:BG689)+1,0)</f>
        <v>52</v>
      </c>
      <c r="BH690" s="5867"/>
      <c r="BI690" s="907" t="str">
        <f t="shared" si="117"/>
        <v/>
      </c>
      <c r="BJ690" s="86" t="str">
        <f t="shared" si="118"/>
        <v/>
      </c>
      <c r="BK690" s="86" t="str">
        <f t="shared" si="119"/>
        <v>Lanza de caballería</v>
      </c>
      <c r="BL690" s="1327">
        <f>IF(OR($L690=BL$635,$L690="",$D690=$BN$634),MAX(BL$637:BL689)+1,0)</f>
        <v>0</v>
      </c>
      <c r="BM690" s="1328">
        <f>IF(OR($L690=BM$635,$L690="",$D690=$BN$634),MAX(BM$637:BM689)+1,0)</f>
        <v>0</v>
      </c>
      <c r="BN690" s="1329">
        <f>IF(OR($L690=BN$635,$L690="",$D690=$BN$634),MAX(BN$637:BN689)+1,0)</f>
        <v>52</v>
      </c>
      <c r="BO690" s="5867"/>
      <c r="BP690" s="907" t="str">
        <f t="shared" si="120"/>
        <v/>
      </c>
      <c r="BQ690" s="86" t="str">
        <f t="shared" si="121"/>
        <v/>
      </c>
      <c r="BR690" s="86" t="str">
        <f t="shared" si="122"/>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838"/>
      <c r="C691" s="1208"/>
      <c r="D691" s="2957" t="s">
        <v>2157</v>
      </c>
      <c r="E691" s="2961">
        <v>80</v>
      </c>
      <c r="F691" s="2956">
        <v>-30</v>
      </c>
      <c r="G691" s="2956">
        <v>8</v>
      </c>
      <c r="H691" s="2956">
        <v>8</v>
      </c>
      <c r="I691" s="2956" t="s">
        <v>1556</v>
      </c>
      <c r="J691" s="2956" t="s">
        <v>1459</v>
      </c>
      <c r="K691" s="2947" t="s">
        <v>7455</v>
      </c>
      <c r="L691" s="2956" t="str">
        <f t="shared" si="124"/>
        <v>Distinta</v>
      </c>
      <c r="M691" s="2962">
        <v>12</v>
      </c>
      <c r="N691" s="2962">
        <v>7</v>
      </c>
      <c r="O691" s="2962">
        <v>25</v>
      </c>
      <c r="P691" s="2956"/>
      <c r="Q691" s="2956"/>
      <c r="R691" s="2956" t="s">
        <v>1459</v>
      </c>
      <c r="S691" s="2956" t="s">
        <v>1459</v>
      </c>
      <c r="T691" s="2956" t="s">
        <v>1459</v>
      </c>
      <c r="U691" s="2956"/>
      <c r="V691" s="2947" t="s">
        <v>2158</v>
      </c>
      <c r="W691" s="2947"/>
      <c r="X691" s="2945" t="str">
        <f t="shared" si="104"/>
        <v>Grande</v>
      </c>
      <c r="Y691" s="2886">
        <f t="shared" si="125"/>
        <v>0</v>
      </c>
      <c r="Z691" s="1326" t="str">
        <f t="shared" si="123"/>
        <v/>
      </c>
      <c r="AB691" s="907" t="s">
        <v>2165</v>
      </c>
      <c r="AC691" s="236"/>
      <c r="AD691" s="1443"/>
      <c r="AE691" s="1331"/>
      <c r="AG691" s="907" t="str">
        <f t="shared" si="105"/>
        <v/>
      </c>
      <c r="AH691" s="86" t="str">
        <f t="shared" si="106"/>
        <v/>
      </c>
      <c r="AI691" s="86" t="str">
        <f t="shared" si="107"/>
        <v>Látigo</v>
      </c>
      <c r="AJ691" s="1327">
        <f>IF(OR($L691=AJ$635,$L691="",$D691=$AL$634),MAX(AJ$637:AJ690)+1,0)</f>
        <v>0</v>
      </c>
      <c r="AK691" s="1328">
        <f>IF(OR($L691=AK$635,$L691="",$D691=$AL$634),MAX(AK$637:AK690)+1,0)</f>
        <v>0</v>
      </c>
      <c r="AL691" s="1329">
        <f>IF(OR($L691=AL$635,$L691="",$D691=$AL$634),MAX(AL$637:AL690)+1,0)</f>
        <v>53</v>
      </c>
      <c r="AM691" s="5867"/>
      <c r="AN691" s="907" t="str">
        <f t="shared" si="108"/>
        <v/>
      </c>
      <c r="AO691" s="86" t="str">
        <f t="shared" si="109"/>
        <v/>
      </c>
      <c r="AP691" s="86" t="str">
        <f t="shared" si="110"/>
        <v>Látigo</v>
      </c>
      <c r="AQ691" s="1327">
        <f>IF(OR($L691=AQ$635,$L691="",$D691=$AS$634),MAX(AQ$637:AQ690)+1,0)</f>
        <v>0</v>
      </c>
      <c r="AR691" s="1328">
        <f>IF(OR($L691=AR$635,$L691="",$D691=$AS$634),MAX(AR$637:AR690)+1,0)</f>
        <v>0</v>
      </c>
      <c r="AS691" s="1329">
        <f>IF(OR($L691=AS$635,$L691="",$D691=$AS$634),MAX(AS$637:AS690)+1,0)</f>
        <v>53</v>
      </c>
      <c r="AT691" s="5867"/>
      <c r="AU691" s="907" t="str">
        <f t="shared" si="111"/>
        <v/>
      </c>
      <c r="AV691" s="86" t="str">
        <f t="shared" si="112"/>
        <v/>
      </c>
      <c r="AW691" s="86" t="str">
        <f t="shared" si="113"/>
        <v>Látigo</v>
      </c>
      <c r="AX691" s="1327">
        <f>IF(OR($L691=AX$635,$L691="",$D691=$AZ$634),MAX(AX$637:AX690)+1,0)</f>
        <v>0</v>
      </c>
      <c r="AY691" s="1328">
        <f>IF(OR($L691=AY$635,$L691="",$D691=$AZ$634),MAX(AY$637:AY690)+1,0)</f>
        <v>0</v>
      </c>
      <c r="AZ691" s="1329">
        <f>IF(OR($L691=AZ$635,$L691="",$D691=$AZ$634),MAX(AZ$637:AZ690)+1,0)</f>
        <v>53</v>
      </c>
      <c r="BA691" s="5867"/>
      <c r="BB691" s="907" t="str">
        <f t="shared" si="114"/>
        <v/>
      </c>
      <c r="BC691" s="86" t="str">
        <f t="shared" si="115"/>
        <v/>
      </c>
      <c r="BD691" s="86" t="str">
        <f t="shared" si="116"/>
        <v>Látigo</v>
      </c>
      <c r="BE691" s="1327">
        <f>IF(OR($L691=BE$635,$L691="",$D691=$BG$634),MAX(BE$637:BE690)+1,0)</f>
        <v>0</v>
      </c>
      <c r="BF691" s="1328">
        <f>IF(OR($L691=BF$635,$L691="",$D691=$BG$634),MAX(BF$637:BF690)+1,0)</f>
        <v>0</v>
      </c>
      <c r="BG691" s="1329">
        <f>IF(OR($L691=BG$635,$L691="",$D691=$BG$634),MAX(BG$637:BG690)+1,0)</f>
        <v>53</v>
      </c>
      <c r="BH691" s="5867"/>
      <c r="BI691" s="907" t="str">
        <f t="shared" si="117"/>
        <v/>
      </c>
      <c r="BJ691" s="86" t="str">
        <f t="shared" si="118"/>
        <v/>
      </c>
      <c r="BK691" s="86" t="str">
        <f t="shared" si="119"/>
        <v>Látigo</v>
      </c>
      <c r="BL691" s="1327">
        <f>IF(OR($L691=BL$635,$L691="",$D691=$BN$634),MAX(BL$637:BL690)+1,0)</f>
        <v>0</v>
      </c>
      <c r="BM691" s="1328">
        <f>IF(OR($L691=BM$635,$L691="",$D691=$BN$634),MAX(BM$637:BM690)+1,0)</f>
        <v>0</v>
      </c>
      <c r="BN691" s="1329">
        <f>IF(OR($L691=BN$635,$L691="",$D691=$BN$634),MAX(BN$637:BN690)+1,0)</f>
        <v>53</v>
      </c>
      <c r="BO691" s="5867"/>
      <c r="BP691" s="907" t="str">
        <f t="shared" si="120"/>
        <v/>
      </c>
      <c r="BQ691" s="86" t="str">
        <f t="shared" si="121"/>
        <v/>
      </c>
      <c r="BR691" s="86" t="str">
        <f t="shared" si="122"/>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838"/>
      <c r="C692" s="1208"/>
      <c r="D692" s="2957" t="s">
        <v>2159</v>
      </c>
      <c r="E692" s="2961">
        <v>35</v>
      </c>
      <c r="F692" s="2956">
        <v>-20</v>
      </c>
      <c r="G692" s="2956">
        <v>4</v>
      </c>
      <c r="H692" s="2956">
        <v>4</v>
      </c>
      <c r="I692" s="2956" t="s">
        <v>1555</v>
      </c>
      <c r="J692" s="2956" t="s">
        <v>1501</v>
      </c>
      <c r="K692" s="2947" t="s">
        <v>7459</v>
      </c>
      <c r="L692" s="2956" t="str">
        <f t="shared" si="124"/>
        <v>Distinta</v>
      </c>
      <c r="M692" s="2962">
        <v>9</v>
      </c>
      <c r="N692" s="2962">
        <v>-3</v>
      </c>
      <c r="O692" s="2962">
        <v>20</v>
      </c>
      <c r="P692" s="2956"/>
      <c r="Q692" s="2956"/>
      <c r="R692" s="2956" t="s">
        <v>1459</v>
      </c>
      <c r="S692" s="2956" t="s">
        <v>1459</v>
      </c>
      <c r="T692" s="2956" t="s">
        <v>1459</v>
      </c>
      <c r="U692" s="2956"/>
      <c r="V692" s="2947" t="s">
        <v>2160</v>
      </c>
      <c r="W692" s="2947"/>
      <c r="X692" s="2945" t="str">
        <f t="shared" si="104"/>
        <v>Mediana</v>
      </c>
      <c r="Y692" s="2886">
        <f t="shared" si="125"/>
        <v>0</v>
      </c>
      <c r="Z692" s="1326" t="str">
        <f t="shared" si="123"/>
        <v/>
      </c>
      <c r="AB692" s="907" t="s">
        <v>2166</v>
      </c>
      <c r="AC692" s="236"/>
      <c r="AD692" s="1443"/>
      <c r="AE692" s="1331"/>
      <c r="AG692" s="907" t="str">
        <f t="shared" si="105"/>
        <v/>
      </c>
      <c r="AH692" s="86" t="str">
        <f t="shared" si="106"/>
        <v/>
      </c>
      <c r="AI692" s="86" t="str">
        <f t="shared" si="107"/>
        <v>Lazo</v>
      </c>
      <c r="AJ692" s="1327">
        <f>IF(OR($L692=AJ$635,$L692="",$D692=$AL$634),MAX(AJ$637:AJ691)+1,0)</f>
        <v>0</v>
      </c>
      <c r="AK692" s="1328">
        <f>IF(OR($L692=AK$635,$L692="",$D692=$AL$634),MAX(AK$637:AK691)+1,0)</f>
        <v>0</v>
      </c>
      <c r="AL692" s="1329">
        <f>IF(OR($L692=AL$635,$L692="",$D692=$AL$634),MAX(AL$637:AL691)+1,0)</f>
        <v>54</v>
      </c>
      <c r="AM692" s="5867"/>
      <c r="AN692" s="907" t="str">
        <f t="shared" si="108"/>
        <v/>
      </c>
      <c r="AO692" s="86" t="str">
        <f t="shared" si="109"/>
        <v/>
      </c>
      <c r="AP692" s="86" t="str">
        <f t="shared" si="110"/>
        <v>Lazo</v>
      </c>
      <c r="AQ692" s="1327">
        <f>IF(OR($L692=AQ$635,$L692="",$D692=$AS$634),MAX(AQ$637:AQ691)+1,0)</f>
        <v>0</v>
      </c>
      <c r="AR692" s="1328">
        <f>IF(OR($L692=AR$635,$L692="",$D692=$AS$634),MAX(AR$637:AR691)+1,0)</f>
        <v>0</v>
      </c>
      <c r="AS692" s="1329">
        <f>IF(OR($L692=AS$635,$L692="",$D692=$AS$634),MAX(AS$637:AS691)+1,0)</f>
        <v>54</v>
      </c>
      <c r="AT692" s="5867"/>
      <c r="AU692" s="907" t="str">
        <f t="shared" si="111"/>
        <v/>
      </c>
      <c r="AV692" s="86" t="str">
        <f t="shared" si="112"/>
        <v/>
      </c>
      <c r="AW692" s="86" t="str">
        <f t="shared" si="113"/>
        <v>Lazo</v>
      </c>
      <c r="AX692" s="1327">
        <f>IF(OR($L692=AX$635,$L692="",$D692=$AZ$634),MAX(AX$637:AX691)+1,0)</f>
        <v>0</v>
      </c>
      <c r="AY692" s="1328">
        <f>IF(OR($L692=AY$635,$L692="",$D692=$AZ$634),MAX(AY$637:AY691)+1,0)</f>
        <v>0</v>
      </c>
      <c r="AZ692" s="1329">
        <f>IF(OR($L692=AZ$635,$L692="",$D692=$AZ$634),MAX(AZ$637:AZ691)+1,0)</f>
        <v>54</v>
      </c>
      <c r="BA692" s="5867"/>
      <c r="BB692" s="907" t="str">
        <f t="shared" si="114"/>
        <v/>
      </c>
      <c r="BC692" s="86" t="str">
        <f t="shared" si="115"/>
        <v/>
      </c>
      <c r="BD692" s="86" t="str">
        <f t="shared" si="116"/>
        <v>Lazo</v>
      </c>
      <c r="BE692" s="1327">
        <f>IF(OR($L692=BE$635,$L692="",$D692=$BG$634),MAX(BE$637:BE691)+1,0)</f>
        <v>0</v>
      </c>
      <c r="BF692" s="1328">
        <f>IF(OR($L692=BF$635,$L692="",$D692=$BG$634),MAX(BF$637:BF691)+1,0)</f>
        <v>0</v>
      </c>
      <c r="BG692" s="1329">
        <f>IF(OR($L692=BG$635,$L692="",$D692=$BG$634),MAX(BG$637:BG691)+1,0)</f>
        <v>54</v>
      </c>
      <c r="BH692" s="5867"/>
      <c r="BI692" s="907" t="str">
        <f t="shared" si="117"/>
        <v/>
      </c>
      <c r="BJ692" s="86" t="str">
        <f t="shared" si="118"/>
        <v/>
      </c>
      <c r="BK692" s="86" t="str">
        <f t="shared" si="119"/>
        <v>Lazo</v>
      </c>
      <c r="BL692" s="1327">
        <f>IF(OR($L692=BL$635,$L692="",$D692=$BN$634),MAX(BL$637:BL691)+1,0)</f>
        <v>0</v>
      </c>
      <c r="BM692" s="1328">
        <f>IF(OR($L692=BM$635,$L692="",$D692=$BN$634),MAX(BM$637:BM691)+1,0)</f>
        <v>0</v>
      </c>
      <c r="BN692" s="1329">
        <f>IF(OR($L692=BN$635,$L692="",$D692=$BN$634),MAX(BN$637:BN691)+1,0)</f>
        <v>54</v>
      </c>
      <c r="BO692" s="5867"/>
      <c r="BP692" s="907" t="str">
        <f t="shared" si="120"/>
        <v/>
      </c>
      <c r="BQ692" s="86" t="str">
        <f t="shared" si="121"/>
        <v/>
      </c>
      <c r="BR692" s="86" t="str">
        <f t="shared" si="122"/>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838"/>
      <c r="C693" s="1208"/>
      <c r="D693" s="2957" t="s">
        <v>2161</v>
      </c>
      <c r="E693" s="2961">
        <v>5</v>
      </c>
      <c r="F693" s="2956">
        <v>10</v>
      </c>
      <c r="G693" s="2956">
        <v>4</v>
      </c>
      <c r="H693" s="2956">
        <v>4</v>
      </c>
      <c r="I693" s="2956" t="s">
        <v>1501</v>
      </c>
      <c r="J693" s="2956" t="s">
        <v>1459</v>
      </c>
      <c r="K693" s="2947" t="s">
        <v>7459</v>
      </c>
      <c r="L693" s="2956" t="str">
        <f t="shared" si="124"/>
        <v>Distinta</v>
      </c>
      <c r="M693" s="2962">
        <v>9</v>
      </c>
      <c r="N693" s="2962">
        <v>-4</v>
      </c>
      <c r="O693" s="2962">
        <v>20</v>
      </c>
      <c r="P693" s="2956"/>
      <c r="Q693" s="2956"/>
      <c r="R693" s="2956" t="s">
        <v>1459</v>
      </c>
      <c r="S693" s="2956" t="s">
        <v>1459</v>
      </c>
      <c r="T693" s="2956" t="s">
        <v>1459</v>
      </c>
      <c r="U693" s="2956"/>
      <c r="V693" s="2947" t="s">
        <v>2162</v>
      </c>
      <c r="W693" s="2947"/>
      <c r="X693" s="2945" t="str">
        <f t="shared" si="104"/>
        <v>Mediana</v>
      </c>
      <c r="Y693" s="2886">
        <f t="shared" si="125"/>
        <v>0</v>
      </c>
      <c r="Z693" s="1326" t="str">
        <f t="shared" si="123"/>
        <v/>
      </c>
      <c r="AB693" s="907" t="s">
        <v>7183</v>
      </c>
      <c r="AC693" s="236"/>
      <c r="AD693" s="1443"/>
      <c r="AE693" s="1331"/>
      <c r="AG693" s="907" t="str">
        <f t="shared" si="105"/>
        <v/>
      </c>
      <c r="AH693" s="86" t="str">
        <f t="shared" si="106"/>
        <v/>
      </c>
      <c r="AI693" s="86" t="str">
        <f t="shared" si="107"/>
        <v>Liu Xing Chui</v>
      </c>
      <c r="AJ693" s="1327">
        <f>IF(OR($L693=AJ$635,$L693="",$D693=$AL$634),MAX(AJ$637:AJ692)+1,0)</f>
        <v>0</v>
      </c>
      <c r="AK693" s="1328">
        <f>IF(OR($L693=AK$635,$L693="",$D693=$AL$634),MAX(AK$637:AK692)+1,0)</f>
        <v>0</v>
      </c>
      <c r="AL693" s="1329">
        <f>IF(OR($L693=AL$635,$L693="",$D693=$AL$634),MAX(AL$637:AL692)+1,0)</f>
        <v>55</v>
      </c>
      <c r="AM693" s="5867"/>
      <c r="AN693" s="907" t="str">
        <f t="shared" si="108"/>
        <v/>
      </c>
      <c r="AO693" s="86" t="str">
        <f t="shared" si="109"/>
        <v/>
      </c>
      <c r="AP693" s="86" t="str">
        <f t="shared" si="110"/>
        <v>Liu Xing Chui</v>
      </c>
      <c r="AQ693" s="1327">
        <f>IF(OR($L693=AQ$635,$L693="",$D693=$AS$634),MAX(AQ$637:AQ692)+1,0)</f>
        <v>0</v>
      </c>
      <c r="AR693" s="1328">
        <f>IF(OR($L693=AR$635,$L693="",$D693=$AS$634),MAX(AR$637:AR692)+1,0)</f>
        <v>0</v>
      </c>
      <c r="AS693" s="1329">
        <f>IF(OR($L693=AS$635,$L693="",$D693=$AS$634),MAX(AS$637:AS692)+1,0)</f>
        <v>55</v>
      </c>
      <c r="AT693" s="5867"/>
      <c r="AU693" s="907" t="str">
        <f t="shared" si="111"/>
        <v/>
      </c>
      <c r="AV693" s="86" t="str">
        <f t="shared" si="112"/>
        <v/>
      </c>
      <c r="AW693" s="86" t="str">
        <f t="shared" si="113"/>
        <v>Liu Xing Chui</v>
      </c>
      <c r="AX693" s="1327">
        <f>IF(OR($L693=AX$635,$L693="",$D693=$AZ$634),MAX(AX$637:AX692)+1,0)</f>
        <v>0</v>
      </c>
      <c r="AY693" s="1328">
        <f>IF(OR($L693=AY$635,$L693="",$D693=$AZ$634),MAX(AY$637:AY692)+1,0)</f>
        <v>0</v>
      </c>
      <c r="AZ693" s="1329">
        <f>IF(OR($L693=AZ$635,$L693="",$D693=$AZ$634),MAX(AZ$637:AZ692)+1,0)</f>
        <v>55</v>
      </c>
      <c r="BA693" s="5867"/>
      <c r="BB693" s="907" t="str">
        <f t="shared" si="114"/>
        <v/>
      </c>
      <c r="BC693" s="86" t="str">
        <f t="shared" si="115"/>
        <v/>
      </c>
      <c r="BD693" s="86" t="str">
        <f t="shared" si="116"/>
        <v>Liu Xing Chui</v>
      </c>
      <c r="BE693" s="1327">
        <f>IF(OR($L693=BE$635,$L693="",$D693=$BG$634),MAX(BE$637:BE692)+1,0)</f>
        <v>0</v>
      </c>
      <c r="BF693" s="1328">
        <f>IF(OR($L693=BF$635,$L693="",$D693=$BG$634),MAX(BF$637:BF692)+1,0)</f>
        <v>0</v>
      </c>
      <c r="BG693" s="1329">
        <f>IF(OR($L693=BG$635,$L693="",$D693=$BG$634),MAX(BG$637:BG692)+1,0)</f>
        <v>55</v>
      </c>
      <c r="BH693" s="5867"/>
      <c r="BI693" s="907" t="str">
        <f t="shared" si="117"/>
        <v/>
      </c>
      <c r="BJ693" s="86" t="str">
        <f t="shared" si="118"/>
        <v/>
      </c>
      <c r="BK693" s="86" t="str">
        <f t="shared" si="119"/>
        <v>Liu Xing Chui</v>
      </c>
      <c r="BL693" s="1327">
        <f>IF(OR($L693=BL$635,$L693="",$D693=$BN$634),MAX(BL$637:BL692)+1,0)</f>
        <v>0</v>
      </c>
      <c r="BM693" s="1328">
        <f>IF(OR($L693=BM$635,$L693="",$D693=$BN$634),MAX(BM$637:BM692)+1,0)</f>
        <v>0</v>
      </c>
      <c r="BN693" s="1329">
        <f>IF(OR($L693=BN$635,$L693="",$D693=$BN$634),MAX(BN$637:BN692)+1,0)</f>
        <v>55</v>
      </c>
      <c r="BO693" s="5867"/>
      <c r="BP693" s="907" t="str">
        <f t="shared" si="120"/>
        <v/>
      </c>
      <c r="BQ693" s="86" t="str">
        <f t="shared" si="121"/>
        <v/>
      </c>
      <c r="BR693" s="86" t="str">
        <f t="shared" si="122"/>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838"/>
      <c r="C694" s="1208"/>
      <c r="D694" s="2957" t="s">
        <v>7182</v>
      </c>
      <c r="E694" s="2961">
        <v>30</v>
      </c>
      <c r="F694" s="2956">
        <v>15</v>
      </c>
      <c r="G694" s="2956">
        <v>5</v>
      </c>
      <c r="H694" s="2956">
        <v>5</v>
      </c>
      <c r="I694" s="2956" t="s">
        <v>1501</v>
      </c>
      <c r="J694" s="2956" t="s">
        <v>1459</v>
      </c>
      <c r="K694" s="2947" t="s">
        <v>7459</v>
      </c>
      <c r="L694" s="2956" t="str">
        <f t="shared" si="124"/>
        <v>Distinta</v>
      </c>
      <c r="M694" s="2962">
        <v>8</v>
      </c>
      <c r="N694" s="2962">
        <v>1</v>
      </c>
      <c r="O694" s="2962">
        <v>15</v>
      </c>
      <c r="P694" s="2956"/>
      <c r="Q694" s="2956"/>
      <c r="R694" s="2956" t="s">
        <v>1459</v>
      </c>
      <c r="S694" s="2956" t="s">
        <v>1459</v>
      </c>
      <c r="T694" s="2956" t="s">
        <v>1459</v>
      </c>
      <c r="U694" s="2956"/>
      <c r="V694" s="2947" t="s">
        <v>7222</v>
      </c>
      <c r="W694" s="2947"/>
      <c r="X694" s="2945" t="str">
        <f t="shared" si="104"/>
        <v>Mediana</v>
      </c>
      <c r="Y694" s="2886">
        <f t="shared" si="125"/>
        <v>0</v>
      </c>
      <c r="Z694" s="1326" t="str">
        <f t="shared" si="123"/>
        <v/>
      </c>
      <c r="AB694" s="907" t="s">
        <v>2167</v>
      </c>
      <c r="AC694" s="236"/>
      <c r="AD694" s="1443"/>
      <c r="AE694" s="1331"/>
      <c r="AG694" s="907" t="str">
        <f t="shared" si="105"/>
        <v/>
      </c>
      <c r="AH694" s="86" t="str">
        <f t="shared" si="106"/>
        <v/>
      </c>
      <c r="AI694" s="86" t="str">
        <f t="shared" si="107"/>
        <v>Lujiaodao</v>
      </c>
      <c r="AJ694" s="1327">
        <f>IF(OR($L694=AJ$635,$L694="",$D694=$AL$634),MAX(AJ$637:AJ693)+1,0)</f>
        <v>0</v>
      </c>
      <c r="AK694" s="1328">
        <f>IF(OR($L694=AK$635,$L694="",$D694=$AL$634),MAX(AK$637:AK693)+1,0)</f>
        <v>0</v>
      </c>
      <c r="AL694" s="1329">
        <f>IF(OR($L694=AL$635,$L694="",$D694=$AL$634),MAX(AL$637:AL693)+1,0)</f>
        <v>56</v>
      </c>
      <c r="AM694" s="5867"/>
      <c r="AN694" s="907" t="str">
        <f t="shared" si="108"/>
        <v/>
      </c>
      <c r="AO694" s="86" t="str">
        <f t="shared" si="109"/>
        <v/>
      </c>
      <c r="AP694" s="86" t="str">
        <f t="shared" si="110"/>
        <v>Lujiaodao</v>
      </c>
      <c r="AQ694" s="1327">
        <f>IF(OR($L694=AQ$635,$L694="",$D694=$AS$634),MAX(AQ$637:AQ693)+1,0)</f>
        <v>0</v>
      </c>
      <c r="AR694" s="1328">
        <f>IF(OR($L694=AR$635,$L694="",$D694=$AS$634),MAX(AR$637:AR693)+1,0)</f>
        <v>0</v>
      </c>
      <c r="AS694" s="1329">
        <f>IF(OR($L694=AS$635,$L694="",$D694=$AS$634),MAX(AS$637:AS693)+1,0)</f>
        <v>56</v>
      </c>
      <c r="AT694" s="5867"/>
      <c r="AU694" s="907" t="str">
        <f t="shared" si="111"/>
        <v/>
      </c>
      <c r="AV694" s="86" t="str">
        <f t="shared" si="112"/>
        <v/>
      </c>
      <c r="AW694" s="86" t="str">
        <f t="shared" si="113"/>
        <v>Lujiaodao</v>
      </c>
      <c r="AX694" s="1327">
        <f>IF(OR($L694=AX$635,$L694="",$D694=$AZ$634),MAX(AX$637:AX693)+1,0)</f>
        <v>0</v>
      </c>
      <c r="AY694" s="1328">
        <f>IF(OR($L694=AY$635,$L694="",$D694=$AZ$634),MAX(AY$637:AY693)+1,0)</f>
        <v>0</v>
      </c>
      <c r="AZ694" s="1329">
        <f>IF(OR($L694=AZ$635,$L694="",$D694=$AZ$634),MAX(AZ$637:AZ693)+1,0)</f>
        <v>56</v>
      </c>
      <c r="BA694" s="5867"/>
      <c r="BB694" s="907" t="str">
        <f t="shared" si="114"/>
        <v/>
      </c>
      <c r="BC694" s="86" t="str">
        <f t="shared" si="115"/>
        <v/>
      </c>
      <c r="BD694" s="86" t="str">
        <f t="shared" si="116"/>
        <v>Lujiaodao</v>
      </c>
      <c r="BE694" s="1327">
        <f>IF(OR($L694=BE$635,$L694="",$D694=$BG$634),MAX(BE$637:BE693)+1,0)</f>
        <v>0</v>
      </c>
      <c r="BF694" s="1328">
        <f>IF(OR($L694=BF$635,$L694="",$D694=$BG$634),MAX(BF$637:BF693)+1,0)</f>
        <v>0</v>
      </c>
      <c r="BG694" s="1329">
        <f>IF(OR($L694=BG$635,$L694="",$D694=$BG$634),MAX(BG$637:BG693)+1,0)</f>
        <v>56</v>
      </c>
      <c r="BH694" s="5867"/>
      <c r="BI694" s="907" t="str">
        <f t="shared" si="117"/>
        <v/>
      </c>
      <c r="BJ694" s="86" t="str">
        <f t="shared" si="118"/>
        <v/>
      </c>
      <c r="BK694" s="86" t="str">
        <f t="shared" si="119"/>
        <v>Lujiaodao</v>
      </c>
      <c r="BL694" s="1327">
        <f>IF(OR($L694=BL$635,$L694="",$D694=$BN$634),MAX(BL$637:BL693)+1,0)</f>
        <v>0</v>
      </c>
      <c r="BM694" s="1328">
        <f>IF(OR($L694=BM$635,$L694="",$D694=$BN$634),MAX(BM$637:BM693)+1,0)</f>
        <v>0</v>
      </c>
      <c r="BN694" s="1329">
        <f>IF(OR($L694=BN$635,$L694="",$D694=$BN$634),MAX(BN$637:BN693)+1,0)</f>
        <v>56</v>
      </c>
      <c r="BO694" s="5867"/>
      <c r="BP694" s="907" t="str">
        <f t="shared" si="120"/>
        <v/>
      </c>
      <c r="BQ694" s="86" t="str">
        <f t="shared" si="121"/>
        <v/>
      </c>
      <c r="BR694" s="86" t="str">
        <f t="shared" si="122"/>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838"/>
      <c r="C695" s="1208"/>
      <c r="D695" s="2957" t="s">
        <v>7201</v>
      </c>
      <c r="E695" s="2961">
        <v>25</v>
      </c>
      <c r="F695" s="2956">
        <v>20</v>
      </c>
      <c r="G695" s="2956">
        <v>5</v>
      </c>
      <c r="H695" s="2956">
        <v>5</v>
      </c>
      <c r="I695" s="2956" t="s">
        <v>1555</v>
      </c>
      <c r="J695" s="2956" t="s">
        <v>1459</v>
      </c>
      <c r="K695" s="2947" t="s">
        <v>7460</v>
      </c>
      <c r="L695" s="2956" t="str">
        <f t="shared" si="124"/>
        <v>Distinta</v>
      </c>
      <c r="M695" s="2962">
        <v>12</v>
      </c>
      <c r="N695" s="2962">
        <v>5</v>
      </c>
      <c r="O695" s="2962">
        <v>15</v>
      </c>
      <c r="P695" s="2956"/>
      <c r="Q695" s="2956"/>
      <c r="R695" s="2956" t="s">
        <v>1459</v>
      </c>
      <c r="S695" s="2956" t="s">
        <v>1459</v>
      </c>
      <c r="T695" s="2956" t="s">
        <v>1459</v>
      </c>
      <c r="U695" s="2956"/>
      <c r="V695" s="2947" t="s">
        <v>7223</v>
      </c>
      <c r="W695" s="2947"/>
      <c r="X695" s="2945" t="str">
        <f t="shared" si="104"/>
        <v>Pequeña</v>
      </c>
      <c r="Y695" s="2886">
        <f t="shared" si="125"/>
        <v>0</v>
      </c>
      <c r="Z695" s="1326" t="str">
        <f t="shared" si="123"/>
        <v/>
      </c>
      <c r="AB695" s="907" t="s">
        <v>2168</v>
      </c>
      <c r="AC695" s="236"/>
      <c r="AD695" s="1443"/>
      <c r="AE695" s="1331"/>
      <c r="AG695" s="907" t="str">
        <f t="shared" si="105"/>
        <v/>
      </c>
      <c r="AH695" s="86" t="str">
        <f t="shared" si="106"/>
        <v/>
      </c>
      <c r="AI695" s="86" t="str">
        <f t="shared" si="107"/>
        <v>Mangual</v>
      </c>
      <c r="AJ695" s="1327">
        <f>IF(OR($L695=AJ$635,$L695="",$D695=$AL$634),MAX(AJ$637:AJ694)+1,0)</f>
        <v>0</v>
      </c>
      <c r="AK695" s="1328">
        <f>IF(OR($L695=AK$635,$L695="",$D695=$AL$634),MAX(AK$637:AK694)+1,0)</f>
        <v>0</v>
      </c>
      <c r="AL695" s="1329">
        <f>IF(OR($L695=AL$635,$L695="",$D695=$AL$634),MAX(AL$637:AL694)+1,0)</f>
        <v>57</v>
      </c>
      <c r="AM695" s="5867"/>
      <c r="AN695" s="907" t="str">
        <f t="shared" si="108"/>
        <v/>
      </c>
      <c r="AO695" s="86" t="str">
        <f t="shared" si="109"/>
        <v/>
      </c>
      <c r="AP695" s="86" t="str">
        <f t="shared" si="110"/>
        <v>Mangual</v>
      </c>
      <c r="AQ695" s="1327">
        <f>IF(OR($L695=AQ$635,$L695="",$D695=$AS$634),MAX(AQ$637:AQ694)+1,0)</f>
        <v>0</v>
      </c>
      <c r="AR695" s="1328">
        <f>IF(OR($L695=AR$635,$L695="",$D695=$AS$634),MAX(AR$637:AR694)+1,0)</f>
        <v>0</v>
      </c>
      <c r="AS695" s="1329">
        <f>IF(OR($L695=AS$635,$L695="",$D695=$AS$634),MAX(AS$637:AS694)+1,0)</f>
        <v>57</v>
      </c>
      <c r="AT695" s="5867"/>
      <c r="AU695" s="907" t="str">
        <f t="shared" si="111"/>
        <v/>
      </c>
      <c r="AV695" s="86" t="str">
        <f t="shared" si="112"/>
        <v/>
      </c>
      <c r="AW695" s="86" t="str">
        <f t="shared" si="113"/>
        <v>Mangual</v>
      </c>
      <c r="AX695" s="1327">
        <f>IF(OR($L695=AX$635,$L695="",$D695=$AZ$634),MAX(AX$637:AX694)+1,0)</f>
        <v>0</v>
      </c>
      <c r="AY695" s="1328">
        <f>IF(OR($L695=AY$635,$L695="",$D695=$AZ$634),MAX(AY$637:AY694)+1,0)</f>
        <v>0</v>
      </c>
      <c r="AZ695" s="1329">
        <f>IF(OR($L695=AZ$635,$L695="",$D695=$AZ$634),MAX(AZ$637:AZ694)+1,0)</f>
        <v>57</v>
      </c>
      <c r="BA695" s="5867"/>
      <c r="BB695" s="907" t="str">
        <f t="shared" si="114"/>
        <v/>
      </c>
      <c r="BC695" s="86" t="str">
        <f t="shared" si="115"/>
        <v/>
      </c>
      <c r="BD695" s="86" t="str">
        <f t="shared" si="116"/>
        <v>Mangual</v>
      </c>
      <c r="BE695" s="1327">
        <f>IF(OR($L695=BE$635,$L695="",$D695=$BG$634),MAX(BE$637:BE694)+1,0)</f>
        <v>0</v>
      </c>
      <c r="BF695" s="1328">
        <f>IF(OR($L695=BF$635,$L695="",$D695=$BG$634),MAX(BF$637:BF694)+1,0)</f>
        <v>0</v>
      </c>
      <c r="BG695" s="1329">
        <f>IF(OR($L695=BG$635,$L695="",$D695=$BG$634),MAX(BG$637:BG694)+1,0)</f>
        <v>57</v>
      </c>
      <c r="BH695" s="5867"/>
      <c r="BI695" s="907" t="str">
        <f t="shared" si="117"/>
        <v/>
      </c>
      <c r="BJ695" s="86" t="str">
        <f t="shared" si="118"/>
        <v/>
      </c>
      <c r="BK695" s="86" t="str">
        <f t="shared" si="119"/>
        <v>Mangual</v>
      </c>
      <c r="BL695" s="1327">
        <f>IF(OR($L695=BL$635,$L695="",$D695=$BN$634),MAX(BL$637:BL694)+1,0)</f>
        <v>0</v>
      </c>
      <c r="BM695" s="1328">
        <f>IF(OR($L695=BM$635,$L695="",$D695=$BN$634),MAX(BM$637:BM694)+1,0)</f>
        <v>0</v>
      </c>
      <c r="BN695" s="1329">
        <f>IF(OR($L695=BN$635,$L695="",$D695=$BN$634),MAX(BN$637:BN694)+1,0)</f>
        <v>57</v>
      </c>
      <c r="BO695" s="5867"/>
      <c r="BP695" s="907" t="str">
        <f t="shared" si="120"/>
        <v/>
      </c>
      <c r="BQ695" s="86" t="str">
        <f t="shared" si="121"/>
        <v/>
      </c>
      <c r="BR695" s="86" t="str">
        <f t="shared" si="122"/>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838"/>
      <c r="C696" s="1208"/>
      <c r="D696" s="2957" t="s">
        <v>2163</v>
      </c>
      <c r="E696" s="2961">
        <v>80</v>
      </c>
      <c r="F696" s="2956">
        <v>-50</v>
      </c>
      <c r="G696" s="2956">
        <v>10</v>
      </c>
      <c r="H696" s="2956">
        <v>8</v>
      </c>
      <c r="I696" s="2956" t="s">
        <v>1501</v>
      </c>
      <c r="J696" s="2956" t="s">
        <v>1459</v>
      </c>
      <c r="K696" s="2947" t="s">
        <v>7468</v>
      </c>
      <c r="L696" s="2956" t="str">
        <f t="shared" si="124"/>
        <v>Distinta</v>
      </c>
      <c r="M696" s="2962">
        <v>14</v>
      </c>
      <c r="N696" s="2962">
        <v>6</v>
      </c>
      <c r="O696" s="2962">
        <v>20</v>
      </c>
      <c r="P696" s="2956"/>
      <c r="Q696" s="2956"/>
      <c r="R696" s="2956" t="s">
        <v>1459</v>
      </c>
      <c r="S696" s="2956" t="s">
        <v>1459</v>
      </c>
      <c r="T696" s="2956" t="s">
        <v>1459</v>
      </c>
      <c r="U696" s="2956"/>
      <c r="V696" s="2947" t="s">
        <v>2164</v>
      </c>
      <c r="W696" s="2947"/>
      <c r="X696" s="2945" t="str">
        <f t="shared" si="104"/>
        <v>Grande</v>
      </c>
      <c r="Y696" s="2886">
        <f t="shared" si="125"/>
        <v>0</v>
      </c>
      <c r="Z696" s="1326" t="str">
        <f t="shared" si="123"/>
        <v/>
      </c>
      <c r="AB696" s="907" t="s">
        <v>7202</v>
      </c>
      <c r="AC696" s="236"/>
      <c r="AD696" s="1443"/>
      <c r="AE696" s="1331"/>
      <c r="AG696" s="907" t="str">
        <f t="shared" si="105"/>
        <v/>
      </c>
      <c r="AH696" s="86" t="str">
        <f t="shared" si="106"/>
        <v/>
      </c>
      <c r="AI696" s="86" t="str">
        <f t="shared" si="107"/>
        <v>Martillo de guerra</v>
      </c>
      <c r="AJ696" s="1327">
        <f>IF(OR($L696=AJ$635,$L696="",$D696=$AL$634),MAX(AJ$637:AJ695)+1,0)</f>
        <v>0</v>
      </c>
      <c r="AK696" s="1328">
        <f>IF(OR($L696=AK$635,$L696="",$D696=$AL$634),MAX(AK$637:AK695)+1,0)</f>
        <v>0</v>
      </c>
      <c r="AL696" s="1329">
        <f>IF(OR($L696=AL$635,$L696="",$D696=$AL$634),MAX(AL$637:AL695)+1,0)</f>
        <v>58</v>
      </c>
      <c r="AM696" s="5867"/>
      <c r="AN696" s="907" t="str">
        <f t="shared" si="108"/>
        <v/>
      </c>
      <c r="AO696" s="86" t="str">
        <f t="shared" si="109"/>
        <v/>
      </c>
      <c r="AP696" s="86" t="str">
        <f t="shared" si="110"/>
        <v>Martillo de guerra</v>
      </c>
      <c r="AQ696" s="1327">
        <f>IF(OR($L696=AQ$635,$L696="",$D696=$AS$634),MAX(AQ$637:AQ695)+1,0)</f>
        <v>0</v>
      </c>
      <c r="AR696" s="1328">
        <f>IF(OR($L696=AR$635,$L696="",$D696=$AS$634),MAX(AR$637:AR695)+1,0)</f>
        <v>0</v>
      </c>
      <c r="AS696" s="1329">
        <f>IF(OR($L696=AS$635,$L696="",$D696=$AS$634),MAX(AS$637:AS695)+1,0)</f>
        <v>58</v>
      </c>
      <c r="AT696" s="5867"/>
      <c r="AU696" s="907" t="str">
        <f t="shared" si="111"/>
        <v/>
      </c>
      <c r="AV696" s="86" t="str">
        <f t="shared" si="112"/>
        <v/>
      </c>
      <c r="AW696" s="86" t="str">
        <f t="shared" si="113"/>
        <v>Martillo de guerra</v>
      </c>
      <c r="AX696" s="1327">
        <f>IF(OR($L696=AX$635,$L696="",$D696=$AZ$634),MAX(AX$637:AX695)+1,0)</f>
        <v>0</v>
      </c>
      <c r="AY696" s="1328">
        <f>IF(OR($L696=AY$635,$L696="",$D696=$AZ$634),MAX(AY$637:AY695)+1,0)</f>
        <v>0</v>
      </c>
      <c r="AZ696" s="1329">
        <f>IF(OR($L696=AZ$635,$L696="",$D696=$AZ$634),MAX(AZ$637:AZ695)+1,0)</f>
        <v>58</v>
      </c>
      <c r="BA696" s="5867"/>
      <c r="BB696" s="907" t="str">
        <f t="shared" si="114"/>
        <v/>
      </c>
      <c r="BC696" s="86" t="str">
        <f t="shared" si="115"/>
        <v/>
      </c>
      <c r="BD696" s="86" t="str">
        <f t="shared" si="116"/>
        <v>Martillo de guerra</v>
      </c>
      <c r="BE696" s="1327">
        <f>IF(OR($L696=BE$635,$L696="",$D696=$BG$634),MAX(BE$637:BE695)+1,0)</f>
        <v>0</v>
      </c>
      <c r="BF696" s="1328">
        <f>IF(OR($L696=BF$635,$L696="",$D696=$BG$634),MAX(BF$637:BF695)+1,0)</f>
        <v>0</v>
      </c>
      <c r="BG696" s="1329">
        <f>IF(OR($L696=BG$635,$L696="",$D696=$BG$634),MAX(BG$637:BG695)+1,0)</f>
        <v>58</v>
      </c>
      <c r="BH696" s="5867"/>
      <c r="BI696" s="907" t="str">
        <f t="shared" si="117"/>
        <v/>
      </c>
      <c r="BJ696" s="86" t="str">
        <f t="shared" si="118"/>
        <v/>
      </c>
      <c r="BK696" s="86" t="str">
        <f t="shared" si="119"/>
        <v>Martillo de guerra</v>
      </c>
      <c r="BL696" s="1327">
        <f>IF(OR($L696=BL$635,$L696="",$D696=$BN$634),MAX(BL$637:BL695)+1,0)</f>
        <v>0</v>
      </c>
      <c r="BM696" s="1328">
        <f>IF(OR($L696=BM$635,$L696="",$D696=$BN$634),MAX(BM$637:BM695)+1,0)</f>
        <v>0</v>
      </c>
      <c r="BN696" s="1329">
        <f>IF(OR($L696=BN$635,$L696="",$D696=$BN$634),MAX(BN$637:BN695)+1,0)</f>
        <v>58</v>
      </c>
      <c r="BO696" s="5867"/>
      <c r="BP696" s="907" t="str">
        <f t="shared" si="120"/>
        <v/>
      </c>
      <c r="BQ696" s="86" t="str">
        <f t="shared" si="121"/>
        <v/>
      </c>
      <c r="BR696" s="86" t="str">
        <f t="shared" si="122"/>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838"/>
      <c r="C697" s="1208"/>
      <c r="D697" s="2957" t="s">
        <v>2165</v>
      </c>
      <c r="E697" s="2961">
        <v>50</v>
      </c>
      <c r="F697" s="2956">
        <v>-5</v>
      </c>
      <c r="G697" s="2956">
        <v>6</v>
      </c>
      <c r="H697" s="2956">
        <v>6</v>
      </c>
      <c r="I697" s="2956" t="s">
        <v>1501</v>
      </c>
      <c r="J697" s="2956" t="s">
        <v>1459</v>
      </c>
      <c r="K697" s="2947" t="s">
        <v>7461</v>
      </c>
      <c r="L697" s="2956" t="str">
        <f t="shared" si="124"/>
        <v>Distinta</v>
      </c>
      <c r="M697" s="2962">
        <v>15</v>
      </c>
      <c r="N697" s="2962">
        <v>4</v>
      </c>
      <c r="O697" s="2962">
        <v>15</v>
      </c>
      <c r="P697" s="2956"/>
      <c r="Q697" s="2956"/>
      <c r="R697" s="2956" t="s">
        <v>1459</v>
      </c>
      <c r="S697" s="2956" t="s">
        <v>1459</v>
      </c>
      <c r="T697" s="2956" t="s">
        <v>1459</v>
      </c>
      <c r="U697" s="2956"/>
      <c r="V697" s="2947" t="s">
        <v>1459</v>
      </c>
      <c r="W697" s="2947"/>
      <c r="X697" s="2945" t="str">
        <f t="shared" si="104"/>
        <v>Mediana</v>
      </c>
      <c r="Y697" s="2886">
        <f t="shared" si="125"/>
        <v>0</v>
      </c>
      <c r="Z697" s="1326" t="str">
        <f t="shared" si="123"/>
        <v/>
      </c>
      <c r="AB697" s="907" t="s">
        <v>7186</v>
      </c>
      <c r="AC697" s="236"/>
      <c r="AD697" s="1443"/>
      <c r="AE697" s="1331"/>
      <c r="AG697" s="907" t="str">
        <f t="shared" si="105"/>
        <v/>
      </c>
      <c r="AH697" s="86" t="str">
        <f t="shared" si="106"/>
        <v/>
      </c>
      <c r="AI697" s="86" t="str">
        <f t="shared" si="107"/>
        <v>Mayal</v>
      </c>
      <c r="AJ697" s="1327">
        <f>IF(OR($L697=AJ$635,$L697="",$D697=$AL$634),MAX(AJ$637:AJ696)+1,0)</f>
        <v>0</v>
      </c>
      <c r="AK697" s="1328">
        <f>IF(OR($L697=AK$635,$L697="",$D697=$AL$634),MAX(AK$637:AK696)+1,0)</f>
        <v>0</v>
      </c>
      <c r="AL697" s="1329">
        <f>IF(OR($L697=AL$635,$L697="",$D697=$AL$634),MAX(AL$637:AL696)+1,0)</f>
        <v>59</v>
      </c>
      <c r="AM697" s="5867"/>
      <c r="AN697" s="907" t="str">
        <f t="shared" si="108"/>
        <v/>
      </c>
      <c r="AO697" s="86" t="str">
        <f t="shared" si="109"/>
        <v/>
      </c>
      <c r="AP697" s="86" t="str">
        <f t="shared" si="110"/>
        <v>Mayal</v>
      </c>
      <c r="AQ697" s="1327">
        <f>IF(OR($L697=AQ$635,$L697="",$D697=$AS$634),MAX(AQ$637:AQ696)+1,0)</f>
        <v>0</v>
      </c>
      <c r="AR697" s="1328">
        <f>IF(OR($L697=AR$635,$L697="",$D697=$AS$634),MAX(AR$637:AR696)+1,0)</f>
        <v>0</v>
      </c>
      <c r="AS697" s="1329">
        <f>IF(OR($L697=AS$635,$L697="",$D697=$AS$634),MAX(AS$637:AS696)+1,0)</f>
        <v>59</v>
      </c>
      <c r="AT697" s="5867"/>
      <c r="AU697" s="907" t="str">
        <f t="shared" si="111"/>
        <v/>
      </c>
      <c r="AV697" s="86" t="str">
        <f t="shared" si="112"/>
        <v/>
      </c>
      <c r="AW697" s="86" t="str">
        <f t="shared" si="113"/>
        <v>Mayal</v>
      </c>
      <c r="AX697" s="1327">
        <f>IF(OR($L697=AX$635,$L697="",$D697=$AZ$634),MAX(AX$637:AX696)+1,0)</f>
        <v>0</v>
      </c>
      <c r="AY697" s="1328">
        <f>IF(OR($L697=AY$635,$L697="",$D697=$AZ$634),MAX(AY$637:AY696)+1,0)</f>
        <v>0</v>
      </c>
      <c r="AZ697" s="1329">
        <f>IF(OR($L697=AZ$635,$L697="",$D697=$AZ$634),MAX(AZ$637:AZ696)+1,0)</f>
        <v>59</v>
      </c>
      <c r="BA697" s="5867"/>
      <c r="BB697" s="907" t="str">
        <f t="shared" si="114"/>
        <v/>
      </c>
      <c r="BC697" s="86" t="str">
        <f t="shared" si="115"/>
        <v/>
      </c>
      <c r="BD697" s="86" t="str">
        <f t="shared" si="116"/>
        <v>Mayal</v>
      </c>
      <c r="BE697" s="1327">
        <f>IF(OR($L697=BE$635,$L697="",$D697=$BG$634),MAX(BE$637:BE696)+1,0)</f>
        <v>0</v>
      </c>
      <c r="BF697" s="1328">
        <f>IF(OR($L697=BF$635,$L697="",$D697=$BG$634),MAX(BF$637:BF696)+1,0)</f>
        <v>0</v>
      </c>
      <c r="BG697" s="1329">
        <f>IF(OR($L697=BG$635,$L697="",$D697=$BG$634),MAX(BG$637:BG696)+1,0)</f>
        <v>59</v>
      </c>
      <c r="BH697" s="5867"/>
      <c r="BI697" s="907" t="str">
        <f t="shared" si="117"/>
        <v/>
      </c>
      <c r="BJ697" s="86" t="str">
        <f t="shared" si="118"/>
        <v/>
      </c>
      <c r="BK697" s="86" t="str">
        <f t="shared" si="119"/>
        <v>Mayal</v>
      </c>
      <c r="BL697" s="1327">
        <f>IF(OR($L697=BL$635,$L697="",$D697=$BN$634),MAX(BL$637:BL696)+1,0)</f>
        <v>0</v>
      </c>
      <c r="BM697" s="1328">
        <f>IF(OR($L697=BM$635,$L697="",$D697=$BN$634),MAX(BM$637:BM696)+1,0)</f>
        <v>0</v>
      </c>
      <c r="BN697" s="1329">
        <f>IF(OR($L697=BN$635,$L697="",$D697=$BN$634),MAX(BN$637:BN696)+1,0)</f>
        <v>59</v>
      </c>
      <c r="BO697" s="5867"/>
      <c r="BP697" s="907" t="str">
        <f t="shared" si="120"/>
        <v/>
      </c>
      <c r="BQ697" s="86" t="str">
        <f t="shared" si="121"/>
        <v/>
      </c>
      <c r="BR697" s="86" t="str">
        <f t="shared" si="122"/>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838"/>
      <c r="C698" s="1208"/>
      <c r="D698" s="2957" t="s">
        <v>2166</v>
      </c>
      <c r="E698" s="2961">
        <v>40</v>
      </c>
      <c r="F698" s="2956">
        <v>0</v>
      </c>
      <c r="G698" s="2956">
        <v>6</v>
      </c>
      <c r="H698" s="2956">
        <v>6</v>
      </c>
      <c r="I698" s="2956" t="s">
        <v>1501</v>
      </c>
      <c r="J698" s="2956" t="s">
        <v>1459</v>
      </c>
      <c r="K698" s="2947" t="s">
        <v>7469</v>
      </c>
      <c r="L698" s="2956" t="str">
        <f t="shared" si="124"/>
        <v>Distinta</v>
      </c>
      <c r="M698" s="2962">
        <v>13</v>
      </c>
      <c r="N698" s="2962">
        <v>4</v>
      </c>
      <c r="O698" s="2962">
        <v>15</v>
      </c>
      <c r="P698" s="2956"/>
      <c r="Q698" s="2956"/>
      <c r="R698" s="2956" t="s">
        <v>1459</v>
      </c>
      <c r="S698" s="2956" t="s">
        <v>1459</v>
      </c>
      <c r="T698" s="2956" t="s">
        <v>1459</v>
      </c>
      <c r="U698" s="2956"/>
      <c r="V698" s="2947" t="s">
        <v>2164</v>
      </c>
      <c r="W698" s="2947"/>
      <c r="X698" s="2945" t="str">
        <f t="shared" si="104"/>
        <v>Mediana</v>
      </c>
      <c r="Y698" s="2886">
        <f t="shared" si="125"/>
        <v>0</v>
      </c>
      <c r="Z698" s="1326" t="str">
        <f t="shared" si="123"/>
        <v/>
      </c>
      <c r="AB698" s="907" t="s">
        <v>2169</v>
      </c>
      <c r="AC698" s="236"/>
      <c r="AD698" s="1443"/>
      <c r="AE698" s="1331"/>
      <c r="AG698" s="907" t="str">
        <f t="shared" si="105"/>
        <v/>
      </c>
      <c r="AH698" s="86" t="str">
        <f t="shared" si="106"/>
        <v/>
      </c>
      <c r="AI698" s="86" t="str">
        <f t="shared" si="107"/>
        <v>Maza Barra</v>
      </c>
      <c r="AJ698" s="1327">
        <f>IF(OR($L698=AJ$635,$L698="",$D698=$AL$634),MAX(AJ$637:AJ697)+1,0)</f>
        <v>0</v>
      </c>
      <c r="AK698" s="1328">
        <f>IF(OR($L698=AK$635,$L698="",$D698=$AL$634),MAX(AK$637:AK697)+1,0)</f>
        <v>0</v>
      </c>
      <c r="AL698" s="1329">
        <f>IF(OR($L698=AL$635,$L698="",$D698=$AL$634),MAX(AL$637:AL697)+1,0)</f>
        <v>60</v>
      </c>
      <c r="AM698" s="5867"/>
      <c r="AN698" s="907" t="str">
        <f t="shared" si="108"/>
        <v/>
      </c>
      <c r="AO698" s="86" t="str">
        <f t="shared" si="109"/>
        <v/>
      </c>
      <c r="AP698" s="86" t="str">
        <f t="shared" si="110"/>
        <v>Maza Barra</v>
      </c>
      <c r="AQ698" s="1327">
        <f>IF(OR($L698=AQ$635,$L698="",$D698=$AS$634),MAX(AQ$637:AQ697)+1,0)</f>
        <v>0</v>
      </c>
      <c r="AR698" s="1328">
        <f>IF(OR($L698=AR$635,$L698="",$D698=$AS$634),MAX(AR$637:AR697)+1,0)</f>
        <v>0</v>
      </c>
      <c r="AS698" s="1329">
        <f>IF(OR($L698=AS$635,$L698="",$D698=$AS$634),MAX(AS$637:AS697)+1,0)</f>
        <v>60</v>
      </c>
      <c r="AT698" s="5867"/>
      <c r="AU698" s="907" t="str">
        <f t="shared" si="111"/>
        <v/>
      </c>
      <c r="AV698" s="86" t="str">
        <f t="shared" si="112"/>
        <v/>
      </c>
      <c r="AW698" s="86" t="str">
        <f t="shared" si="113"/>
        <v>Maza Barra</v>
      </c>
      <c r="AX698" s="1327">
        <f>IF(OR($L698=AX$635,$L698="",$D698=$AZ$634),MAX(AX$637:AX697)+1,0)</f>
        <v>0</v>
      </c>
      <c r="AY698" s="1328">
        <f>IF(OR($L698=AY$635,$L698="",$D698=$AZ$634),MAX(AY$637:AY697)+1,0)</f>
        <v>0</v>
      </c>
      <c r="AZ698" s="1329">
        <f>IF(OR($L698=AZ$635,$L698="",$D698=$AZ$634),MAX(AZ$637:AZ697)+1,0)</f>
        <v>60</v>
      </c>
      <c r="BA698" s="5867"/>
      <c r="BB698" s="907" t="str">
        <f t="shared" si="114"/>
        <v/>
      </c>
      <c r="BC698" s="86" t="str">
        <f t="shared" si="115"/>
        <v/>
      </c>
      <c r="BD698" s="86" t="str">
        <f t="shared" si="116"/>
        <v>Maza Barra</v>
      </c>
      <c r="BE698" s="1327">
        <f>IF(OR($L698=BE$635,$L698="",$D698=$BG$634),MAX(BE$637:BE697)+1,0)</f>
        <v>0</v>
      </c>
      <c r="BF698" s="1328">
        <f>IF(OR($L698=BF$635,$L698="",$D698=$BG$634),MAX(BF$637:BF697)+1,0)</f>
        <v>0</v>
      </c>
      <c r="BG698" s="1329">
        <f>IF(OR($L698=BG$635,$L698="",$D698=$BG$634),MAX(BG$637:BG697)+1,0)</f>
        <v>60</v>
      </c>
      <c r="BH698" s="5867"/>
      <c r="BI698" s="907" t="str">
        <f t="shared" si="117"/>
        <v/>
      </c>
      <c r="BJ698" s="86" t="str">
        <f t="shared" si="118"/>
        <v/>
      </c>
      <c r="BK698" s="86" t="str">
        <f t="shared" si="119"/>
        <v>Maza Barra</v>
      </c>
      <c r="BL698" s="1327">
        <f>IF(OR($L698=BL$635,$L698="",$D698=$BN$634),MAX(BL$637:BL697)+1,0)</f>
        <v>0</v>
      </c>
      <c r="BM698" s="1328">
        <f>IF(OR($L698=BM$635,$L698="",$D698=$BN$634),MAX(BM$637:BM697)+1,0)</f>
        <v>0</v>
      </c>
      <c r="BN698" s="1329">
        <f>IF(OR($L698=BN$635,$L698="",$D698=$BN$634),MAX(BN$637:BN697)+1,0)</f>
        <v>60</v>
      </c>
      <c r="BO698" s="5867"/>
      <c r="BP698" s="907" t="str">
        <f t="shared" si="120"/>
        <v/>
      </c>
      <c r="BQ698" s="86" t="str">
        <f t="shared" si="121"/>
        <v/>
      </c>
      <c r="BR698" s="86" t="str">
        <f t="shared" si="122"/>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838"/>
      <c r="C699" s="1208"/>
      <c r="D699" s="2957" t="s">
        <v>7183</v>
      </c>
      <c r="E699" s="2961">
        <v>50</v>
      </c>
      <c r="F699" s="2956">
        <v>0</v>
      </c>
      <c r="G699" s="2956">
        <v>7</v>
      </c>
      <c r="H699" s="2956">
        <v>6</v>
      </c>
      <c r="I699" s="2956" t="s">
        <v>1501</v>
      </c>
      <c r="J699" s="2956" t="s">
        <v>1459</v>
      </c>
      <c r="K699" s="2947" t="s">
        <v>7461</v>
      </c>
      <c r="L699" s="2956" t="str">
        <f t="shared" si="124"/>
        <v>Distinta</v>
      </c>
      <c r="M699" s="2962">
        <v>14</v>
      </c>
      <c r="N699" s="2962">
        <v>4</v>
      </c>
      <c r="O699" s="2962">
        <v>20</v>
      </c>
      <c r="P699" s="2956"/>
      <c r="Q699" s="2956"/>
      <c r="R699" s="2956" t="s">
        <v>1459</v>
      </c>
      <c r="S699" s="2956" t="s">
        <v>1459</v>
      </c>
      <c r="T699" s="2956" t="s">
        <v>1459</v>
      </c>
      <c r="U699" s="2956"/>
      <c r="V699" s="2947" t="s">
        <v>2137</v>
      </c>
      <c r="W699" s="2947"/>
      <c r="X699" s="2945" t="str">
        <f t="shared" si="104"/>
        <v>Mediana</v>
      </c>
      <c r="Y699" s="2886">
        <f t="shared" si="125"/>
        <v>0</v>
      </c>
      <c r="Z699" s="1326" t="str">
        <f t="shared" si="123"/>
        <v/>
      </c>
      <c r="AB699" s="907" t="s">
        <v>2170</v>
      </c>
      <c r="AC699" s="236"/>
      <c r="AD699" s="1443"/>
      <c r="AE699" s="1331"/>
      <c r="AG699" s="907" t="str">
        <f t="shared" si="105"/>
        <v/>
      </c>
      <c r="AH699" s="86" t="str">
        <f t="shared" si="106"/>
        <v/>
      </c>
      <c r="AI699" s="86" t="str">
        <f t="shared" si="107"/>
        <v>Maza ligera</v>
      </c>
      <c r="AJ699" s="1327">
        <f>IF(OR($L699=AJ$635,$L699="",$D699=$AL$634),MAX(AJ$637:AJ698)+1,0)</f>
        <v>0</v>
      </c>
      <c r="AK699" s="1328">
        <f>IF(OR($L699=AK$635,$L699="",$D699=$AL$634),MAX(AK$637:AK698)+1,0)</f>
        <v>0</v>
      </c>
      <c r="AL699" s="1329">
        <f>IF(OR($L699=AL$635,$L699="",$D699=$AL$634),MAX(AL$637:AL698)+1,0)</f>
        <v>61</v>
      </c>
      <c r="AM699" s="5867"/>
      <c r="AN699" s="907" t="str">
        <f t="shared" si="108"/>
        <v/>
      </c>
      <c r="AO699" s="86" t="str">
        <f t="shared" si="109"/>
        <v/>
      </c>
      <c r="AP699" s="86" t="str">
        <f t="shared" si="110"/>
        <v>Maza ligera</v>
      </c>
      <c r="AQ699" s="1327">
        <f>IF(OR($L699=AQ$635,$L699="",$D699=$AS$634),MAX(AQ$637:AQ698)+1,0)</f>
        <v>0</v>
      </c>
      <c r="AR699" s="1328">
        <f>IF(OR($L699=AR$635,$L699="",$D699=$AS$634),MAX(AR$637:AR698)+1,0)</f>
        <v>0</v>
      </c>
      <c r="AS699" s="1329">
        <f>IF(OR($L699=AS$635,$L699="",$D699=$AS$634),MAX(AS$637:AS698)+1,0)</f>
        <v>61</v>
      </c>
      <c r="AT699" s="5867"/>
      <c r="AU699" s="907" t="str">
        <f t="shared" si="111"/>
        <v/>
      </c>
      <c r="AV699" s="86" t="str">
        <f t="shared" si="112"/>
        <v/>
      </c>
      <c r="AW699" s="86" t="str">
        <f t="shared" si="113"/>
        <v>Maza ligera</v>
      </c>
      <c r="AX699" s="1327">
        <f>IF(OR($L699=AX$635,$L699="",$D699=$AZ$634),MAX(AX$637:AX698)+1,0)</f>
        <v>0</v>
      </c>
      <c r="AY699" s="1328">
        <f>IF(OR($L699=AY$635,$L699="",$D699=$AZ$634),MAX(AY$637:AY698)+1,0)</f>
        <v>0</v>
      </c>
      <c r="AZ699" s="1329">
        <f>IF(OR($L699=AZ$635,$L699="",$D699=$AZ$634),MAX(AZ$637:AZ698)+1,0)</f>
        <v>61</v>
      </c>
      <c r="BA699" s="5867"/>
      <c r="BB699" s="907" t="str">
        <f t="shared" si="114"/>
        <v/>
      </c>
      <c r="BC699" s="86" t="str">
        <f t="shared" si="115"/>
        <v/>
      </c>
      <c r="BD699" s="86" t="str">
        <f t="shared" si="116"/>
        <v>Maza ligera</v>
      </c>
      <c r="BE699" s="1327">
        <f>IF(OR($L699=BE$635,$L699="",$D699=$BG$634),MAX(BE$637:BE698)+1,0)</f>
        <v>0</v>
      </c>
      <c r="BF699" s="1328">
        <f>IF(OR($L699=BF$635,$L699="",$D699=$BG$634),MAX(BF$637:BF698)+1,0)</f>
        <v>0</v>
      </c>
      <c r="BG699" s="1329">
        <f>IF(OR($L699=BG$635,$L699="",$D699=$BG$634),MAX(BG$637:BG698)+1,0)</f>
        <v>61</v>
      </c>
      <c r="BH699" s="5867"/>
      <c r="BI699" s="907" t="str">
        <f t="shared" si="117"/>
        <v/>
      </c>
      <c r="BJ699" s="86" t="str">
        <f t="shared" si="118"/>
        <v/>
      </c>
      <c r="BK699" s="86" t="str">
        <f t="shared" si="119"/>
        <v>Maza ligera</v>
      </c>
      <c r="BL699" s="1327">
        <f>IF(OR($L699=BL$635,$L699="",$D699=$BN$634),MAX(BL$637:BL698)+1,0)</f>
        <v>0</v>
      </c>
      <c r="BM699" s="1328">
        <f>IF(OR($L699=BM$635,$L699="",$D699=$BN$634),MAX(BM$637:BM698)+1,0)</f>
        <v>0</v>
      </c>
      <c r="BN699" s="1329">
        <f>IF(OR($L699=BN$635,$L699="",$D699=$BN$634),MAX(BN$637:BN698)+1,0)</f>
        <v>61</v>
      </c>
      <c r="BO699" s="5867"/>
      <c r="BP699" s="907" t="str">
        <f t="shared" si="120"/>
        <v/>
      </c>
      <c r="BQ699" s="86" t="str">
        <f t="shared" si="121"/>
        <v/>
      </c>
      <c r="BR699" s="86" t="str">
        <f t="shared" si="122"/>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838"/>
      <c r="C700" s="1208"/>
      <c r="D700" s="2957" t="s">
        <v>2167</v>
      </c>
      <c r="E700" s="2961">
        <v>40</v>
      </c>
      <c r="F700" s="2956">
        <v>0</v>
      </c>
      <c r="G700" s="2956">
        <v>6</v>
      </c>
      <c r="H700" s="2956">
        <v>6</v>
      </c>
      <c r="I700" s="2956" t="s">
        <v>1501</v>
      </c>
      <c r="J700" s="2956" t="s">
        <v>1459</v>
      </c>
      <c r="K700" s="2947" t="s">
        <v>7461</v>
      </c>
      <c r="L700" s="2956" t="str">
        <f t="shared" si="124"/>
        <v>Distinta</v>
      </c>
      <c r="M700" s="2962">
        <v>14</v>
      </c>
      <c r="N700" s="2962">
        <v>4</v>
      </c>
      <c r="O700" s="2962">
        <v>15</v>
      </c>
      <c r="P700" s="2956"/>
      <c r="Q700" s="2956"/>
      <c r="R700" s="2956" t="s">
        <v>1459</v>
      </c>
      <c r="S700" s="2956" t="s">
        <v>1459</v>
      </c>
      <c r="T700" s="2956" t="s">
        <v>1459</v>
      </c>
      <c r="U700" s="2956"/>
      <c r="V700" s="2947" t="s">
        <v>1459</v>
      </c>
      <c r="W700" s="2947"/>
      <c r="X700" s="2945" t="str">
        <f t="shared" si="104"/>
        <v>Mediana</v>
      </c>
      <c r="Y700" s="2886">
        <f t="shared" si="125"/>
        <v>0</v>
      </c>
      <c r="Z700" s="1326" t="str">
        <f t="shared" si="123"/>
        <v/>
      </c>
      <c r="AB700" s="907" t="s">
        <v>7203</v>
      </c>
      <c r="AC700" s="236"/>
      <c r="AD700" s="1443"/>
      <c r="AE700" s="1331"/>
      <c r="AG700" s="907" t="str">
        <f t="shared" si="105"/>
        <v/>
      </c>
      <c r="AH700" s="86" t="str">
        <f t="shared" si="106"/>
        <v/>
      </c>
      <c r="AI700" s="86" t="str">
        <f t="shared" si="107"/>
        <v>Maza pesada</v>
      </c>
      <c r="AJ700" s="1327">
        <f>IF(OR($L700=AJ$635,$L700="",$D700=$AL$634),MAX(AJ$637:AJ699)+1,0)</f>
        <v>0</v>
      </c>
      <c r="AK700" s="1328">
        <f>IF(OR($L700=AK$635,$L700="",$D700=$AL$634),MAX(AK$637:AK699)+1,0)</f>
        <v>0</v>
      </c>
      <c r="AL700" s="1329">
        <f>IF(OR($L700=AL$635,$L700="",$D700=$AL$634),MAX(AL$637:AL699)+1,0)</f>
        <v>62</v>
      </c>
      <c r="AM700" s="5867"/>
      <c r="AN700" s="907" t="str">
        <f t="shared" si="108"/>
        <v/>
      </c>
      <c r="AO700" s="86" t="str">
        <f t="shared" si="109"/>
        <v/>
      </c>
      <c r="AP700" s="86" t="str">
        <f t="shared" si="110"/>
        <v>Maza pesada</v>
      </c>
      <c r="AQ700" s="1327">
        <f>IF(OR($L700=AQ$635,$L700="",$D700=$AS$634),MAX(AQ$637:AQ699)+1,0)</f>
        <v>0</v>
      </c>
      <c r="AR700" s="1328">
        <f>IF(OR($L700=AR$635,$L700="",$D700=$AS$634),MAX(AR$637:AR699)+1,0)</f>
        <v>0</v>
      </c>
      <c r="AS700" s="1329">
        <f>IF(OR($L700=AS$635,$L700="",$D700=$AS$634),MAX(AS$637:AS699)+1,0)</f>
        <v>62</v>
      </c>
      <c r="AT700" s="5867"/>
      <c r="AU700" s="907" t="str">
        <f t="shared" si="111"/>
        <v/>
      </c>
      <c r="AV700" s="86" t="str">
        <f t="shared" si="112"/>
        <v/>
      </c>
      <c r="AW700" s="86" t="str">
        <f t="shared" si="113"/>
        <v>Maza pesada</v>
      </c>
      <c r="AX700" s="1327">
        <f>IF(OR($L700=AX$635,$L700="",$D700=$AZ$634),MAX(AX$637:AX699)+1,0)</f>
        <v>0</v>
      </c>
      <c r="AY700" s="1328">
        <f>IF(OR($L700=AY$635,$L700="",$D700=$AZ$634),MAX(AY$637:AY699)+1,0)</f>
        <v>0</v>
      </c>
      <c r="AZ700" s="1329">
        <f>IF(OR($L700=AZ$635,$L700="",$D700=$AZ$634),MAX(AZ$637:AZ699)+1,0)</f>
        <v>62</v>
      </c>
      <c r="BA700" s="5867"/>
      <c r="BB700" s="907" t="str">
        <f t="shared" si="114"/>
        <v/>
      </c>
      <c r="BC700" s="86" t="str">
        <f t="shared" si="115"/>
        <v/>
      </c>
      <c r="BD700" s="86" t="str">
        <f t="shared" si="116"/>
        <v>Maza pesada</v>
      </c>
      <c r="BE700" s="1327">
        <f>IF(OR($L700=BE$635,$L700="",$D700=$BG$634),MAX(BE$637:BE699)+1,0)</f>
        <v>0</v>
      </c>
      <c r="BF700" s="1328">
        <f>IF(OR($L700=BF$635,$L700="",$D700=$BG$634),MAX(BF$637:BF699)+1,0)</f>
        <v>0</v>
      </c>
      <c r="BG700" s="1329">
        <f>IF(OR($L700=BG$635,$L700="",$D700=$BG$634),MAX(BG$637:BG699)+1,0)</f>
        <v>62</v>
      </c>
      <c r="BH700" s="5867"/>
      <c r="BI700" s="907" t="str">
        <f t="shared" si="117"/>
        <v/>
      </c>
      <c r="BJ700" s="86" t="str">
        <f t="shared" si="118"/>
        <v/>
      </c>
      <c r="BK700" s="86" t="str">
        <f t="shared" si="119"/>
        <v>Maza pesada</v>
      </c>
      <c r="BL700" s="1327">
        <f>IF(OR($L700=BL$635,$L700="",$D700=$BN$634),MAX(BL$637:BL699)+1,0)</f>
        <v>0</v>
      </c>
      <c r="BM700" s="1328">
        <f>IF(OR($L700=BM$635,$L700="",$D700=$BN$634),MAX(BM$637:BM699)+1,0)</f>
        <v>0</v>
      </c>
      <c r="BN700" s="1329">
        <f>IF(OR($L700=BN$635,$L700="",$D700=$BN$634),MAX(BN$637:BN699)+1,0)</f>
        <v>62</v>
      </c>
      <c r="BO700" s="5867"/>
      <c r="BP700" s="907" t="str">
        <f t="shared" si="120"/>
        <v/>
      </c>
      <c r="BQ700" s="86" t="str">
        <f t="shared" si="121"/>
        <v/>
      </c>
      <c r="BR700" s="86" t="str">
        <f t="shared" si="122"/>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838"/>
      <c r="C701" s="1208"/>
      <c r="D701" s="2957" t="s">
        <v>2168</v>
      </c>
      <c r="E701" s="2961">
        <v>60</v>
      </c>
      <c r="F701" s="2956">
        <v>-15</v>
      </c>
      <c r="G701" s="2956">
        <v>10</v>
      </c>
      <c r="H701" s="2956">
        <v>6</v>
      </c>
      <c r="I701" s="2956" t="s">
        <v>1501</v>
      </c>
      <c r="J701" s="2956" t="s">
        <v>1459</v>
      </c>
      <c r="K701" s="2947" t="s">
        <v>7468</v>
      </c>
      <c r="L701" s="2956" t="str">
        <f t="shared" si="124"/>
        <v>Distinta</v>
      </c>
      <c r="M701" s="2962">
        <v>16</v>
      </c>
      <c r="N701" s="2962">
        <v>5</v>
      </c>
      <c r="O701" s="2962">
        <v>15</v>
      </c>
      <c r="P701" s="2956"/>
      <c r="Q701" s="2956"/>
      <c r="R701" s="2956" t="s">
        <v>1459</v>
      </c>
      <c r="S701" s="2956" t="s">
        <v>1459</v>
      </c>
      <c r="T701" s="2956" t="s">
        <v>1459</v>
      </c>
      <c r="U701" s="2956"/>
      <c r="V701" s="2947" t="s">
        <v>2137</v>
      </c>
      <c r="W701" s="2947"/>
      <c r="X701" s="2945" t="str">
        <f t="shared" si="104"/>
        <v>Grande</v>
      </c>
      <c r="Y701" s="2886">
        <f t="shared" si="125"/>
        <v>0</v>
      </c>
      <c r="Z701" s="1326" t="str">
        <f t="shared" si="123"/>
        <v/>
      </c>
      <c r="AB701" s="907" t="s">
        <v>7204</v>
      </c>
      <c r="AC701" s="236"/>
      <c r="AD701" s="1443"/>
      <c r="AE701" s="1331"/>
      <c r="AG701" s="907" t="str">
        <f t="shared" si="105"/>
        <v/>
      </c>
      <c r="AH701" s="86" t="str">
        <f t="shared" si="106"/>
        <v/>
      </c>
      <c r="AI701" s="86" t="str">
        <f t="shared" si="107"/>
        <v>Montante</v>
      </c>
      <c r="AJ701" s="1327">
        <f>IF(OR($L701=AJ$635,$L701="",$D701=$AL$634),MAX(AJ$637:AJ700)+1,0)</f>
        <v>0</v>
      </c>
      <c r="AK701" s="1328">
        <f>IF(OR($L701=AK$635,$L701="",$D701=$AL$634),MAX(AK$637:AK700)+1,0)</f>
        <v>0</v>
      </c>
      <c r="AL701" s="1329">
        <f>IF(OR($L701=AL$635,$L701="",$D701=$AL$634),MAX(AL$637:AL700)+1,0)</f>
        <v>63</v>
      </c>
      <c r="AM701" s="5867"/>
      <c r="AN701" s="907" t="str">
        <f t="shared" si="108"/>
        <v/>
      </c>
      <c r="AO701" s="86" t="str">
        <f t="shared" si="109"/>
        <v/>
      </c>
      <c r="AP701" s="86" t="str">
        <f t="shared" si="110"/>
        <v>Montante</v>
      </c>
      <c r="AQ701" s="1327">
        <f>IF(OR($L701=AQ$635,$L701="",$D701=$AS$634),MAX(AQ$637:AQ700)+1,0)</f>
        <v>0</v>
      </c>
      <c r="AR701" s="1328">
        <f>IF(OR($L701=AR$635,$L701="",$D701=$AS$634),MAX(AR$637:AR700)+1,0)</f>
        <v>0</v>
      </c>
      <c r="AS701" s="1329">
        <f>IF(OR($L701=AS$635,$L701="",$D701=$AS$634),MAX(AS$637:AS700)+1,0)</f>
        <v>63</v>
      </c>
      <c r="AT701" s="5867"/>
      <c r="AU701" s="907" t="str">
        <f t="shared" si="111"/>
        <v/>
      </c>
      <c r="AV701" s="86" t="str">
        <f t="shared" si="112"/>
        <v/>
      </c>
      <c r="AW701" s="86" t="str">
        <f t="shared" si="113"/>
        <v>Montante</v>
      </c>
      <c r="AX701" s="1327">
        <f>IF(OR($L701=AX$635,$L701="",$D701=$AZ$634),MAX(AX$637:AX700)+1,0)</f>
        <v>0</v>
      </c>
      <c r="AY701" s="1328">
        <f>IF(OR($L701=AY$635,$L701="",$D701=$AZ$634),MAX(AY$637:AY700)+1,0)</f>
        <v>0</v>
      </c>
      <c r="AZ701" s="1329">
        <f>IF(OR($L701=AZ$635,$L701="",$D701=$AZ$634),MAX(AZ$637:AZ700)+1,0)</f>
        <v>63</v>
      </c>
      <c r="BA701" s="5867"/>
      <c r="BB701" s="907" t="str">
        <f t="shared" si="114"/>
        <v/>
      </c>
      <c r="BC701" s="86" t="str">
        <f t="shared" si="115"/>
        <v/>
      </c>
      <c r="BD701" s="86" t="str">
        <f t="shared" si="116"/>
        <v>Montante</v>
      </c>
      <c r="BE701" s="1327">
        <f>IF(OR($L701=BE$635,$L701="",$D701=$BG$634),MAX(BE$637:BE700)+1,0)</f>
        <v>0</v>
      </c>
      <c r="BF701" s="1328">
        <f>IF(OR($L701=BF$635,$L701="",$D701=$BG$634),MAX(BF$637:BF700)+1,0)</f>
        <v>0</v>
      </c>
      <c r="BG701" s="1329">
        <f>IF(OR($L701=BG$635,$L701="",$D701=$BG$634),MAX(BG$637:BG700)+1,0)</f>
        <v>63</v>
      </c>
      <c r="BH701" s="5867"/>
      <c r="BI701" s="907" t="str">
        <f t="shared" si="117"/>
        <v/>
      </c>
      <c r="BJ701" s="86" t="str">
        <f t="shared" si="118"/>
        <v/>
      </c>
      <c r="BK701" s="86" t="str">
        <f t="shared" si="119"/>
        <v>Montante</v>
      </c>
      <c r="BL701" s="1327">
        <f>IF(OR($L701=BL$635,$L701="",$D701=$BN$634),MAX(BL$637:BL700)+1,0)</f>
        <v>0</v>
      </c>
      <c r="BM701" s="1328">
        <f>IF(OR($L701=BM$635,$L701="",$D701=$BN$634),MAX(BM$637:BM700)+1,0)</f>
        <v>0</v>
      </c>
      <c r="BN701" s="1329">
        <f>IF(OR($L701=BN$635,$L701="",$D701=$BN$634),MAX(BN$637:BN700)+1,0)</f>
        <v>63</v>
      </c>
      <c r="BO701" s="5867"/>
      <c r="BP701" s="907" t="str">
        <f t="shared" si="120"/>
        <v/>
      </c>
      <c r="BQ701" s="86" t="str">
        <f t="shared" si="121"/>
        <v/>
      </c>
      <c r="BR701" s="86" t="str">
        <f t="shared" si="122"/>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838"/>
      <c r="C702" s="1208"/>
      <c r="D702" s="2957" t="s">
        <v>7184</v>
      </c>
      <c r="E702" s="2961">
        <v>80</v>
      </c>
      <c r="F702" s="2956">
        <v>-50</v>
      </c>
      <c r="G702" s="2956">
        <v>11</v>
      </c>
      <c r="H702" s="2956">
        <v>8</v>
      </c>
      <c r="I702" s="2956" t="s">
        <v>1556</v>
      </c>
      <c r="J702" s="2956" t="s">
        <v>1555</v>
      </c>
      <c r="K702" s="2947" t="s">
        <v>7462</v>
      </c>
      <c r="L702" s="2956" t="str">
        <f t="shared" si="124"/>
        <v>Distinta</v>
      </c>
      <c r="M702" s="2962">
        <v>18</v>
      </c>
      <c r="N702" s="2962">
        <v>5</v>
      </c>
      <c r="O702" s="2962">
        <v>25</v>
      </c>
      <c r="P702" s="2956"/>
      <c r="Q702" s="2956"/>
      <c r="R702" s="2956" t="s">
        <v>1459</v>
      </c>
      <c r="S702" s="2956" t="s">
        <v>1459</v>
      </c>
      <c r="T702" s="2956" t="s">
        <v>1459</v>
      </c>
      <c r="U702" s="2956"/>
      <c r="V702" s="2947" t="s">
        <v>1583</v>
      </c>
      <c r="W702" s="2947"/>
      <c r="X702" s="2945" t="str">
        <f t="shared" si="104"/>
        <v>Grande</v>
      </c>
      <c r="Y702" s="2886">
        <f t="shared" si="125"/>
        <v>0</v>
      </c>
      <c r="Z702" s="1326" t="str">
        <f t="shared" si="123"/>
        <v/>
      </c>
      <c r="AB702" s="907" t="s">
        <v>2171</v>
      </c>
      <c r="AC702" s="236"/>
      <c r="AD702" s="1443"/>
      <c r="AE702" s="1331"/>
      <c r="AG702" s="907" t="str">
        <f t="shared" ref="AG702:AG733" si="126">IF(ISNA(INDEX(Lista_Armas,MATCH($A65,AJ$638:AJ$774,0))),"",INDEX(Lista_Armas,MATCH($A65,AJ$638:AJ$774,0)))</f>
        <v/>
      </c>
      <c r="AH702" s="86" t="str">
        <f t="shared" ref="AH702:AH733" si="127">IF(ISNA(INDEX(Lista_Armas,MATCH($A65,AK$638:AK$774,0))),"",INDEX(Lista_Armas,MATCH($A65,AK$638:AK$774,0)))</f>
        <v/>
      </c>
      <c r="AI702" s="86" t="str">
        <f t="shared" ref="AI702:AI733" si="128">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867"/>
      <c r="AN702" s="907" t="str">
        <f t="shared" ref="AN702:AN733" si="129">IF(ISNA(INDEX(Lista_Armas,MATCH($A65,AQ$638:AQ$774,0))),"",INDEX(Lista_Armas,MATCH($A65,AQ$638:AQ$774,0)))</f>
        <v/>
      </c>
      <c r="AO702" s="86" t="str">
        <f t="shared" ref="AO702:AO733" si="130">IF(ISNA(INDEX(Lista_Armas,MATCH($A65,AR$638:AR$774,0))),"",INDEX(Lista_Armas,MATCH($A65,AR$638:AR$774,0)))</f>
        <v/>
      </c>
      <c r="AP702" s="86" t="str">
        <f t="shared" ref="AP702:AP733" si="131">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867"/>
      <c r="AU702" s="907" t="str">
        <f t="shared" ref="AU702:AU733" si="132">IF(ISNA(INDEX(Lista_Armas,MATCH($A65,AX$638:AX$774,0))),"",INDEX(Lista_Armas,MATCH($A65,AX$638:AX$774,0)))</f>
        <v/>
      </c>
      <c r="AV702" s="86" t="str">
        <f t="shared" ref="AV702:AV733" si="133">IF(ISNA(INDEX(Lista_Armas,MATCH($A65,AY$638:AY$774,0))),"",INDEX(Lista_Armas,MATCH($A65,AY$638:AY$774,0)))</f>
        <v/>
      </c>
      <c r="AW702" s="86" t="str">
        <f t="shared" ref="AW702:AW733" si="134">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867"/>
      <c r="BB702" s="907" t="str">
        <f t="shared" ref="BB702:BB733" si="135">IF(ISNA(INDEX(Lista_Armas,MATCH($A65,BE$638:BE$774,0))),"",INDEX(Lista_Armas,MATCH($A65,BE$638:BE$774,0)))</f>
        <v/>
      </c>
      <c r="BC702" s="86" t="str">
        <f t="shared" ref="BC702:BC733" si="136">IF(ISNA(INDEX(Lista_Armas,MATCH($A65,BF$638:BF$774,0))),"",INDEX(Lista_Armas,MATCH($A65,BF$638:BF$774,0)))</f>
        <v/>
      </c>
      <c r="BD702" s="86" t="str">
        <f t="shared" ref="BD702:BD733" si="137">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867"/>
      <c r="BI702" s="907" t="str">
        <f t="shared" ref="BI702:BI733" si="138">IF(ISNA(INDEX(Lista_Armas,MATCH($A65,BL$638:BL$774,0))),"",INDEX(Lista_Armas,MATCH($A65,BL$638:BL$774,0)))</f>
        <v/>
      </c>
      <c r="BJ702" s="86" t="str">
        <f t="shared" ref="BJ702:BJ733" si="139">IF(ISNA(INDEX(Lista_Armas,MATCH($A65,BM$638:BM$774,0))),"",INDEX(Lista_Armas,MATCH($A65,BM$638:BM$774,0)))</f>
        <v/>
      </c>
      <c r="BK702" s="86" t="str">
        <f t="shared" ref="BK702:BK733" si="140">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867"/>
      <c r="BP702" s="907" t="str">
        <f t="shared" ref="BP702:BP733" si="141">IF(ISNA(INDEX(Lista_Armas,MATCH($A65,BS$638:BS$774,0))),"",INDEX(Lista_Armas,MATCH($A65,BS$638:BS$774,0)))</f>
        <v/>
      </c>
      <c r="BQ702" s="86" t="str">
        <f t="shared" ref="BQ702:BQ733" si="142">IF(ISNA(INDEX(Lista_Armas,MATCH($A65,BT$638:BT$774,0))),"",INDEX(Lista_Armas,MATCH($A65,BT$638:BT$774,0)))</f>
        <v/>
      </c>
      <c r="BR702" s="86" t="str">
        <f t="shared" ref="BR702:BR733" si="143">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838"/>
      <c r="C703" s="1208"/>
      <c r="D703" s="2957" t="s">
        <v>7202</v>
      </c>
      <c r="E703" s="2961">
        <v>40</v>
      </c>
      <c r="F703" s="2956">
        <v>15</v>
      </c>
      <c r="G703" s="2956">
        <v>6</v>
      </c>
      <c r="H703" s="2956" t="s">
        <v>1459</v>
      </c>
      <c r="I703" s="2956" t="s">
        <v>1555</v>
      </c>
      <c r="J703" s="2956" t="s">
        <v>1556</v>
      </c>
      <c r="K703" s="2947" t="s">
        <v>7460</v>
      </c>
      <c r="L703" s="2956" t="str">
        <f t="shared" si="124"/>
        <v>Distinta</v>
      </c>
      <c r="M703" s="2962">
        <v>13</v>
      </c>
      <c r="N703" s="2962">
        <v>2</v>
      </c>
      <c r="O703" s="2962">
        <v>20</v>
      </c>
      <c r="P703" s="2956"/>
      <c r="Q703" s="2956"/>
      <c r="R703" s="2956" t="s">
        <v>1459</v>
      </c>
      <c r="S703" s="2956" t="s">
        <v>1459</v>
      </c>
      <c r="T703" s="2956" t="s">
        <v>1459</v>
      </c>
      <c r="U703" s="2956"/>
      <c r="V703" s="2947" t="s">
        <v>2141</v>
      </c>
      <c r="W703" s="2947"/>
      <c r="X703" s="2945" t="str">
        <f t="shared" si="104"/>
        <v>Pequeña</v>
      </c>
      <c r="Y703" s="2886">
        <f t="shared" si="125"/>
        <v>0</v>
      </c>
      <c r="Z703" s="1326" t="str">
        <f t="shared" si="123"/>
        <v/>
      </c>
      <c r="AB703" s="907" t="s">
        <v>2172</v>
      </c>
      <c r="AC703" s="236"/>
      <c r="AD703" s="236"/>
      <c r="AE703" s="891"/>
      <c r="AG703" s="907" t="str">
        <f t="shared" si="126"/>
        <v/>
      </c>
      <c r="AH703" s="86" t="str">
        <f t="shared" si="127"/>
        <v/>
      </c>
      <c r="AI703" s="86" t="str">
        <f t="shared" si="128"/>
        <v>Pica</v>
      </c>
      <c r="AJ703" s="1327">
        <f>IF(OR($L703=AJ$635,$L703="",$D703=$AL$634),MAX(AJ$637:AJ702)+1,0)</f>
        <v>0</v>
      </c>
      <c r="AK703" s="1328">
        <f>IF(OR($L703=AK$635,$L703="",$D703=$AL$634),MAX(AK$637:AK702)+1,0)</f>
        <v>0</v>
      </c>
      <c r="AL703" s="1329">
        <f>IF(OR($L703=AL$635,$L703="",$D703=$AL$634),MAX(AL$637:AL702)+1,0)</f>
        <v>65</v>
      </c>
      <c r="AM703" s="5867"/>
      <c r="AN703" s="907" t="str">
        <f t="shared" si="129"/>
        <v/>
      </c>
      <c r="AO703" s="86" t="str">
        <f t="shared" si="130"/>
        <v/>
      </c>
      <c r="AP703" s="86" t="str">
        <f t="shared" si="131"/>
        <v>Pica</v>
      </c>
      <c r="AQ703" s="1327">
        <f>IF(OR($L703=AQ$635,$L703="",$D703=$AS$634),MAX(AQ$637:AQ702)+1,0)</f>
        <v>0</v>
      </c>
      <c r="AR703" s="1328">
        <f>IF(OR($L703=AR$635,$L703="",$D703=$AS$634),MAX(AR$637:AR702)+1,0)</f>
        <v>0</v>
      </c>
      <c r="AS703" s="1329">
        <f>IF(OR($L703=AS$635,$L703="",$D703=$AS$634),MAX(AS$637:AS702)+1,0)</f>
        <v>65</v>
      </c>
      <c r="AT703" s="5867"/>
      <c r="AU703" s="907" t="str">
        <f t="shared" si="132"/>
        <v/>
      </c>
      <c r="AV703" s="86" t="str">
        <f t="shared" si="133"/>
        <v/>
      </c>
      <c r="AW703" s="86" t="str">
        <f t="shared" si="134"/>
        <v>Pica</v>
      </c>
      <c r="AX703" s="1327">
        <f>IF(OR($L703=AX$635,$L703="",$D703=$AZ$634),MAX(AX$637:AX702)+1,0)</f>
        <v>0</v>
      </c>
      <c r="AY703" s="1328">
        <f>IF(OR($L703=AY$635,$L703="",$D703=$AZ$634),MAX(AY$637:AY702)+1,0)</f>
        <v>0</v>
      </c>
      <c r="AZ703" s="1329">
        <f>IF(OR($L703=AZ$635,$L703="",$D703=$AZ$634),MAX(AZ$637:AZ702)+1,0)</f>
        <v>65</v>
      </c>
      <c r="BA703" s="5867"/>
      <c r="BB703" s="907" t="str">
        <f t="shared" si="135"/>
        <v/>
      </c>
      <c r="BC703" s="86" t="str">
        <f t="shared" si="136"/>
        <v/>
      </c>
      <c r="BD703" s="86" t="str">
        <f t="shared" si="137"/>
        <v>Pica</v>
      </c>
      <c r="BE703" s="1327">
        <f>IF(OR($L703=BE$635,$L703="",$D703=$BG$634),MAX(BE$637:BE702)+1,0)</f>
        <v>0</v>
      </c>
      <c r="BF703" s="1328">
        <f>IF(OR($L703=BF$635,$L703="",$D703=$BG$634),MAX(BF$637:BF702)+1,0)</f>
        <v>0</v>
      </c>
      <c r="BG703" s="1329">
        <f>IF(OR($L703=BG$635,$L703="",$D703=$BG$634),MAX(BG$637:BG702)+1,0)</f>
        <v>65</v>
      </c>
      <c r="BH703" s="5867"/>
      <c r="BI703" s="907" t="str">
        <f t="shared" si="138"/>
        <v/>
      </c>
      <c r="BJ703" s="86" t="str">
        <f t="shared" si="139"/>
        <v/>
      </c>
      <c r="BK703" s="86" t="str">
        <f t="shared" si="140"/>
        <v>Pica</v>
      </c>
      <c r="BL703" s="1327">
        <f>IF(OR($L703=BL$635,$L703="",$D703=$BN$634),MAX(BL$637:BL702)+1,0)</f>
        <v>0</v>
      </c>
      <c r="BM703" s="1328">
        <f>IF(OR($L703=BM$635,$L703="",$D703=$BN$634),MAX(BM$637:BM702)+1,0)</f>
        <v>0</v>
      </c>
      <c r="BN703" s="1329">
        <f>IF(OR($L703=BN$635,$L703="",$D703=$BN$634),MAX(BN$637:BN702)+1,0)</f>
        <v>65</v>
      </c>
      <c r="BO703" s="5867"/>
      <c r="BP703" s="907" t="str">
        <f t="shared" si="141"/>
        <v/>
      </c>
      <c r="BQ703" s="86" t="str">
        <f t="shared" si="142"/>
        <v/>
      </c>
      <c r="BR703" s="86" t="str">
        <f t="shared" si="143"/>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838"/>
      <c r="C704" s="1208"/>
      <c r="D704" s="2957" t="s">
        <v>7185</v>
      </c>
      <c r="E704" s="2961">
        <v>60</v>
      </c>
      <c r="F704" s="2956">
        <v>-30</v>
      </c>
      <c r="G704" s="2956" t="s">
        <v>1459</v>
      </c>
      <c r="H704" s="2956">
        <v>6</v>
      </c>
      <c r="I704" s="2956" t="s">
        <v>1556</v>
      </c>
      <c r="J704" s="2956" t="s">
        <v>1459</v>
      </c>
      <c r="K704" s="2947" t="s">
        <v>7455</v>
      </c>
      <c r="L704" s="2956" t="str">
        <f t="shared" si="124"/>
        <v>Distinta</v>
      </c>
      <c r="M704" s="2962">
        <v>12</v>
      </c>
      <c r="N704" s="2962">
        <v>4</v>
      </c>
      <c r="O704" s="2962">
        <v>15</v>
      </c>
      <c r="P704" s="2956"/>
      <c r="Q704" s="2956"/>
      <c r="R704" s="2956" t="s">
        <v>1459</v>
      </c>
      <c r="S704" s="2956" t="s">
        <v>1459</v>
      </c>
      <c r="T704" s="2956" t="s">
        <v>1459</v>
      </c>
      <c r="U704" s="2956"/>
      <c r="V704" s="2947" t="s">
        <v>7224</v>
      </c>
      <c r="W704" s="2947"/>
      <c r="X704" s="2945" t="str">
        <f t="shared" si="104"/>
        <v>Grande</v>
      </c>
      <c r="Y704" s="2886">
        <f t="shared" si="125"/>
        <v>0</v>
      </c>
      <c r="Z704" s="1326" t="str">
        <f t="shared" si="123"/>
        <v/>
      </c>
      <c r="AB704" s="597" t="s">
        <v>7205</v>
      </c>
      <c r="AC704" s="236"/>
      <c r="AD704" s="236"/>
      <c r="AE704" s="891"/>
      <c r="AG704" s="907" t="str">
        <f t="shared" si="126"/>
        <v/>
      </c>
      <c r="AH704" s="86" t="str">
        <f t="shared" si="127"/>
        <v/>
      </c>
      <c r="AI704" s="86" t="str">
        <f t="shared" si="128"/>
        <v>Pudao</v>
      </c>
      <c r="AJ704" s="1327">
        <f>IF(OR($L704=AJ$635,$L704="",$D704=$AL$634),MAX(AJ$637:AJ703)+1,0)</f>
        <v>0</v>
      </c>
      <c r="AK704" s="1328">
        <f>IF(OR($L704=AK$635,$L704="",$D704=$AL$634),MAX(AK$637:AK703)+1,0)</f>
        <v>0</v>
      </c>
      <c r="AL704" s="1329">
        <f>IF(OR($L704=AL$635,$L704="",$D704=$AL$634),MAX(AL$637:AL703)+1,0)</f>
        <v>66</v>
      </c>
      <c r="AM704" s="5867"/>
      <c r="AN704" s="907" t="str">
        <f t="shared" si="129"/>
        <v/>
      </c>
      <c r="AO704" s="86" t="str">
        <f t="shared" si="130"/>
        <v/>
      </c>
      <c r="AP704" s="86" t="str">
        <f t="shared" si="131"/>
        <v>Pudao</v>
      </c>
      <c r="AQ704" s="1327">
        <f>IF(OR($L704=AQ$635,$L704="",$D704=$AS$634),MAX(AQ$637:AQ703)+1,0)</f>
        <v>0</v>
      </c>
      <c r="AR704" s="1328">
        <f>IF(OR($L704=AR$635,$L704="",$D704=$AS$634),MAX(AR$637:AR703)+1,0)</f>
        <v>0</v>
      </c>
      <c r="AS704" s="1329">
        <f>IF(OR($L704=AS$635,$L704="",$D704=$AS$634),MAX(AS$637:AS703)+1,0)</f>
        <v>66</v>
      </c>
      <c r="AT704" s="5867"/>
      <c r="AU704" s="907" t="str">
        <f t="shared" si="132"/>
        <v/>
      </c>
      <c r="AV704" s="86" t="str">
        <f t="shared" si="133"/>
        <v/>
      </c>
      <c r="AW704" s="86" t="str">
        <f t="shared" si="134"/>
        <v>Pudao</v>
      </c>
      <c r="AX704" s="1327">
        <f>IF(OR($L704=AX$635,$L704="",$D704=$AZ$634),MAX(AX$637:AX703)+1,0)</f>
        <v>0</v>
      </c>
      <c r="AY704" s="1328">
        <f>IF(OR($L704=AY$635,$L704="",$D704=$AZ$634),MAX(AY$637:AY703)+1,0)</f>
        <v>0</v>
      </c>
      <c r="AZ704" s="1329">
        <f>IF(OR($L704=AZ$635,$L704="",$D704=$AZ$634),MAX(AZ$637:AZ703)+1,0)</f>
        <v>66</v>
      </c>
      <c r="BA704" s="5867"/>
      <c r="BB704" s="907" t="str">
        <f t="shared" si="135"/>
        <v/>
      </c>
      <c r="BC704" s="86" t="str">
        <f t="shared" si="136"/>
        <v/>
      </c>
      <c r="BD704" s="86" t="str">
        <f t="shared" si="137"/>
        <v>Pudao</v>
      </c>
      <c r="BE704" s="1327">
        <f>IF(OR($L704=BE$635,$L704="",$D704=$BG$634),MAX(BE$637:BE703)+1,0)</f>
        <v>0</v>
      </c>
      <c r="BF704" s="1328">
        <f>IF(OR($L704=BF$635,$L704="",$D704=$BG$634),MAX(BF$637:BF703)+1,0)</f>
        <v>0</v>
      </c>
      <c r="BG704" s="1329">
        <f>IF(OR($L704=BG$635,$L704="",$D704=$BG$634),MAX(BG$637:BG703)+1,0)</f>
        <v>66</v>
      </c>
      <c r="BH704" s="5867"/>
      <c r="BI704" s="907" t="str">
        <f t="shared" si="138"/>
        <v/>
      </c>
      <c r="BJ704" s="86" t="str">
        <f t="shared" si="139"/>
        <v/>
      </c>
      <c r="BK704" s="86" t="str">
        <f t="shared" si="140"/>
        <v>Pudao</v>
      </c>
      <c r="BL704" s="1327">
        <f>IF(OR($L704=BL$635,$L704="",$D704=$BN$634),MAX(BL$637:BL703)+1,0)</f>
        <v>0</v>
      </c>
      <c r="BM704" s="1328">
        <f>IF(OR($L704=BM$635,$L704="",$D704=$BN$634),MAX(BM$637:BM703)+1,0)</f>
        <v>0</v>
      </c>
      <c r="BN704" s="1329">
        <f>IF(OR($L704=BN$635,$L704="",$D704=$BN$634),MAX(BN$637:BN703)+1,0)</f>
        <v>66</v>
      </c>
      <c r="BO704" s="5867"/>
      <c r="BP704" s="907" t="str">
        <f t="shared" si="141"/>
        <v/>
      </c>
      <c r="BQ704" s="86" t="str">
        <f t="shared" si="142"/>
        <v/>
      </c>
      <c r="BR704" s="86" t="str">
        <f t="shared" si="143"/>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838"/>
      <c r="C705" s="1208"/>
      <c r="D705" s="2957" t="s">
        <v>7186</v>
      </c>
      <c r="E705" s="2961">
        <v>40</v>
      </c>
      <c r="F705" s="2956">
        <v>-5</v>
      </c>
      <c r="G705" s="2956">
        <v>7</v>
      </c>
      <c r="H705" s="2956">
        <v>6</v>
      </c>
      <c r="I705" s="2956" t="s">
        <v>1555</v>
      </c>
      <c r="J705" s="2956" t="s">
        <v>1501</v>
      </c>
      <c r="K705" s="2947" t="s">
        <v>7455</v>
      </c>
      <c r="L705" s="2956" t="str">
        <f t="shared" si="124"/>
        <v>Distinta</v>
      </c>
      <c r="M705" s="2962">
        <v>12</v>
      </c>
      <c r="N705" s="2962">
        <v>2</v>
      </c>
      <c r="O705" s="2962">
        <v>20</v>
      </c>
      <c r="P705" s="2956"/>
      <c r="Q705" s="2956"/>
      <c r="R705" s="2956" t="s">
        <v>1459</v>
      </c>
      <c r="S705" s="2956" t="s">
        <v>1459</v>
      </c>
      <c r="T705" s="2956" t="s">
        <v>1459</v>
      </c>
      <c r="U705" s="2956"/>
      <c r="V705" s="2947" t="s">
        <v>2137</v>
      </c>
      <c r="W705" s="2947"/>
      <c r="X705" s="2945" t="str">
        <f t="shared" si="104"/>
        <v>Grande</v>
      </c>
      <c r="Y705" s="2886">
        <f t="shared" si="125"/>
        <v>0</v>
      </c>
      <c r="Z705" s="1326" t="str">
        <f t="shared" si="123"/>
        <v/>
      </c>
      <c r="AB705" s="597" t="s">
        <v>7187</v>
      </c>
      <c r="AC705" s="236"/>
      <c r="AD705" s="236"/>
      <c r="AE705" s="891"/>
      <c r="AG705" s="907" t="str">
        <f t="shared" si="126"/>
        <v/>
      </c>
      <c r="AH705" s="86" t="str">
        <f t="shared" si="127"/>
        <v/>
      </c>
      <c r="AI705" s="86" t="str">
        <f t="shared" si="128"/>
        <v>Red</v>
      </c>
      <c r="AJ705" s="1327">
        <f>IF(OR($L705=AJ$635,$L705="",$D705=$AL$634),MAX(AJ$637:AJ704)+1,0)</f>
        <v>0</v>
      </c>
      <c r="AK705" s="1328">
        <f>IF(OR($L705=AK$635,$L705="",$D705=$AL$634),MAX(AK$637:AK704)+1,0)</f>
        <v>0</v>
      </c>
      <c r="AL705" s="1329">
        <f>IF(OR($L705=AL$635,$L705="",$D705=$AL$634),MAX(AL$637:AL704)+1,0)</f>
        <v>67</v>
      </c>
      <c r="AM705" s="5867"/>
      <c r="AN705" s="907" t="str">
        <f t="shared" si="129"/>
        <v/>
      </c>
      <c r="AO705" s="86" t="str">
        <f t="shared" si="130"/>
        <v/>
      </c>
      <c r="AP705" s="86" t="str">
        <f t="shared" si="131"/>
        <v>Red</v>
      </c>
      <c r="AQ705" s="1327">
        <f>IF(OR($L705=AQ$635,$L705="",$D705=$AS$634),MAX(AQ$637:AQ704)+1,0)</f>
        <v>0</v>
      </c>
      <c r="AR705" s="1328">
        <f>IF(OR($L705=AR$635,$L705="",$D705=$AS$634),MAX(AR$637:AR704)+1,0)</f>
        <v>0</v>
      </c>
      <c r="AS705" s="1329">
        <f>IF(OR($L705=AS$635,$L705="",$D705=$AS$634),MAX(AS$637:AS704)+1,0)</f>
        <v>67</v>
      </c>
      <c r="AT705" s="5867"/>
      <c r="AU705" s="907" t="str">
        <f t="shared" si="132"/>
        <v/>
      </c>
      <c r="AV705" s="86" t="str">
        <f t="shared" si="133"/>
        <v/>
      </c>
      <c r="AW705" s="86" t="str">
        <f t="shared" si="134"/>
        <v>Red</v>
      </c>
      <c r="AX705" s="1327">
        <f>IF(OR($L705=AX$635,$L705="",$D705=$AZ$634),MAX(AX$637:AX704)+1,0)</f>
        <v>0</v>
      </c>
      <c r="AY705" s="1328">
        <f>IF(OR($L705=AY$635,$L705="",$D705=$AZ$634),MAX(AY$637:AY704)+1,0)</f>
        <v>0</v>
      </c>
      <c r="AZ705" s="1329">
        <f>IF(OR($L705=AZ$635,$L705="",$D705=$AZ$634),MAX(AZ$637:AZ704)+1,0)</f>
        <v>67</v>
      </c>
      <c r="BA705" s="5867"/>
      <c r="BB705" s="907" t="str">
        <f t="shared" si="135"/>
        <v/>
      </c>
      <c r="BC705" s="86" t="str">
        <f t="shared" si="136"/>
        <v/>
      </c>
      <c r="BD705" s="86" t="str">
        <f t="shared" si="137"/>
        <v>Red</v>
      </c>
      <c r="BE705" s="1327">
        <f>IF(OR($L705=BE$635,$L705="",$D705=$BG$634),MAX(BE$637:BE704)+1,0)</f>
        <v>0</v>
      </c>
      <c r="BF705" s="1328">
        <f>IF(OR($L705=BF$635,$L705="",$D705=$BG$634),MAX(BF$637:BF704)+1,0)</f>
        <v>0</v>
      </c>
      <c r="BG705" s="1329">
        <f>IF(OR($L705=BG$635,$L705="",$D705=$BG$634),MAX(BG$637:BG704)+1,0)</f>
        <v>67</v>
      </c>
      <c r="BH705" s="5867"/>
      <c r="BI705" s="907" t="str">
        <f t="shared" si="138"/>
        <v/>
      </c>
      <c r="BJ705" s="86" t="str">
        <f t="shared" si="139"/>
        <v/>
      </c>
      <c r="BK705" s="86" t="str">
        <f t="shared" si="140"/>
        <v>Red</v>
      </c>
      <c r="BL705" s="1327">
        <f>IF(OR($L705=BL$635,$L705="",$D705=$BN$634),MAX(BL$637:BL704)+1,0)</f>
        <v>0</v>
      </c>
      <c r="BM705" s="1328">
        <f>IF(OR($L705=BM$635,$L705="",$D705=$BN$634),MAX(BM$637:BM704)+1,0)</f>
        <v>0</v>
      </c>
      <c r="BN705" s="1329">
        <f>IF(OR($L705=BN$635,$L705="",$D705=$BN$634),MAX(BN$637:BN704)+1,0)</f>
        <v>67</v>
      </c>
      <c r="BO705" s="5867"/>
      <c r="BP705" s="907" t="str">
        <f t="shared" si="141"/>
        <v/>
      </c>
      <c r="BQ705" s="86" t="str">
        <f t="shared" si="142"/>
        <v/>
      </c>
      <c r="BR705" s="86" t="str">
        <f t="shared" si="143"/>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838"/>
      <c r="C706" s="1208"/>
      <c r="D706" s="2957" t="s">
        <v>2169</v>
      </c>
      <c r="E706" s="2961">
        <v>5</v>
      </c>
      <c r="F706" s="2956">
        <v>0</v>
      </c>
      <c r="G706" s="2956">
        <v>4</v>
      </c>
      <c r="H706" s="2956">
        <v>4</v>
      </c>
      <c r="I706" s="2956" t="s">
        <v>2125</v>
      </c>
      <c r="J706" s="2956" t="s">
        <v>1555</v>
      </c>
      <c r="K706" s="2947" t="s">
        <v>7459</v>
      </c>
      <c r="L706" s="2956" t="str">
        <f t="shared" si="124"/>
        <v>Distinta</v>
      </c>
      <c r="M706" s="2962">
        <v>13</v>
      </c>
      <c r="N706" s="2962">
        <v>-4</v>
      </c>
      <c r="O706" s="2962">
        <v>15</v>
      </c>
      <c r="P706" s="2956"/>
      <c r="Q706" s="2956"/>
      <c r="R706" s="2962">
        <v>100</v>
      </c>
      <c r="S706" s="2956" t="s">
        <v>1459</v>
      </c>
      <c r="T706" s="2956">
        <v>5</v>
      </c>
      <c r="U706" s="2956"/>
      <c r="V706" s="2947" t="s">
        <v>8776</v>
      </c>
      <c r="W706" s="2947"/>
      <c r="X706" s="2945" t="str">
        <f t="shared" si="104"/>
        <v>Mediana</v>
      </c>
      <c r="Y706" s="2886">
        <f t="shared" si="125"/>
        <v>0</v>
      </c>
      <c r="Z706" s="1326" t="str">
        <f t="shared" si="123"/>
        <v/>
      </c>
      <c r="AB706" s="597" t="s">
        <v>2174</v>
      </c>
      <c r="AC706" s="236"/>
      <c r="AD706" s="236"/>
      <c r="AE706" s="891"/>
      <c r="AG706" s="907" t="str">
        <f t="shared" si="126"/>
        <v/>
      </c>
      <c r="AH706" s="86" t="str">
        <f t="shared" si="127"/>
        <v/>
      </c>
      <c r="AI706" s="86" t="str">
        <f t="shared" si="128"/>
        <v>Sable</v>
      </c>
      <c r="AJ706" s="1327">
        <f>IF(OR($L706=AJ$635,$L706="",$D706=$AL$634),MAX(AJ$637:AJ705)+1,0)</f>
        <v>0</v>
      </c>
      <c r="AK706" s="1328">
        <f>IF(OR($L706=AK$635,$L706="",$D706=$AL$634),MAX(AK$637:AK705)+1,0)</f>
        <v>0</v>
      </c>
      <c r="AL706" s="1329">
        <f>IF(OR($L706=AL$635,$L706="",$D706=$AL$634),MAX(AL$637:AL705)+1,0)</f>
        <v>68</v>
      </c>
      <c r="AM706" s="5867"/>
      <c r="AN706" s="907" t="str">
        <f t="shared" si="129"/>
        <v/>
      </c>
      <c r="AO706" s="86" t="str">
        <f t="shared" si="130"/>
        <v/>
      </c>
      <c r="AP706" s="86" t="str">
        <f t="shared" si="131"/>
        <v>Sable</v>
      </c>
      <c r="AQ706" s="1327">
        <f>IF(OR($L706=AQ$635,$L706="",$D706=$AS$634),MAX(AQ$637:AQ705)+1,0)</f>
        <v>0</v>
      </c>
      <c r="AR706" s="1328">
        <f>IF(OR($L706=AR$635,$L706="",$D706=$AS$634),MAX(AR$637:AR705)+1,0)</f>
        <v>0</v>
      </c>
      <c r="AS706" s="1329">
        <f>IF(OR($L706=AS$635,$L706="",$D706=$AS$634),MAX(AS$637:AS705)+1,0)</f>
        <v>68</v>
      </c>
      <c r="AT706" s="5867"/>
      <c r="AU706" s="907" t="str">
        <f t="shared" si="132"/>
        <v/>
      </c>
      <c r="AV706" s="86" t="str">
        <f t="shared" si="133"/>
        <v/>
      </c>
      <c r="AW706" s="86" t="str">
        <f t="shared" si="134"/>
        <v>Sable</v>
      </c>
      <c r="AX706" s="1327">
        <f>IF(OR($L706=AX$635,$L706="",$D706=$AZ$634),MAX(AX$637:AX705)+1,0)</f>
        <v>0</v>
      </c>
      <c r="AY706" s="1328">
        <f>IF(OR($L706=AY$635,$L706="",$D706=$AZ$634),MAX(AY$637:AY705)+1,0)</f>
        <v>0</v>
      </c>
      <c r="AZ706" s="1329">
        <f>IF(OR($L706=AZ$635,$L706="",$D706=$AZ$634),MAX(AZ$637:AZ705)+1,0)</f>
        <v>68</v>
      </c>
      <c r="BA706" s="5867"/>
      <c r="BB706" s="907" t="str">
        <f t="shared" si="135"/>
        <v/>
      </c>
      <c r="BC706" s="86" t="str">
        <f t="shared" si="136"/>
        <v/>
      </c>
      <c r="BD706" s="86" t="str">
        <f t="shared" si="137"/>
        <v>Sable</v>
      </c>
      <c r="BE706" s="1327">
        <f>IF(OR($L706=BE$635,$L706="",$D706=$BG$634),MAX(BE$637:BE705)+1,0)</f>
        <v>0</v>
      </c>
      <c r="BF706" s="1328">
        <f>IF(OR($L706=BF$635,$L706="",$D706=$BG$634),MAX(BF$637:BF705)+1,0)</f>
        <v>0</v>
      </c>
      <c r="BG706" s="1329">
        <f>IF(OR($L706=BG$635,$L706="",$D706=$BG$634),MAX(BG$637:BG705)+1,0)</f>
        <v>68</v>
      </c>
      <c r="BH706" s="5867"/>
      <c r="BI706" s="907" t="str">
        <f t="shared" si="138"/>
        <v/>
      </c>
      <c r="BJ706" s="86" t="str">
        <f t="shared" si="139"/>
        <v/>
      </c>
      <c r="BK706" s="86" t="str">
        <f t="shared" si="140"/>
        <v>Sable</v>
      </c>
      <c r="BL706" s="1327">
        <f>IF(OR($L706=BL$635,$L706="",$D706=$BN$634),MAX(BL$637:BL705)+1,0)</f>
        <v>0</v>
      </c>
      <c r="BM706" s="1328">
        <f>IF(OR($L706=BM$635,$L706="",$D706=$BN$634),MAX(BM$637:BM705)+1,0)</f>
        <v>0</v>
      </c>
      <c r="BN706" s="1329">
        <f>IF(OR($L706=BN$635,$L706="",$D706=$BN$634),MAX(BN$637:BN705)+1,0)</f>
        <v>68</v>
      </c>
      <c r="BO706" s="5867"/>
      <c r="BP706" s="907" t="str">
        <f t="shared" si="141"/>
        <v/>
      </c>
      <c r="BQ706" s="86" t="str">
        <f t="shared" si="142"/>
        <v/>
      </c>
      <c r="BR706" s="86" t="str">
        <f t="shared" si="143"/>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838"/>
      <c r="C707" s="1208"/>
      <c r="D707" s="2957" t="s">
        <v>2170</v>
      </c>
      <c r="E707" s="2961">
        <v>45</v>
      </c>
      <c r="F707" s="2956">
        <v>10</v>
      </c>
      <c r="G707" s="2956">
        <v>6</v>
      </c>
      <c r="H707" s="2956">
        <v>6</v>
      </c>
      <c r="I707" s="2956" t="s">
        <v>1555</v>
      </c>
      <c r="J707" s="2956" t="s">
        <v>1556</v>
      </c>
      <c r="K707" s="2947" t="s">
        <v>7458</v>
      </c>
      <c r="L707" s="2956" t="str">
        <f t="shared" si="124"/>
        <v>Distinta</v>
      </c>
      <c r="M707" s="2962">
        <v>12</v>
      </c>
      <c r="N707" s="2962">
        <v>3</v>
      </c>
      <c r="O707" s="2962">
        <v>20</v>
      </c>
      <c r="P707" s="2956"/>
      <c r="Q707" s="2956"/>
      <c r="R707" s="2956" t="s">
        <v>1459</v>
      </c>
      <c r="S707" s="2956" t="s">
        <v>1459</v>
      </c>
      <c r="T707" s="2956" t="s">
        <v>1459</v>
      </c>
      <c r="U707" s="2956"/>
      <c r="V707" s="2947" t="s">
        <v>1459</v>
      </c>
      <c r="W707" s="2947"/>
      <c r="X707" s="2945" t="str">
        <f t="shared" si="104"/>
        <v>Mediana</v>
      </c>
      <c r="Y707" s="2886">
        <f t="shared" si="125"/>
        <v>0</v>
      </c>
      <c r="Z707" s="1326" t="str">
        <f t="shared" ref="Z707:Z738" si="144">IF(AND(K707&lt;&gt;"Natural/-",ISNUMBER(SEARCH(D707,Armas_Conocidas))),", "&amp;K707,"")</f>
        <v/>
      </c>
      <c r="AB707" s="597" t="s">
        <v>2175</v>
      </c>
      <c r="AC707" s="236"/>
      <c r="AD707" s="236"/>
      <c r="AE707" s="891"/>
      <c r="AG707" s="907" t="str">
        <f t="shared" si="126"/>
        <v/>
      </c>
      <c r="AH707" s="86" t="str">
        <f t="shared" si="127"/>
        <v/>
      </c>
      <c r="AI707" s="86" t="str">
        <f t="shared" si="128"/>
        <v>Shang Gou</v>
      </c>
      <c r="AJ707" s="1327">
        <f>IF(OR($L707=AJ$635,$L707="",$D707=$AL$634),MAX(AJ$637:AJ706)+1,0)</f>
        <v>0</v>
      </c>
      <c r="AK707" s="1328">
        <f>IF(OR($L707=AK$635,$L707="",$D707=$AL$634),MAX(AK$637:AK706)+1,0)</f>
        <v>0</v>
      </c>
      <c r="AL707" s="1329">
        <f>IF(OR($L707=AL$635,$L707="",$D707=$AL$634),MAX(AL$637:AL706)+1,0)</f>
        <v>69</v>
      </c>
      <c r="AM707" s="5867"/>
      <c r="AN707" s="907" t="str">
        <f t="shared" si="129"/>
        <v/>
      </c>
      <c r="AO707" s="86" t="str">
        <f t="shared" si="130"/>
        <v/>
      </c>
      <c r="AP707" s="86" t="str">
        <f t="shared" si="131"/>
        <v>Shang Gou</v>
      </c>
      <c r="AQ707" s="1327">
        <f>IF(OR($L707=AQ$635,$L707="",$D707=$AS$634),MAX(AQ$637:AQ706)+1,0)</f>
        <v>0</v>
      </c>
      <c r="AR707" s="1328">
        <f>IF(OR($L707=AR$635,$L707="",$D707=$AS$634),MAX(AR$637:AR706)+1,0)</f>
        <v>0</v>
      </c>
      <c r="AS707" s="1329">
        <f>IF(OR($L707=AS$635,$L707="",$D707=$AS$634),MAX(AS$637:AS706)+1,0)</f>
        <v>69</v>
      </c>
      <c r="AT707" s="5867"/>
      <c r="AU707" s="907" t="str">
        <f t="shared" si="132"/>
        <v/>
      </c>
      <c r="AV707" s="86" t="str">
        <f t="shared" si="133"/>
        <v/>
      </c>
      <c r="AW707" s="86" t="str">
        <f t="shared" si="134"/>
        <v>Shang Gou</v>
      </c>
      <c r="AX707" s="1327">
        <f>IF(OR($L707=AX$635,$L707="",$D707=$AZ$634),MAX(AX$637:AX706)+1,0)</f>
        <v>0</v>
      </c>
      <c r="AY707" s="1328">
        <f>IF(OR($L707=AY$635,$L707="",$D707=$AZ$634),MAX(AY$637:AY706)+1,0)</f>
        <v>0</v>
      </c>
      <c r="AZ707" s="1329">
        <f>IF(OR($L707=AZ$635,$L707="",$D707=$AZ$634),MAX(AZ$637:AZ706)+1,0)</f>
        <v>69</v>
      </c>
      <c r="BA707" s="5867"/>
      <c r="BB707" s="907" t="str">
        <f t="shared" si="135"/>
        <v/>
      </c>
      <c r="BC707" s="86" t="str">
        <f t="shared" si="136"/>
        <v/>
      </c>
      <c r="BD707" s="86" t="str">
        <f t="shared" si="137"/>
        <v>Shang Gou</v>
      </c>
      <c r="BE707" s="1327">
        <f>IF(OR($L707=BE$635,$L707="",$D707=$BG$634),MAX(BE$637:BE706)+1,0)</f>
        <v>0</v>
      </c>
      <c r="BF707" s="1328">
        <f>IF(OR($L707=BF$635,$L707="",$D707=$BG$634),MAX(BF$637:BF706)+1,0)</f>
        <v>0</v>
      </c>
      <c r="BG707" s="1329">
        <f>IF(OR($L707=BG$635,$L707="",$D707=$BG$634),MAX(BG$637:BG706)+1,0)</f>
        <v>69</v>
      </c>
      <c r="BH707" s="5867"/>
      <c r="BI707" s="907" t="str">
        <f t="shared" si="138"/>
        <v/>
      </c>
      <c r="BJ707" s="86" t="str">
        <f t="shared" si="139"/>
        <v/>
      </c>
      <c r="BK707" s="86" t="str">
        <f t="shared" si="140"/>
        <v>Shang Gou</v>
      </c>
      <c r="BL707" s="1327">
        <f>IF(OR($L707=BL$635,$L707="",$D707=$BN$634),MAX(BL$637:BL706)+1,0)</f>
        <v>0</v>
      </c>
      <c r="BM707" s="1328">
        <f>IF(OR($L707=BM$635,$L707="",$D707=$BN$634),MAX(BM$637:BM706)+1,0)</f>
        <v>0</v>
      </c>
      <c r="BN707" s="1329">
        <f>IF(OR($L707=BN$635,$L707="",$D707=$BN$634),MAX(BN$637:BN706)+1,0)</f>
        <v>69</v>
      </c>
      <c r="BO707" s="5867"/>
      <c r="BP707" s="907" t="str">
        <f t="shared" si="141"/>
        <v/>
      </c>
      <c r="BQ707" s="86" t="str">
        <f t="shared" si="142"/>
        <v/>
      </c>
      <c r="BR707" s="86" t="str">
        <f t="shared" si="143"/>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838"/>
      <c r="C708" s="1208"/>
      <c r="D708" s="2957" t="s">
        <v>7203</v>
      </c>
      <c r="E708" s="2961">
        <v>40</v>
      </c>
      <c r="F708" s="2956">
        <v>5</v>
      </c>
      <c r="G708" s="2956">
        <v>5</v>
      </c>
      <c r="H708" s="2956">
        <v>5</v>
      </c>
      <c r="I708" s="2956" t="s">
        <v>1555</v>
      </c>
      <c r="J708" s="2956" t="s">
        <v>1459</v>
      </c>
      <c r="K708" s="2947" t="s">
        <v>7458</v>
      </c>
      <c r="L708" s="2956" t="str">
        <f t="shared" ref="L708:L714" si="145">IF(ISNUMBER(SEARCH($D708,Armas_Conocidas)),"Conocida",IF(OR(ISNUMBER(SEARCH(LEFT($K708,SEARCH("/",$K708)),Tipologías_Conocidas)),AND(NOT(ISNUMBER(SEARCH("/-",$K708))),ISNUMBER(SEARCH(MID($K708,SEARCH("/",$K708)+1,LEN($K708)),Tipologías_Conocidas)))),IF(ISNUMBER(SEARCH($K708,Tipologías_Conocidas)),"Similar","Mixta"),"Distinta"))</f>
        <v>Distinta</v>
      </c>
      <c r="M708" s="2962">
        <v>12</v>
      </c>
      <c r="N708" s="2962">
        <v>1</v>
      </c>
      <c r="O708" s="2962">
        <v>20</v>
      </c>
      <c r="P708" s="2956"/>
      <c r="Q708" s="2956"/>
      <c r="R708" s="2956" t="s">
        <v>1459</v>
      </c>
      <c r="S708" s="2956" t="s">
        <v>1459</v>
      </c>
      <c r="T708" s="2956" t="s">
        <v>1459</v>
      </c>
      <c r="U708" s="2956"/>
      <c r="V708" s="2947" t="s">
        <v>7225</v>
      </c>
      <c r="W708" s="2947"/>
      <c r="X708" s="2945" t="str">
        <f t="shared" si="104"/>
        <v>Mediana</v>
      </c>
      <c r="Y708" s="2886">
        <f t="shared" ref="Y708:Y714" si="146">Bono_Fue</f>
        <v>0</v>
      </c>
      <c r="Z708" s="1326" t="str">
        <f t="shared" si="144"/>
        <v/>
      </c>
      <c r="AB708" s="597" t="s">
        <v>2177</v>
      </c>
      <c r="AC708" s="236"/>
      <c r="AD708" s="236"/>
      <c r="AE708" s="891"/>
      <c r="AG708" s="907" t="str">
        <f t="shared" si="126"/>
        <v/>
      </c>
      <c r="AH708" s="86" t="str">
        <f t="shared" si="127"/>
        <v/>
      </c>
      <c r="AI708" s="86" t="str">
        <f t="shared" si="128"/>
        <v>Spatha</v>
      </c>
      <c r="AJ708" s="1327">
        <f>IF(OR($L708=AJ$635,$L708="",$D708=$AL$634),MAX(AJ$637:AJ707)+1,0)</f>
        <v>0</v>
      </c>
      <c r="AK708" s="1328">
        <f>IF(OR($L708=AK$635,$L708="",$D708=$AL$634),MAX(AK$637:AK707)+1,0)</f>
        <v>0</v>
      </c>
      <c r="AL708" s="1329">
        <f>IF(OR($L708=AL$635,$L708="",$D708=$AL$634),MAX(AL$637:AL707)+1,0)</f>
        <v>70</v>
      </c>
      <c r="AM708" s="5867"/>
      <c r="AN708" s="907" t="str">
        <f t="shared" si="129"/>
        <v/>
      </c>
      <c r="AO708" s="86" t="str">
        <f t="shared" si="130"/>
        <v/>
      </c>
      <c r="AP708" s="86" t="str">
        <f t="shared" si="131"/>
        <v>Spatha</v>
      </c>
      <c r="AQ708" s="1327">
        <f>IF(OR($L708=AQ$635,$L708="",$D708=$AS$634),MAX(AQ$637:AQ707)+1,0)</f>
        <v>0</v>
      </c>
      <c r="AR708" s="1328">
        <f>IF(OR($L708=AR$635,$L708="",$D708=$AS$634),MAX(AR$637:AR707)+1,0)</f>
        <v>0</v>
      </c>
      <c r="AS708" s="1329">
        <f>IF(OR($L708=AS$635,$L708="",$D708=$AS$634),MAX(AS$637:AS707)+1,0)</f>
        <v>70</v>
      </c>
      <c r="AT708" s="5867"/>
      <c r="AU708" s="907" t="str">
        <f t="shared" si="132"/>
        <v/>
      </c>
      <c r="AV708" s="86" t="str">
        <f t="shared" si="133"/>
        <v/>
      </c>
      <c r="AW708" s="86" t="str">
        <f t="shared" si="134"/>
        <v>Spatha</v>
      </c>
      <c r="AX708" s="1327">
        <f>IF(OR($L708=AX$635,$L708="",$D708=$AZ$634),MAX(AX$637:AX707)+1,0)</f>
        <v>0</v>
      </c>
      <c r="AY708" s="1328">
        <f>IF(OR($L708=AY$635,$L708="",$D708=$AZ$634),MAX(AY$637:AY707)+1,0)</f>
        <v>0</v>
      </c>
      <c r="AZ708" s="1329">
        <f>IF(OR($L708=AZ$635,$L708="",$D708=$AZ$634),MAX(AZ$637:AZ707)+1,0)</f>
        <v>70</v>
      </c>
      <c r="BA708" s="5867"/>
      <c r="BB708" s="907" t="str">
        <f t="shared" si="135"/>
        <v/>
      </c>
      <c r="BC708" s="86" t="str">
        <f t="shared" si="136"/>
        <v/>
      </c>
      <c r="BD708" s="86" t="str">
        <f t="shared" si="137"/>
        <v>Spatha</v>
      </c>
      <c r="BE708" s="1327">
        <f>IF(OR($L708=BE$635,$L708="",$D708=$BG$634),MAX(BE$637:BE707)+1,0)</f>
        <v>0</v>
      </c>
      <c r="BF708" s="1328">
        <f>IF(OR($L708=BF$635,$L708="",$D708=$BG$634),MAX(BF$637:BF707)+1,0)</f>
        <v>0</v>
      </c>
      <c r="BG708" s="1329">
        <f>IF(OR($L708=BG$635,$L708="",$D708=$BG$634),MAX(BG$637:BG707)+1,0)</f>
        <v>70</v>
      </c>
      <c r="BH708" s="5867"/>
      <c r="BI708" s="907" t="str">
        <f t="shared" si="138"/>
        <v/>
      </c>
      <c r="BJ708" s="86" t="str">
        <f t="shared" si="139"/>
        <v/>
      </c>
      <c r="BK708" s="86" t="str">
        <f t="shared" si="140"/>
        <v>Spatha</v>
      </c>
      <c r="BL708" s="1327">
        <f>IF(OR($L708=BL$635,$L708="",$D708=$BN$634),MAX(BL$637:BL707)+1,0)</f>
        <v>0</v>
      </c>
      <c r="BM708" s="1328">
        <f>IF(OR($L708=BM$635,$L708="",$D708=$BN$634),MAX(BM$637:BM707)+1,0)</f>
        <v>0</v>
      </c>
      <c r="BN708" s="1329">
        <f>IF(OR($L708=BN$635,$L708="",$D708=$BN$634),MAX(BN$637:BN707)+1,0)</f>
        <v>70</v>
      </c>
      <c r="BO708" s="5867"/>
      <c r="BP708" s="907" t="str">
        <f t="shared" si="141"/>
        <v/>
      </c>
      <c r="BQ708" s="86" t="str">
        <f t="shared" si="142"/>
        <v/>
      </c>
      <c r="BR708" s="86" t="str">
        <f t="shared" si="143"/>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838"/>
      <c r="C709" s="1208"/>
      <c r="D709" s="2957" t="s">
        <v>7204</v>
      </c>
      <c r="E709" s="2961">
        <v>45</v>
      </c>
      <c r="F709" s="2956">
        <v>5</v>
      </c>
      <c r="G709" s="2956">
        <v>6</v>
      </c>
      <c r="H709" s="2956">
        <v>6</v>
      </c>
      <c r="I709" s="2956" t="s">
        <v>1556</v>
      </c>
      <c r="J709" s="2956" t="s">
        <v>1555</v>
      </c>
      <c r="K709" s="2947" t="s">
        <v>7458</v>
      </c>
      <c r="L709" s="2956" t="str">
        <f t="shared" si="145"/>
        <v>Distinta</v>
      </c>
      <c r="M709" s="2962">
        <v>14</v>
      </c>
      <c r="N709" s="2962">
        <v>3</v>
      </c>
      <c r="O709" s="2962">
        <v>20</v>
      </c>
      <c r="P709" s="2956"/>
      <c r="Q709" s="2956"/>
      <c r="R709" s="2956" t="s">
        <v>1459</v>
      </c>
      <c r="S709" s="2956" t="s">
        <v>1459</v>
      </c>
      <c r="T709" s="2956" t="s">
        <v>1459</v>
      </c>
      <c r="U709" s="2956"/>
      <c r="V709" s="2947" t="s">
        <v>1459</v>
      </c>
      <c r="W709" s="2947"/>
      <c r="X709" s="2945" t="str">
        <f t="shared" ref="X709:X714" si="147">IF(K709="/","",IF(OR(ISNUMBER(FIND("Mandoble",K709)),ISNUMBER(FIND("Asta",K709))),"Grande",IF(ISNUMBER(FIND("Corta",K709)),"Pequeña","Mediana")))</f>
        <v>Mediana</v>
      </c>
      <c r="Y709" s="2886">
        <f t="shared" si="146"/>
        <v>0</v>
      </c>
      <c r="Z709" s="1326" t="str">
        <f t="shared" si="144"/>
        <v/>
      </c>
      <c r="AB709" s="597" t="s">
        <v>2178</v>
      </c>
      <c r="AC709" s="236"/>
      <c r="AD709" s="236"/>
      <c r="AE709" s="891"/>
      <c r="AG709" s="907" t="str">
        <f t="shared" si="126"/>
        <v/>
      </c>
      <c r="AH709" s="86" t="str">
        <f t="shared" si="127"/>
        <v/>
      </c>
      <c r="AI709" s="86" t="str">
        <f t="shared" si="128"/>
        <v>Tridente</v>
      </c>
      <c r="AJ709" s="1327">
        <f>IF(OR($L709=AJ$635,$L709="",$D709=$AL$634),MAX(AJ$637:AJ708)+1,0)</f>
        <v>0</v>
      </c>
      <c r="AK709" s="1328">
        <f>IF(OR($L709=AK$635,$L709="",$D709=$AL$634),MAX(AK$637:AK708)+1,0)</f>
        <v>0</v>
      </c>
      <c r="AL709" s="1329">
        <f>IF(OR($L709=AL$635,$L709="",$D709=$AL$634),MAX(AL$637:AL708)+1,0)</f>
        <v>71</v>
      </c>
      <c r="AM709" s="5867"/>
      <c r="AN709" s="907" t="str">
        <f t="shared" si="129"/>
        <v/>
      </c>
      <c r="AO709" s="86" t="str">
        <f t="shared" si="130"/>
        <v/>
      </c>
      <c r="AP709" s="86" t="str">
        <f t="shared" si="131"/>
        <v>Tridente</v>
      </c>
      <c r="AQ709" s="1327">
        <f>IF(OR($L709=AQ$635,$L709="",$D709=$AS$634),MAX(AQ$637:AQ708)+1,0)</f>
        <v>0</v>
      </c>
      <c r="AR709" s="1328">
        <f>IF(OR($L709=AR$635,$L709="",$D709=$AS$634),MAX(AR$637:AR708)+1,0)</f>
        <v>0</v>
      </c>
      <c r="AS709" s="1329">
        <f>IF(OR($L709=AS$635,$L709="",$D709=$AS$634),MAX(AS$637:AS708)+1,0)</f>
        <v>71</v>
      </c>
      <c r="AT709" s="5867"/>
      <c r="AU709" s="907" t="str">
        <f t="shared" si="132"/>
        <v/>
      </c>
      <c r="AV709" s="86" t="str">
        <f t="shared" si="133"/>
        <v/>
      </c>
      <c r="AW709" s="86" t="str">
        <f t="shared" si="134"/>
        <v>Tridente</v>
      </c>
      <c r="AX709" s="1327">
        <f>IF(OR($L709=AX$635,$L709="",$D709=$AZ$634),MAX(AX$637:AX708)+1,0)</f>
        <v>0</v>
      </c>
      <c r="AY709" s="1328">
        <f>IF(OR($L709=AY$635,$L709="",$D709=$AZ$634),MAX(AY$637:AY708)+1,0)</f>
        <v>0</v>
      </c>
      <c r="AZ709" s="1329">
        <f>IF(OR($L709=AZ$635,$L709="",$D709=$AZ$634),MAX(AZ$637:AZ708)+1,0)</f>
        <v>71</v>
      </c>
      <c r="BA709" s="5867"/>
      <c r="BB709" s="907" t="str">
        <f t="shared" si="135"/>
        <v/>
      </c>
      <c r="BC709" s="86" t="str">
        <f t="shared" si="136"/>
        <v/>
      </c>
      <c r="BD709" s="86" t="str">
        <f t="shared" si="137"/>
        <v>Tridente</v>
      </c>
      <c r="BE709" s="1327">
        <f>IF(OR($L709=BE$635,$L709="",$D709=$BG$634),MAX(BE$637:BE708)+1,0)</f>
        <v>0</v>
      </c>
      <c r="BF709" s="1328">
        <f>IF(OR($L709=BF$635,$L709="",$D709=$BG$634),MAX(BF$637:BF708)+1,0)</f>
        <v>0</v>
      </c>
      <c r="BG709" s="1329">
        <f>IF(OR($L709=BG$635,$L709="",$D709=$BG$634),MAX(BG$637:BG708)+1,0)</f>
        <v>71</v>
      </c>
      <c r="BH709" s="5867"/>
      <c r="BI709" s="907" t="str">
        <f t="shared" si="138"/>
        <v/>
      </c>
      <c r="BJ709" s="86" t="str">
        <f t="shared" si="139"/>
        <v/>
      </c>
      <c r="BK709" s="86" t="str">
        <f t="shared" si="140"/>
        <v>Tridente</v>
      </c>
      <c r="BL709" s="1327">
        <f>IF(OR($L709=BL$635,$L709="",$D709=$BN$634),MAX(BL$637:BL708)+1,0)</f>
        <v>0</v>
      </c>
      <c r="BM709" s="1328">
        <f>IF(OR($L709=BM$635,$L709="",$D709=$BN$634),MAX(BM$637:BM708)+1,0)</f>
        <v>0</v>
      </c>
      <c r="BN709" s="1329">
        <f>IF(OR($L709=BN$635,$L709="",$D709=$BN$634),MAX(BN$637:BN708)+1,0)</f>
        <v>71</v>
      </c>
      <c r="BO709" s="5867"/>
      <c r="BP709" s="907" t="str">
        <f t="shared" si="141"/>
        <v/>
      </c>
      <c r="BQ709" s="86" t="str">
        <f t="shared" si="142"/>
        <v/>
      </c>
      <c r="BR709" s="86" t="str">
        <f t="shared" si="143"/>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838"/>
      <c r="C710" s="1208"/>
      <c r="D710" s="2957" t="s">
        <v>2171</v>
      </c>
      <c r="E710" s="2961">
        <v>40</v>
      </c>
      <c r="F710" s="2956">
        <v>-10</v>
      </c>
      <c r="G710" s="2956">
        <v>6</v>
      </c>
      <c r="H710" s="2956">
        <v>6</v>
      </c>
      <c r="I710" s="2956" t="s">
        <v>1556</v>
      </c>
      <c r="J710" s="2956" t="s">
        <v>1459</v>
      </c>
      <c r="K710" s="2947" t="s">
        <v>7455</v>
      </c>
      <c r="L710" s="2956" t="str">
        <f t="shared" si="145"/>
        <v>Distinta</v>
      </c>
      <c r="M710" s="2962">
        <v>12</v>
      </c>
      <c r="N710" s="2962">
        <v>3</v>
      </c>
      <c r="O710" s="2962">
        <v>15</v>
      </c>
      <c r="P710" s="2956"/>
      <c r="Q710" s="2956"/>
      <c r="R710" s="2962">
        <v>100</v>
      </c>
      <c r="S710" s="2956" t="s">
        <v>1459</v>
      </c>
      <c r="T710" s="2956">
        <v>15</v>
      </c>
      <c r="U710" s="2956"/>
      <c r="V710" s="2947" t="s">
        <v>8777</v>
      </c>
      <c r="W710" s="2947"/>
      <c r="X710" s="2945" t="str">
        <f t="shared" si="147"/>
        <v>Grande</v>
      </c>
      <c r="Y710" s="2886">
        <f t="shared" si="146"/>
        <v>0</v>
      </c>
      <c r="Z710" s="1326" t="str">
        <f t="shared" si="144"/>
        <v/>
      </c>
      <c r="AB710" s="907" t="s">
        <v>2179</v>
      </c>
      <c r="AC710" s="236"/>
      <c r="AD710" s="236"/>
      <c r="AE710" s="891"/>
      <c r="AG710" s="907" t="str">
        <f t="shared" si="126"/>
        <v/>
      </c>
      <c r="AH710" s="86" t="str">
        <f t="shared" si="127"/>
        <v/>
      </c>
      <c r="AI710" s="86" t="str">
        <f t="shared" si="128"/>
        <v>Turcus</v>
      </c>
      <c r="AJ710" s="1327">
        <f>IF(OR($L710=AJ$635,$L710="",$D710=$AL$634),MAX(AJ$637:AJ709)+1,0)</f>
        <v>0</v>
      </c>
      <c r="AK710" s="1328">
        <f>IF(OR($L710=AK$635,$L710="",$D710=$AL$634),MAX(AK$637:AK709)+1,0)</f>
        <v>0</v>
      </c>
      <c r="AL710" s="1329">
        <f>IF(OR($L710=AL$635,$L710="",$D710=$AL$634),MAX(AL$637:AL709)+1,0)</f>
        <v>72</v>
      </c>
      <c r="AM710" s="5867"/>
      <c r="AN710" s="907" t="str">
        <f t="shared" si="129"/>
        <v/>
      </c>
      <c r="AO710" s="86" t="str">
        <f t="shared" si="130"/>
        <v/>
      </c>
      <c r="AP710" s="86" t="str">
        <f t="shared" si="131"/>
        <v>Turcus</v>
      </c>
      <c r="AQ710" s="1327">
        <f>IF(OR($L710=AQ$635,$L710="",$D710=$AS$634),MAX(AQ$637:AQ709)+1,0)</f>
        <v>0</v>
      </c>
      <c r="AR710" s="1328">
        <f>IF(OR($L710=AR$635,$L710="",$D710=$AS$634),MAX(AR$637:AR709)+1,0)</f>
        <v>0</v>
      </c>
      <c r="AS710" s="1329">
        <f>IF(OR($L710=AS$635,$L710="",$D710=$AS$634),MAX(AS$637:AS709)+1,0)</f>
        <v>72</v>
      </c>
      <c r="AT710" s="5867"/>
      <c r="AU710" s="907" t="str">
        <f t="shared" si="132"/>
        <v/>
      </c>
      <c r="AV710" s="86" t="str">
        <f t="shared" si="133"/>
        <v/>
      </c>
      <c r="AW710" s="86" t="str">
        <f t="shared" si="134"/>
        <v>Turcus</v>
      </c>
      <c r="AX710" s="1327">
        <f>IF(OR($L710=AX$635,$L710="",$D710=$AZ$634),MAX(AX$637:AX709)+1,0)</f>
        <v>0</v>
      </c>
      <c r="AY710" s="1328">
        <f>IF(OR($L710=AY$635,$L710="",$D710=$AZ$634),MAX(AY$637:AY709)+1,0)</f>
        <v>0</v>
      </c>
      <c r="AZ710" s="1329">
        <f>IF(OR($L710=AZ$635,$L710="",$D710=$AZ$634),MAX(AZ$637:AZ709)+1,0)</f>
        <v>72</v>
      </c>
      <c r="BA710" s="5867"/>
      <c r="BB710" s="907" t="str">
        <f t="shared" si="135"/>
        <v/>
      </c>
      <c r="BC710" s="86" t="str">
        <f t="shared" si="136"/>
        <v/>
      </c>
      <c r="BD710" s="86" t="str">
        <f t="shared" si="137"/>
        <v>Turcus</v>
      </c>
      <c r="BE710" s="1327">
        <f>IF(OR($L710=BE$635,$L710="",$D710=$BG$634),MAX(BE$637:BE709)+1,0)</f>
        <v>0</v>
      </c>
      <c r="BF710" s="1328">
        <f>IF(OR($L710=BF$635,$L710="",$D710=$BG$634),MAX(BF$637:BF709)+1,0)</f>
        <v>0</v>
      </c>
      <c r="BG710" s="1329">
        <f>IF(OR($L710=BG$635,$L710="",$D710=$BG$634),MAX(BG$637:BG709)+1,0)</f>
        <v>72</v>
      </c>
      <c r="BH710" s="5867"/>
      <c r="BI710" s="907" t="str">
        <f t="shared" si="138"/>
        <v/>
      </c>
      <c r="BJ710" s="86" t="str">
        <f t="shared" si="139"/>
        <v/>
      </c>
      <c r="BK710" s="86" t="str">
        <f t="shared" si="140"/>
        <v>Turcus</v>
      </c>
      <c r="BL710" s="1327">
        <f>IF(OR($L710=BL$635,$L710="",$D710=$BN$634),MAX(BL$637:BL709)+1,0)</f>
        <v>0</v>
      </c>
      <c r="BM710" s="1328">
        <f>IF(OR($L710=BM$635,$L710="",$D710=$BN$634),MAX(BM$637:BM709)+1,0)</f>
        <v>0</v>
      </c>
      <c r="BN710" s="1329">
        <f>IF(OR($L710=BN$635,$L710="",$D710=$BN$634),MAX(BN$637:BN709)+1,0)</f>
        <v>72</v>
      </c>
      <c r="BO710" s="5867"/>
      <c r="BP710" s="907" t="str">
        <f t="shared" si="141"/>
        <v/>
      </c>
      <c r="BQ710" s="86" t="str">
        <f t="shared" si="142"/>
        <v/>
      </c>
      <c r="BR710" s="86" t="str">
        <f t="shared" si="143"/>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838"/>
      <c r="C711" s="1208"/>
      <c r="D711" s="2957" t="s">
        <v>2172</v>
      </c>
      <c r="E711" s="2956">
        <v>40</v>
      </c>
      <c r="F711" s="2956">
        <v>0</v>
      </c>
      <c r="G711" s="2956">
        <v>6</v>
      </c>
      <c r="H711" s="2956">
        <v>6</v>
      </c>
      <c r="I711" s="2956" t="s">
        <v>1555</v>
      </c>
      <c r="J711" s="2956" t="s">
        <v>1459</v>
      </c>
      <c r="K711" s="2947" t="s">
        <v>7457</v>
      </c>
      <c r="L711" s="2956" t="str">
        <f t="shared" si="145"/>
        <v>Distinta</v>
      </c>
      <c r="M711" s="2962">
        <v>9</v>
      </c>
      <c r="N711" s="2962">
        <v>2</v>
      </c>
      <c r="O711" s="2962">
        <v>20</v>
      </c>
      <c r="P711" s="2956"/>
      <c r="Q711" s="2956"/>
      <c r="R711" s="2962">
        <v>80</v>
      </c>
      <c r="S711" s="2956" t="s">
        <v>1459</v>
      </c>
      <c r="T711" s="2956">
        <v>30</v>
      </c>
      <c r="U711" s="2956"/>
      <c r="V711" s="2947" t="s">
        <v>8778</v>
      </c>
      <c r="W711" s="2947"/>
      <c r="X711" s="2945" t="str">
        <f t="shared" si="147"/>
        <v>Mediana</v>
      </c>
      <c r="Y711" s="2886">
        <f t="shared" si="146"/>
        <v>0</v>
      </c>
      <c r="Z711" s="1326" t="str">
        <f t="shared" si="144"/>
        <v/>
      </c>
      <c r="AB711" s="907" t="s">
        <v>2180</v>
      </c>
      <c r="AC711" s="236"/>
      <c r="AD711" s="236"/>
      <c r="AE711" s="891"/>
      <c r="AG711" s="907" t="str">
        <f t="shared" si="126"/>
        <v/>
      </c>
      <c r="AH711" s="86" t="str">
        <f t="shared" si="127"/>
        <v/>
      </c>
      <c r="AI711" s="86" t="str">
        <f t="shared" si="128"/>
        <v>Urumi</v>
      </c>
      <c r="AJ711" s="1327">
        <f>IF(OR($L711=AJ$635,$L711="",$D711=$AL$634),MAX(AJ$637:AJ710)+1,0)</f>
        <v>0</v>
      </c>
      <c r="AK711" s="1328">
        <f>IF(OR($L711=AK$635,$L711="",$D711=$AL$634),MAX(AK$637:AK710)+1,0)</f>
        <v>0</v>
      </c>
      <c r="AL711" s="1329">
        <f>IF(OR($L711=AL$635,$L711="",$D711=$AL$634),MAX(AL$637:AL710)+1,0)</f>
        <v>73</v>
      </c>
      <c r="AM711" s="5867"/>
      <c r="AN711" s="907" t="str">
        <f t="shared" si="129"/>
        <v/>
      </c>
      <c r="AO711" s="86" t="str">
        <f t="shared" si="130"/>
        <v/>
      </c>
      <c r="AP711" s="86" t="str">
        <f t="shared" si="131"/>
        <v>Urumi</v>
      </c>
      <c r="AQ711" s="1327">
        <f>IF(OR($L711=AQ$635,$L711="",$D711=$AS$634),MAX(AQ$637:AQ710)+1,0)</f>
        <v>0</v>
      </c>
      <c r="AR711" s="1328">
        <f>IF(OR($L711=AR$635,$L711="",$D711=$AS$634),MAX(AR$637:AR710)+1,0)</f>
        <v>0</v>
      </c>
      <c r="AS711" s="1329">
        <f>IF(OR($L711=AS$635,$L711="",$D711=$AS$634),MAX(AS$637:AS710)+1,0)</f>
        <v>73</v>
      </c>
      <c r="AT711" s="5867"/>
      <c r="AU711" s="907" t="str">
        <f t="shared" si="132"/>
        <v/>
      </c>
      <c r="AV711" s="86" t="str">
        <f t="shared" si="133"/>
        <v/>
      </c>
      <c r="AW711" s="86" t="str">
        <f t="shared" si="134"/>
        <v>Urumi</v>
      </c>
      <c r="AX711" s="1327">
        <f>IF(OR($L711=AX$635,$L711="",$D711=$AZ$634),MAX(AX$637:AX710)+1,0)</f>
        <v>0</v>
      </c>
      <c r="AY711" s="1328">
        <f>IF(OR($L711=AY$635,$L711="",$D711=$AZ$634),MAX(AY$637:AY710)+1,0)</f>
        <v>0</v>
      </c>
      <c r="AZ711" s="1329">
        <f>IF(OR($L711=AZ$635,$L711="",$D711=$AZ$634),MAX(AZ$637:AZ710)+1,0)</f>
        <v>73</v>
      </c>
      <c r="BA711" s="5867"/>
      <c r="BB711" s="907" t="str">
        <f t="shared" si="135"/>
        <v/>
      </c>
      <c r="BC711" s="86" t="str">
        <f t="shared" si="136"/>
        <v/>
      </c>
      <c r="BD711" s="86" t="str">
        <f t="shared" si="137"/>
        <v>Urumi</v>
      </c>
      <c r="BE711" s="1327">
        <f>IF(OR($L711=BE$635,$L711="",$D711=$BG$634),MAX(BE$637:BE710)+1,0)</f>
        <v>0</v>
      </c>
      <c r="BF711" s="1328">
        <f>IF(OR($L711=BF$635,$L711="",$D711=$BG$634),MAX(BF$637:BF710)+1,0)</f>
        <v>0</v>
      </c>
      <c r="BG711" s="1329">
        <f>IF(OR($L711=BG$635,$L711="",$D711=$BG$634),MAX(BG$637:BG710)+1,0)</f>
        <v>73</v>
      </c>
      <c r="BH711" s="5867"/>
      <c r="BI711" s="907" t="str">
        <f t="shared" si="138"/>
        <v/>
      </c>
      <c r="BJ711" s="86" t="str">
        <f t="shared" si="139"/>
        <v/>
      </c>
      <c r="BK711" s="86" t="str">
        <f t="shared" si="140"/>
        <v>Urumi</v>
      </c>
      <c r="BL711" s="1327">
        <f>IF(OR($L711=BL$635,$L711="",$D711=$BN$634),MAX(BL$637:BL710)+1,0)</f>
        <v>0</v>
      </c>
      <c r="BM711" s="1328">
        <f>IF(OR($L711=BM$635,$L711="",$D711=$BN$634),MAX(BM$637:BM710)+1,0)</f>
        <v>0</v>
      </c>
      <c r="BN711" s="1329">
        <f>IF(OR($L711=BN$635,$L711="",$D711=$BN$634),MAX(BN$637:BN710)+1,0)</f>
        <v>73</v>
      </c>
      <c r="BO711" s="5867"/>
      <c r="BP711" s="907" t="str">
        <f t="shared" si="141"/>
        <v/>
      </c>
      <c r="BQ711" s="86" t="str">
        <f t="shared" si="142"/>
        <v/>
      </c>
      <c r="BR711" s="86" t="str">
        <f t="shared" si="143"/>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838"/>
      <c r="C712" s="1208"/>
      <c r="D712" s="2957" t="s">
        <v>7205</v>
      </c>
      <c r="E712" s="2961">
        <v>25</v>
      </c>
      <c r="F712" s="2956">
        <v>15</v>
      </c>
      <c r="G712" s="2956">
        <v>4</v>
      </c>
      <c r="H712" s="2956">
        <v>4</v>
      </c>
      <c r="I712" s="2956" t="s">
        <v>1555</v>
      </c>
      <c r="J712" s="2956" t="s">
        <v>1459</v>
      </c>
      <c r="K712" s="2947" t="s">
        <v>7459</v>
      </c>
      <c r="L712" s="2956" t="str">
        <f t="shared" si="145"/>
        <v>Distinta</v>
      </c>
      <c r="M712" s="2962">
        <v>7</v>
      </c>
      <c r="N712" s="2962">
        <v>-3</v>
      </c>
      <c r="O712" s="2962">
        <v>15</v>
      </c>
      <c r="P712" s="2956"/>
      <c r="Q712" s="2956"/>
      <c r="R712" s="2956" t="s">
        <v>1459</v>
      </c>
      <c r="S712" s="2956" t="s">
        <v>1459</v>
      </c>
      <c r="T712" s="2956" t="s">
        <v>1459</v>
      </c>
      <c r="U712" s="2956"/>
      <c r="V712" s="2947" t="s">
        <v>2191</v>
      </c>
      <c r="W712" s="2947"/>
      <c r="X712" s="2945" t="str">
        <f t="shared" si="147"/>
        <v>Mediana</v>
      </c>
      <c r="Y712" s="2886">
        <f t="shared" si="146"/>
        <v>0</v>
      </c>
      <c r="Z712" s="1326" t="str">
        <f t="shared" si="144"/>
        <v/>
      </c>
      <c r="AB712" s="597" t="s">
        <v>7189</v>
      </c>
      <c r="AC712" s="236"/>
      <c r="AD712" s="236"/>
      <c r="AE712" s="891"/>
      <c r="AG712" s="907" t="str">
        <f t="shared" si="126"/>
        <v/>
      </c>
      <c r="AH712" s="86" t="str">
        <f t="shared" si="127"/>
        <v/>
      </c>
      <c r="AI712" s="86" t="str">
        <f t="shared" si="128"/>
        <v>Valaska</v>
      </c>
      <c r="AJ712" s="1327">
        <f>IF(OR($L712=AJ$635,$L712="",$D712=$AL$634),MAX(AJ$637:AJ711)+1,0)</f>
        <v>0</v>
      </c>
      <c r="AK712" s="1328">
        <f>IF(OR($L712=AK$635,$L712="",$D712=$AL$634),MAX(AK$637:AK711)+1,0)</f>
        <v>0</v>
      </c>
      <c r="AL712" s="1329">
        <f>IF(OR($L712=AL$635,$L712="",$D712=$AL$634),MAX(AL$637:AL711)+1,0)</f>
        <v>74</v>
      </c>
      <c r="AM712" s="5867"/>
      <c r="AN712" s="907" t="str">
        <f t="shared" si="129"/>
        <v/>
      </c>
      <c r="AO712" s="86" t="str">
        <f t="shared" si="130"/>
        <v/>
      </c>
      <c r="AP712" s="86" t="str">
        <f t="shared" si="131"/>
        <v>Valaska</v>
      </c>
      <c r="AQ712" s="1327">
        <f>IF(OR($L712=AQ$635,$L712="",$D712=$AS$634),MAX(AQ$637:AQ711)+1,0)</f>
        <v>0</v>
      </c>
      <c r="AR712" s="1328">
        <f>IF(OR($L712=AR$635,$L712="",$D712=$AS$634),MAX(AR$637:AR711)+1,0)</f>
        <v>0</v>
      </c>
      <c r="AS712" s="1329">
        <f>IF(OR($L712=AS$635,$L712="",$D712=$AS$634),MAX(AS$637:AS711)+1,0)</f>
        <v>74</v>
      </c>
      <c r="AT712" s="5867"/>
      <c r="AU712" s="907" t="str">
        <f t="shared" si="132"/>
        <v/>
      </c>
      <c r="AV712" s="86" t="str">
        <f t="shared" si="133"/>
        <v/>
      </c>
      <c r="AW712" s="86" t="str">
        <f t="shared" si="134"/>
        <v>Valaska</v>
      </c>
      <c r="AX712" s="1327">
        <f>IF(OR($L712=AX$635,$L712="",$D712=$AZ$634),MAX(AX$637:AX711)+1,0)</f>
        <v>0</v>
      </c>
      <c r="AY712" s="1328">
        <f>IF(OR($L712=AY$635,$L712="",$D712=$AZ$634),MAX(AY$637:AY711)+1,0)</f>
        <v>0</v>
      </c>
      <c r="AZ712" s="1329">
        <f>IF(OR($L712=AZ$635,$L712="",$D712=$AZ$634),MAX(AZ$637:AZ711)+1,0)</f>
        <v>74</v>
      </c>
      <c r="BA712" s="5867"/>
      <c r="BB712" s="907" t="str">
        <f t="shared" si="135"/>
        <v/>
      </c>
      <c r="BC712" s="86" t="str">
        <f t="shared" si="136"/>
        <v/>
      </c>
      <c r="BD712" s="86" t="str">
        <f t="shared" si="137"/>
        <v>Valaska</v>
      </c>
      <c r="BE712" s="1327">
        <f>IF(OR($L712=BE$635,$L712="",$D712=$BG$634),MAX(BE$637:BE711)+1,0)</f>
        <v>0</v>
      </c>
      <c r="BF712" s="1328">
        <f>IF(OR($L712=BF$635,$L712="",$D712=$BG$634),MAX(BF$637:BF711)+1,0)</f>
        <v>0</v>
      </c>
      <c r="BG712" s="1329">
        <f>IF(OR($L712=BG$635,$L712="",$D712=$BG$634),MAX(BG$637:BG711)+1,0)</f>
        <v>74</v>
      </c>
      <c r="BH712" s="5867"/>
      <c r="BI712" s="907" t="str">
        <f t="shared" si="138"/>
        <v/>
      </c>
      <c r="BJ712" s="86" t="str">
        <f t="shared" si="139"/>
        <v/>
      </c>
      <c r="BK712" s="86" t="str">
        <f t="shared" si="140"/>
        <v>Valaska</v>
      </c>
      <c r="BL712" s="1327">
        <f>IF(OR($L712=BL$635,$L712="",$D712=$BN$634),MAX(BL$637:BL711)+1,0)</f>
        <v>0</v>
      </c>
      <c r="BM712" s="1328">
        <f>IF(OR($L712=BM$635,$L712="",$D712=$BN$634),MAX(BM$637:BM711)+1,0)</f>
        <v>0</v>
      </c>
      <c r="BN712" s="1329">
        <f>IF(OR($L712=BN$635,$L712="",$D712=$BN$634),MAX(BN$637:BN711)+1,0)</f>
        <v>74</v>
      </c>
      <c r="BO712" s="5867"/>
      <c r="BP712" s="907" t="str">
        <f t="shared" si="141"/>
        <v/>
      </c>
      <c r="BQ712" s="86" t="str">
        <f t="shared" si="142"/>
        <v/>
      </c>
      <c r="BR712" s="86" t="str">
        <f t="shared" si="143"/>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838"/>
      <c r="C713" s="1208"/>
      <c r="D713" s="2957" t="s">
        <v>7187</v>
      </c>
      <c r="E713" s="2961">
        <v>40</v>
      </c>
      <c r="F713" s="2956">
        <v>0</v>
      </c>
      <c r="G713" s="2956">
        <v>8</v>
      </c>
      <c r="H713" s="2956">
        <v>5</v>
      </c>
      <c r="I713" s="2956" t="s">
        <v>1555</v>
      </c>
      <c r="J713" s="2956" t="s">
        <v>1501</v>
      </c>
      <c r="K713" s="2947" t="s">
        <v>7470</v>
      </c>
      <c r="L713" s="2956" t="str">
        <f t="shared" si="145"/>
        <v>Distinta</v>
      </c>
      <c r="M713" s="2962">
        <v>11</v>
      </c>
      <c r="N713" s="2962">
        <v>2</v>
      </c>
      <c r="O713" s="2962">
        <v>20</v>
      </c>
      <c r="P713" s="2956"/>
      <c r="Q713" s="2956"/>
      <c r="R713" s="2956" t="s">
        <v>1459</v>
      </c>
      <c r="S713" s="2956" t="s">
        <v>1459</v>
      </c>
      <c r="T713" s="2956" t="s">
        <v>1459</v>
      </c>
      <c r="U713" s="2956"/>
      <c r="V713" s="2947" t="s">
        <v>2137</v>
      </c>
      <c r="W713" s="2947"/>
      <c r="X713" s="2945" t="str">
        <f t="shared" si="147"/>
        <v>Grande</v>
      </c>
      <c r="Y713" s="2886">
        <f t="shared" si="146"/>
        <v>0</v>
      </c>
      <c r="Z713" s="1326" t="str">
        <f t="shared" si="144"/>
        <v/>
      </c>
      <c r="AB713" s="597" t="s">
        <v>2183</v>
      </c>
      <c r="AC713" s="236"/>
      <c r="AD713" s="236"/>
      <c r="AE713" s="891"/>
      <c r="AG713" s="907" t="str">
        <f t="shared" si="126"/>
        <v/>
      </c>
      <c r="AH713" s="86" t="str">
        <f t="shared" si="127"/>
        <v/>
      </c>
      <c r="AI713" s="86" t="str">
        <f t="shared" si="128"/>
        <v>Vara</v>
      </c>
      <c r="AJ713" s="1327">
        <f>IF(OR($L713=AJ$635,$L713="",$D713=$AL$634),MAX(AJ$637:AJ712)+1,0)</f>
        <v>0</v>
      </c>
      <c r="AK713" s="1328">
        <f>IF(OR($L713=AK$635,$L713="",$D713=$AL$634),MAX(AK$637:AK712)+1,0)</f>
        <v>0</v>
      </c>
      <c r="AL713" s="1329">
        <f>IF(OR($L713=AL$635,$L713="",$D713=$AL$634),MAX(AL$637:AL712)+1,0)</f>
        <v>75</v>
      </c>
      <c r="AM713" s="5867"/>
      <c r="AN713" s="907" t="str">
        <f t="shared" si="129"/>
        <v/>
      </c>
      <c r="AO713" s="86" t="str">
        <f t="shared" si="130"/>
        <v/>
      </c>
      <c r="AP713" s="86" t="str">
        <f t="shared" si="131"/>
        <v>Vara</v>
      </c>
      <c r="AQ713" s="1327">
        <f>IF(OR($L713=AQ$635,$L713="",$D713=$AS$634),MAX(AQ$637:AQ712)+1,0)</f>
        <v>0</v>
      </c>
      <c r="AR713" s="1328">
        <f>IF(OR($L713=AR$635,$L713="",$D713=$AS$634),MAX(AR$637:AR712)+1,0)</f>
        <v>0</v>
      </c>
      <c r="AS713" s="1329">
        <f>IF(OR($L713=AS$635,$L713="",$D713=$AS$634),MAX(AS$637:AS712)+1,0)</f>
        <v>75</v>
      </c>
      <c r="AT713" s="5867"/>
      <c r="AU713" s="907" t="str">
        <f t="shared" si="132"/>
        <v/>
      </c>
      <c r="AV713" s="86" t="str">
        <f t="shared" si="133"/>
        <v/>
      </c>
      <c r="AW713" s="86" t="str">
        <f t="shared" si="134"/>
        <v>Vara</v>
      </c>
      <c r="AX713" s="1327">
        <f>IF(OR($L713=AX$635,$L713="",$D713=$AZ$634),MAX(AX$637:AX712)+1,0)</f>
        <v>0</v>
      </c>
      <c r="AY713" s="1328">
        <f>IF(OR($L713=AY$635,$L713="",$D713=$AZ$634),MAX(AY$637:AY712)+1,0)</f>
        <v>0</v>
      </c>
      <c r="AZ713" s="1329">
        <f>IF(OR($L713=AZ$635,$L713="",$D713=$AZ$634),MAX(AZ$637:AZ712)+1,0)</f>
        <v>75</v>
      </c>
      <c r="BA713" s="5867"/>
      <c r="BB713" s="907" t="str">
        <f t="shared" si="135"/>
        <v/>
      </c>
      <c r="BC713" s="86" t="str">
        <f t="shared" si="136"/>
        <v/>
      </c>
      <c r="BD713" s="86" t="str">
        <f t="shared" si="137"/>
        <v>Vara</v>
      </c>
      <c r="BE713" s="1327">
        <f>IF(OR($L713=BE$635,$L713="",$D713=$BG$634),MAX(BE$637:BE712)+1,0)</f>
        <v>0</v>
      </c>
      <c r="BF713" s="1328">
        <f>IF(OR($L713=BF$635,$L713="",$D713=$BG$634),MAX(BF$637:BF712)+1,0)</f>
        <v>0</v>
      </c>
      <c r="BG713" s="1329">
        <f>IF(OR($L713=BG$635,$L713="",$D713=$BG$634),MAX(BG$637:BG712)+1,0)</f>
        <v>75</v>
      </c>
      <c r="BH713" s="5867"/>
      <c r="BI713" s="907" t="str">
        <f t="shared" si="138"/>
        <v/>
      </c>
      <c r="BJ713" s="86" t="str">
        <f t="shared" si="139"/>
        <v/>
      </c>
      <c r="BK713" s="86" t="str">
        <f t="shared" si="140"/>
        <v>Vara</v>
      </c>
      <c r="BL713" s="1327">
        <f>IF(OR($L713=BL$635,$L713="",$D713=$BN$634),MAX(BL$637:BL712)+1,0)</f>
        <v>0</v>
      </c>
      <c r="BM713" s="1328">
        <f>IF(OR($L713=BM$635,$L713="",$D713=$BN$634),MAX(BM$637:BM712)+1,0)</f>
        <v>0</v>
      </c>
      <c r="BN713" s="1329">
        <f>IF(OR($L713=BN$635,$L713="",$D713=$BN$634),MAX(BN$637:BN712)+1,0)</f>
        <v>75</v>
      </c>
      <c r="BO713" s="5867"/>
      <c r="BP713" s="907" t="str">
        <f t="shared" si="141"/>
        <v/>
      </c>
      <c r="BQ713" s="86" t="str">
        <f t="shared" si="142"/>
        <v/>
      </c>
      <c r="BR713" s="86" t="str">
        <f t="shared" si="143"/>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838"/>
      <c r="C714" s="1208"/>
      <c r="D714" s="2957" t="s">
        <v>2173</v>
      </c>
      <c r="E714" s="2961">
        <v>30</v>
      </c>
      <c r="F714" s="2956">
        <v>10</v>
      </c>
      <c r="G714" s="2956">
        <v>4</v>
      </c>
      <c r="H714" s="2956">
        <v>4</v>
      </c>
      <c r="I714" s="2956" t="s">
        <v>1501</v>
      </c>
      <c r="J714" s="2956" t="s">
        <v>1459</v>
      </c>
      <c r="K714" s="2947" t="s">
        <v>7455</v>
      </c>
      <c r="L714" s="2956" t="str">
        <f t="shared" si="145"/>
        <v>Distinta</v>
      </c>
      <c r="M714" s="2962">
        <v>11</v>
      </c>
      <c r="N714" s="2962">
        <v>0</v>
      </c>
      <c r="O714" s="2962">
        <v>30</v>
      </c>
      <c r="P714" s="2956"/>
      <c r="Q714" s="2956"/>
      <c r="R714" s="2956" t="s">
        <v>1459</v>
      </c>
      <c r="S714" s="2956" t="s">
        <v>1459</v>
      </c>
      <c r="T714" s="2956" t="s">
        <v>1459</v>
      </c>
      <c r="U714" s="2956"/>
      <c r="V714" s="2947" t="s">
        <v>1583</v>
      </c>
      <c r="W714" s="2947"/>
      <c r="X714" s="2945" t="str">
        <f t="shared" si="147"/>
        <v>Grande</v>
      </c>
      <c r="Y714" s="2886">
        <f t="shared" si="146"/>
        <v>0</v>
      </c>
      <c r="Z714" s="1326" t="str">
        <f t="shared" si="144"/>
        <v/>
      </c>
      <c r="AB714" s="597" t="s">
        <v>2184</v>
      </c>
      <c r="AC714" s="236"/>
      <c r="AD714" s="236"/>
      <c r="AE714" s="891"/>
      <c r="AG714" s="907" t="str">
        <f t="shared" si="126"/>
        <v/>
      </c>
      <c r="AH714" s="86" t="str">
        <f t="shared" si="127"/>
        <v/>
      </c>
      <c r="AI714" s="86" t="str">
        <f t="shared" si="128"/>
        <v>&gt; ESCUDOS</v>
      </c>
      <c r="AJ714" s="1327">
        <f>IF(OR($L714=AJ$635,$L714="",$D714=$AL$634),MAX(AJ$637:AJ713)+1,0)</f>
        <v>0</v>
      </c>
      <c r="AK714" s="1328">
        <f>IF(OR($L714=AK$635,$L714="",$D714=$AL$634),MAX(AK$637:AK713)+1,0)</f>
        <v>0</v>
      </c>
      <c r="AL714" s="1329">
        <f>IF(OR($L714=AL$635,$L714="",$D714=$AL$634),MAX(AL$637:AL713)+1,0)</f>
        <v>76</v>
      </c>
      <c r="AM714" s="5867"/>
      <c r="AN714" s="907" t="str">
        <f t="shared" si="129"/>
        <v/>
      </c>
      <c r="AO714" s="86" t="str">
        <f t="shared" si="130"/>
        <v/>
      </c>
      <c r="AP714" s="86" t="str">
        <f t="shared" si="131"/>
        <v>&gt; ESCUDOS</v>
      </c>
      <c r="AQ714" s="1327">
        <f>IF(OR($L714=AQ$635,$L714="",$D714=$AS$634),MAX(AQ$637:AQ713)+1,0)</f>
        <v>0</v>
      </c>
      <c r="AR714" s="1328">
        <f>IF(OR($L714=AR$635,$L714="",$D714=$AS$634),MAX(AR$637:AR713)+1,0)</f>
        <v>0</v>
      </c>
      <c r="AS714" s="1329">
        <f>IF(OR($L714=AS$635,$L714="",$D714=$AS$634),MAX(AS$637:AS713)+1,0)</f>
        <v>76</v>
      </c>
      <c r="AT714" s="5867"/>
      <c r="AU714" s="907" t="str">
        <f t="shared" si="132"/>
        <v/>
      </c>
      <c r="AV714" s="86" t="str">
        <f t="shared" si="133"/>
        <v/>
      </c>
      <c r="AW714" s="86" t="str">
        <f t="shared" si="134"/>
        <v>&gt; ESCUDOS</v>
      </c>
      <c r="AX714" s="1327">
        <f>IF(OR($L714=AX$635,$L714="",$D714=$AZ$634),MAX(AX$637:AX713)+1,0)</f>
        <v>0</v>
      </c>
      <c r="AY714" s="1328">
        <f>IF(OR($L714=AY$635,$L714="",$D714=$AZ$634),MAX(AY$637:AY713)+1,0)</f>
        <v>0</v>
      </c>
      <c r="AZ714" s="1329">
        <f>IF(OR($L714=AZ$635,$L714="",$D714=$AZ$634),MAX(AZ$637:AZ713)+1,0)</f>
        <v>76</v>
      </c>
      <c r="BA714" s="5867"/>
      <c r="BB714" s="907" t="str">
        <f t="shared" si="135"/>
        <v/>
      </c>
      <c r="BC714" s="86" t="str">
        <f t="shared" si="136"/>
        <v/>
      </c>
      <c r="BD714" s="86" t="str">
        <f t="shared" si="137"/>
        <v>&gt; ESCUDOS</v>
      </c>
      <c r="BE714" s="1327">
        <f>IF(OR($L714=BE$635,$L714="",$D714=$BG$634),MAX(BE$637:BE713)+1,0)</f>
        <v>0</v>
      </c>
      <c r="BF714" s="1328">
        <f>IF(OR($L714=BF$635,$L714="",$D714=$BG$634),MAX(BF$637:BF713)+1,0)</f>
        <v>0</v>
      </c>
      <c r="BG714" s="1329">
        <f>IF(OR($L714=BG$635,$L714="",$D714=$BG$634),MAX(BG$637:BG713)+1,0)</f>
        <v>76</v>
      </c>
      <c r="BH714" s="5867"/>
      <c r="BI714" s="907" t="str">
        <f t="shared" si="138"/>
        <v/>
      </c>
      <c r="BJ714" s="86" t="str">
        <f t="shared" si="139"/>
        <v/>
      </c>
      <c r="BK714" s="86" t="str">
        <f t="shared" si="140"/>
        <v>&gt; ESCUDOS</v>
      </c>
      <c r="BL714" s="1327">
        <f>IF(OR($L714=BL$635,$L714="",$D714=$BN$634),MAX(BL$637:BL713)+1,0)</f>
        <v>0</v>
      </c>
      <c r="BM714" s="1328">
        <f>IF(OR($L714=BM$635,$L714="",$D714=$BN$634),MAX(BM$637:BM713)+1,0)</f>
        <v>0</v>
      </c>
      <c r="BN714" s="1329">
        <f>IF(OR($L714=BN$635,$L714="",$D714=$BN$634),MAX(BN$637:BN713)+1,0)</f>
        <v>76</v>
      </c>
      <c r="BO714" s="5867"/>
      <c r="BP714" s="907" t="str">
        <f t="shared" si="141"/>
        <v/>
      </c>
      <c r="BQ714" s="86" t="str">
        <f t="shared" si="142"/>
        <v/>
      </c>
      <c r="BR714" s="86" t="str">
        <f t="shared" si="143"/>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838"/>
      <c r="C715" s="1208"/>
      <c r="D715" s="2957" t="s">
        <v>2174</v>
      </c>
      <c r="E715" s="2952"/>
      <c r="F715" s="2952"/>
      <c r="G715" s="2952"/>
      <c r="H715" s="2952"/>
      <c r="I715" s="2952"/>
      <c r="J715" s="2952"/>
      <c r="K715" s="2946" t="s">
        <v>7453</v>
      </c>
      <c r="L715" s="2952"/>
      <c r="M715" s="2952"/>
      <c r="N715" s="2952"/>
      <c r="O715" s="2952"/>
      <c r="P715" s="2952"/>
      <c r="Q715" s="2952"/>
      <c r="R715" s="2952"/>
      <c r="S715" s="2952"/>
      <c r="T715" s="2952"/>
      <c r="U715" s="2952"/>
      <c r="V715" s="2946"/>
      <c r="W715" s="2946"/>
      <c r="X715" s="2948"/>
      <c r="Y715" s="1211"/>
      <c r="Z715" s="1326" t="str">
        <f t="shared" si="144"/>
        <v/>
      </c>
      <c r="AB715" s="597" t="s">
        <v>2186</v>
      </c>
      <c r="AC715" s="236"/>
      <c r="AD715" s="236"/>
      <c r="AE715" s="891"/>
      <c r="AG715" s="907" t="str">
        <f t="shared" si="126"/>
        <v/>
      </c>
      <c r="AH715" s="86" t="str">
        <f t="shared" si="127"/>
        <v/>
      </c>
      <c r="AI715" s="86" t="str">
        <f t="shared" si="128"/>
        <v>Escudo corporal</v>
      </c>
      <c r="AJ715" s="1327">
        <f>IF(OR($L715=AJ$635,$L715="",$D715=$AL$634),MAX(AJ$637:AJ714)+1,0)</f>
        <v>2</v>
      </c>
      <c r="AK715" s="1328">
        <f>IF(OR($L715=AK$635,$L715="",$D715=$AL$634),MAX(AK$637:AK714)+1,0)</f>
        <v>2</v>
      </c>
      <c r="AL715" s="1329">
        <f>IF(OR($L715=AL$635,$L715="",$D715=$AL$634),MAX(AL$637:AL714)+1,0)</f>
        <v>77</v>
      </c>
      <c r="AM715" s="5867"/>
      <c r="AN715" s="907" t="str">
        <f t="shared" si="129"/>
        <v/>
      </c>
      <c r="AO715" s="86" t="str">
        <f t="shared" si="130"/>
        <v/>
      </c>
      <c r="AP715" s="86" t="str">
        <f t="shared" si="131"/>
        <v>Escudo corporal</v>
      </c>
      <c r="AQ715" s="1327">
        <f>IF(OR($L715=AQ$635,$L715="",$D715=$AS$634),MAX(AQ$637:AQ714)+1,0)</f>
        <v>2</v>
      </c>
      <c r="AR715" s="1328">
        <f>IF(OR($L715=AR$635,$L715="",$D715=$AS$634),MAX(AR$637:AR714)+1,0)</f>
        <v>2</v>
      </c>
      <c r="AS715" s="1329">
        <f>IF(OR($L715=AS$635,$L715="",$D715=$AS$634),MAX(AS$637:AS714)+1,0)</f>
        <v>77</v>
      </c>
      <c r="AT715" s="5867"/>
      <c r="AU715" s="907" t="str">
        <f t="shared" si="132"/>
        <v/>
      </c>
      <c r="AV715" s="86" t="str">
        <f t="shared" si="133"/>
        <v/>
      </c>
      <c r="AW715" s="86" t="str">
        <f t="shared" si="134"/>
        <v>Escudo corporal</v>
      </c>
      <c r="AX715" s="1327">
        <f>IF(OR($L715=AX$635,$L715="",$D715=$AZ$634),MAX(AX$637:AX714)+1,0)</f>
        <v>2</v>
      </c>
      <c r="AY715" s="1328">
        <f>IF(OR($L715=AY$635,$L715="",$D715=$AZ$634),MAX(AY$637:AY714)+1,0)</f>
        <v>2</v>
      </c>
      <c r="AZ715" s="1329">
        <f>IF(OR($L715=AZ$635,$L715="",$D715=$AZ$634),MAX(AZ$637:AZ714)+1,0)</f>
        <v>77</v>
      </c>
      <c r="BA715" s="5867"/>
      <c r="BB715" s="907" t="str">
        <f t="shared" si="135"/>
        <v/>
      </c>
      <c r="BC715" s="86" t="str">
        <f t="shared" si="136"/>
        <v/>
      </c>
      <c r="BD715" s="86" t="str">
        <f t="shared" si="137"/>
        <v>Escudo corporal</v>
      </c>
      <c r="BE715" s="1327">
        <f>IF(OR($L715=BE$635,$L715="",$D715=$BG$634),MAX(BE$637:BE714)+1,0)</f>
        <v>2</v>
      </c>
      <c r="BF715" s="1328">
        <f>IF(OR($L715=BF$635,$L715="",$D715=$BG$634),MAX(BF$637:BF714)+1,0)</f>
        <v>2</v>
      </c>
      <c r="BG715" s="1329">
        <f>IF(OR($L715=BG$635,$L715="",$D715=$BG$634),MAX(BG$637:BG714)+1,0)</f>
        <v>77</v>
      </c>
      <c r="BH715" s="5867"/>
      <c r="BI715" s="907" t="str">
        <f t="shared" si="138"/>
        <v/>
      </c>
      <c r="BJ715" s="86" t="str">
        <f t="shared" si="139"/>
        <v/>
      </c>
      <c r="BK715" s="86" t="str">
        <f t="shared" si="140"/>
        <v>Escudo corporal</v>
      </c>
      <c r="BL715" s="1327">
        <f>IF(OR($L715=BL$635,$L715="",$D715=$BN$634),MAX(BL$637:BL714)+1,0)</f>
        <v>2</v>
      </c>
      <c r="BM715" s="1328">
        <f>IF(OR($L715=BM$635,$L715="",$D715=$BN$634),MAX(BM$637:BM714)+1,0)</f>
        <v>2</v>
      </c>
      <c r="BN715" s="1329">
        <f>IF(OR($L715=BN$635,$L715="",$D715=$BN$634),MAX(BN$637:BN714)+1,0)</f>
        <v>77</v>
      </c>
      <c r="BO715" s="5867"/>
      <c r="BP715" s="907" t="str">
        <f t="shared" si="141"/>
        <v/>
      </c>
      <c r="BQ715" s="86" t="str">
        <f t="shared" si="142"/>
        <v/>
      </c>
      <c r="BR715" s="86" t="str">
        <f t="shared" si="143"/>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838"/>
      <c r="C716" s="1208"/>
      <c r="D716" s="2957" t="s">
        <v>2175</v>
      </c>
      <c r="E716" s="2961">
        <v>25</v>
      </c>
      <c r="F716" s="2956">
        <v>-40</v>
      </c>
      <c r="G716" s="2956">
        <v>10</v>
      </c>
      <c r="H716" s="2956">
        <v>10</v>
      </c>
      <c r="I716" s="2956" t="s">
        <v>1501</v>
      </c>
      <c r="J716" s="2956" t="s">
        <v>1459</v>
      </c>
      <c r="K716" s="2947" t="s">
        <v>7471</v>
      </c>
      <c r="L716" s="2956" t="str">
        <f>IF(ISNUMBER(SEARCH($D716,Armas_Conocidas)),"Conocida",IF(OR(ISNUMBER(SEARCH(LEFT($K716,SEARCH("/",$K716)),Tipologías_Conocidas)),AND(NOT(ISNUMBER(SEARCH("/-",$K716))),ISNUMBER(SEARCH(MID($K716,SEARCH("/",$K716)+1,LEN($K716)),Tipologías_Conocidas)))),IF(ISNUMBER(SEARCH($K716,Tipologías_Conocidas)),"Similar","Mixta"),"Distinta"))</f>
        <v>Distinta</v>
      </c>
      <c r="M716" s="2962">
        <v>18</v>
      </c>
      <c r="N716" s="2962">
        <v>1</v>
      </c>
      <c r="O716" s="2962">
        <v>25</v>
      </c>
      <c r="P716" s="2962">
        <v>30</v>
      </c>
      <c r="Q716" s="2962">
        <f>IF(COUNTIF(Compra_TablasEstilo,"Tabla de Esquiva con Escudo")&gt;0,P716,15)</f>
        <v>15</v>
      </c>
      <c r="R716" s="2956" t="s">
        <v>1459</v>
      </c>
      <c r="S716" s="2956" t="s">
        <v>1459</v>
      </c>
      <c r="T716" s="2956" t="s">
        <v>1459</v>
      </c>
      <c r="U716" s="2956"/>
      <c r="V716" s="2949" t="str">
        <f>"Escudo. -"&amp;P716&amp;" HP/-"&amp;Q716&amp;" HE si se usa para atacar."</f>
        <v>Escudo. -30 HP/-15 HE si se usa para atacar.</v>
      </c>
      <c r="W716" s="2949"/>
      <c r="X716" s="2950"/>
      <c r="Y716" s="2886">
        <f>Bono_Fue</f>
        <v>0</v>
      </c>
      <c r="Z716" s="1326" t="str">
        <f t="shared" si="144"/>
        <v/>
      </c>
      <c r="AB716" s="597" t="s">
        <v>7206</v>
      </c>
      <c r="AC716" s="236"/>
      <c r="AD716" s="236"/>
      <c r="AE716" s="891"/>
      <c r="AG716" s="907" t="str">
        <f t="shared" si="126"/>
        <v/>
      </c>
      <c r="AH716" s="86" t="str">
        <f t="shared" si="127"/>
        <v/>
      </c>
      <c r="AI716" s="86" t="str">
        <f t="shared" si="128"/>
        <v>Escudo medio</v>
      </c>
      <c r="AJ716" s="1327">
        <f>IF(OR($L716=AJ$635,$L716="",$D716=$AL$634),MAX(AJ$637:AJ715)+1,0)</f>
        <v>0</v>
      </c>
      <c r="AK716" s="1328">
        <f>IF(OR($L716=AK$635,$L716="",$D716=$AL$634),MAX(AK$637:AK715)+1,0)</f>
        <v>0</v>
      </c>
      <c r="AL716" s="1329">
        <f>IF(OR($L716=AL$635,$L716="",$D716=$AL$634),MAX(AL$637:AL715)+1,0)</f>
        <v>78</v>
      </c>
      <c r="AM716" s="5867"/>
      <c r="AN716" s="907" t="str">
        <f t="shared" si="129"/>
        <v/>
      </c>
      <c r="AO716" s="86" t="str">
        <f t="shared" si="130"/>
        <v/>
      </c>
      <c r="AP716" s="86" t="str">
        <f t="shared" si="131"/>
        <v>Escudo medio</v>
      </c>
      <c r="AQ716" s="1327">
        <f>IF(OR($L716=AQ$635,$L716="",$D716=$AS$634),MAX(AQ$637:AQ715)+1,0)</f>
        <v>0</v>
      </c>
      <c r="AR716" s="1328">
        <f>IF(OR($L716=AR$635,$L716="",$D716=$AS$634),MAX(AR$637:AR715)+1,0)</f>
        <v>0</v>
      </c>
      <c r="AS716" s="1329">
        <f>IF(OR($L716=AS$635,$L716="",$D716=$AS$634),MAX(AS$637:AS715)+1,0)</f>
        <v>78</v>
      </c>
      <c r="AT716" s="5867"/>
      <c r="AU716" s="907" t="str">
        <f t="shared" si="132"/>
        <v/>
      </c>
      <c r="AV716" s="86" t="str">
        <f t="shared" si="133"/>
        <v/>
      </c>
      <c r="AW716" s="86" t="str">
        <f t="shared" si="134"/>
        <v>Escudo medio</v>
      </c>
      <c r="AX716" s="1327">
        <f>IF(OR($L716=AX$635,$L716="",$D716=$AZ$634),MAX(AX$637:AX715)+1,0)</f>
        <v>0</v>
      </c>
      <c r="AY716" s="1328">
        <f>IF(OR($L716=AY$635,$L716="",$D716=$AZ$634),MAX(AY$637:AY715)+1,0)</f>
        <v>0</v>
      </c>
      <c r="AZ716" s="1329">
        <f>IF(OR($L716=AZ$635,$L716="",$D716=$AZ$634),MAX(AZ$637:AZ715)+1,0)</f>
        <v>78</v>
      </c>
      <c r="BA716" s="5867"/>
      <c r="BB716" s="907" t="str">
        <f t="shared" si="135"/>
        <v/>
      </c>
      <c r="BC716" s="86" t="str">
        <f t="shared" si="136"/>
        <v/>
      </c>
      <c r="BD716" s="86" t="str">
        <f t="shared" si="137"/>
        <v>Escudo medio</v>
      </c>
      <c r="BE716" s="1327">
        <f>IF(OR($L716=BE$635,$L716="",$D716=$BG$634),MAX(BE$637:BE715)+1,0)</f>
        <v>0</v>
      </c>
      <c r="BF716" s="1328">
        <f>IF(OR($L716=BF$635,$L716="",$D716=$BG$634),MAX(BF$637:BF715)+1,0)</f>
        <v>0</v>
      </c>
      <c r="BG716" s="1329">
        <f>IF(OR($L716=BG$635,$L716="",$D716=$BG$634),MAX(BG$637:BG715)+1,0)</f>
        <v>78</v>
      </c>
      <c r="BH716" s="5867"/>
      <c r="BI716" s="907" t="str">
        <f t="shared" si="138"/>
        <v/>
      </c>
      <c r="BJ716" s="86" t="str">
        <f t="shared" si="139"/>
        <v/>
      </c>
      <c r="BK716" s="86" t="str">
        <f t="shared" si="140"/>
        <v>Escudo medio</v>
      </c>
      <c r="BL716" s="1327">
        <f>IF(OR($L716=BL$635,$L716="",$D716=$BN$634),MAX(BL$637:BL715)+1,0)</f>
        <v>0</v>
      </c>
      <c r="BM716" s="1328">
        <f>IF(OR($L716=BM$635,$L716="",$D716=$BN$634),MAX(BM$637:BM715)+1,0)</f>
        <v>0</v>
      </c>
      <c r="BN716" s="1329">
        <f>IF(OR($L716=BN$635,$L716="",$D716=$BN$634),MAX(BN$637:BN715)+1,0)</f>
        <v>78</v>
      </c>
      <c r="BO716" s="5867"/>
      <c r="BP716" s="907" t="str">
        <f t="shared" si="141"/>
        <v/>
      </c>
      <c r="BQ716" s="86" t="str">
        <f t="shared" si="142"/>
        <v/>
      </c>
      <c r="BR716" s="86" t="str">
        <f t="shared" si="143"/>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838"/>
      <c r="C717" s="1208"/>
      <c r="D717" s="2957" t="s">
        <v>2177</v>
      </c>
      <c r="E717" s="2961">
        <v>20</v>
      </c>
      <c r="F717" s="2956">
        <v>-25</v>
      </c>
      <c r="G717" s="2956">
        <v>7</v>
      </c>
      <c r="H717" s="2956">
        <v>7</v>
      </c>
      <c r="I717" s="2956" t="s">
        <v>1501</v>
      </c>
      <c r="J717" s="2956" t="s">
        <v>1459</v>
      </c>
      <c r="K717" s="2947" t="s">
        <v>7471</v>
      </c>
      <c r="L717" s="2956" t="str">
        <f>IF(ISNUMBER(SEARCH($D717,Armas_Conocidas)),"Conocida",IF(OR(ISNUMBER(SEARCH(LEFT($K717,SEARCH("/",$K717)),Tipologías_Conocidas)),AND(NOT(ISNUMBER(SEARCH("/-",$K717))),ISNUMBER(SEARCH(MID($K717,SEARCH("/",$K717)+1,LEN($K717)),Tipologías_Conocidas)))),IF(ISNUMBER(SEARCH($K717,Tipologías_Conocidas)),"Similar","Mixta"),"Distinta"))</f>
        <v>Distinta</v>
      </c>
      <c r="M717" s="2962">
        <v>16</v>
      </c>
      <c r="N717" s="2962">
        <v>0</v>
      </c>
      <c r="O717" s="2962">
        <v>25</v>
      </c>
      <c r="P717" s="2962">
        <v>20</v>
      </c>
      <c r="Q717" s="2962">
        <f>IF(COUNTIF(Compra_TablasEstilo,"Tabla de Esquiva con Escudo")&gt;0,P717,10)</f>
        <v>10</v>
      </c>
      <c r="R717" s="2956" t="s">
        <v>1459</v>
      </c>
      <c r="S717" s="2956" t="s">
        <v>1459</v>
      </c>
      <c r="T717" s="2956" t="s">
        <v>1459</v>
      </c>
      <c r="U717" s="2956"/>
      <c r="V717" s="2949" t="str">
        <f>"Escudo. -"&amp;P717&amp;" HP/-"&amp;Q717&amp;" HE si se usa para atacar."</f>
        <v>Escudo. -20 HP/-10 HE si se usa para atacar.</v>
      </c>
      <c r="W717" s="2949"/>
      <c r="X717" s="2950"/>
      <c r="Y717" s="2886">
        <f>Bono_Fue</f>
        <v>0</v>
      </c>
      <c r="Z717" s="1326" t="str">
        <f t="shared" si="144"/>
        <v/>
      </c>
      <c r="AB717" s="907" t="s">
        <v>7207</v>
      </c>
      <c r="AC717" s="236"/>
      <c r="AD717" s="236"/>
      <c r="AE717" s="891"/>
      <c r="AG717" s="907" t="str">
        <f t="shared" si="126"/>
        <v/>
      </c>
      <c r="AH717" s="86" t="str">
        <f t="shared" si="127"/>
        <v/>
      </c>
      <c r="AI717" s="86" t="str">
        <f t="shared" si="128"/>
        <v>Rodela</v>
      </c>
      <c r="AJ717" s="1327">
        <f>IF(OR($L717=AJ$635,$L717="",$D717=$AL$634),MAX(AJ$637:AJ716)+1,0)</f>
        <v>0</v>
      </c>
      <c r="AK717" s="1328">
        <f>IF(OR($L717=AK$635,$L717="",$D717=$AL$634),MAX(AK$637:AK716)+1,0)</f>
        <v>0</v>
      </c>
      <c r="AL717" s="1329">
        <f>IF(OR($L717=AL$635,$L717="",$D717=$AL$634),MAX(AL$637:AL716)+1,0)</f>
        <v>79</v>
      </c>
      <c r="AM717" s="5867"/>
      <c r="AN717" s="907" t="str">
        <f t="shared" si="129"/>
        <v/>
      </c>
      <c r="AO717" s="86" t="str">
        <f t="shared" si="130"/>
        <v/>
      </c>
      <c r="AP717" s="86" t="str">
        <f t="shared" si="131"/>
        <v>Rodela</v>
      </c>
      <c r="AQ717" s="1327">
        <f>IF(OR($L717=AQ$635,$L717="",$D717=$AS$634),MAX(AQ$637:AQ716)+1,0)</f>
        <v>0</v>
      </c>
      <c r="AR717" s="1328">
        <f>IF(OR($L717=AR$635,$L717="",$D717=$AS$634),MAX(AR$637:AR716)+1,0)</f>
        <v>0</v>
      </c>
      <c r="AS717" s="1329">
        <f>IF(OR($L717=AS$635,$L717="",$D717=$AS$634),MAX(AS$637:AS716)+1,0)</f>
        <v>79</v>
      </c>
      <c r="AT717" s="5867"/>
      <c r="AU717" s="907" t="str">
        <f t="shared" si="132"/>
        <v/>
      </c>
      <c r="AV717" s="86" t="str">
        <f t="shared" si="133"/>
        <v/>
      </c>
      <c r="AW717" s="86" t="str">
        <f t="shared" si="134"/>
        <v>Rodela</v>
      </c>
      <c r="AX717" s="1327">
        <f>IF(OR($L717=AX$635,$L717="",$D717=$AZ$634),MAX(AX$637:AX716)+1,0)</f>
        <v>0</v>
      </c>
      <c r="AY717" s="1328">
        <f>IF(OR($L717=AY$635,$L717="",$D717=$AZ$634),MAX(AY$637:AY716)+1,0)</f>
        <v>0</v>
      </c>
      <c r="AZ717" s="1329">
        <f>IF(OR($L717=AZ$635,$L717="",$D717=$AZ$634),MAX(AZ$637:AZ716)+1,0)</f>
        <v>79</v>
      </c>
      <c r="BA717" s="5867"/>
      <c r="BB717" s="907" t="str">
        <f t="shared" si="135"/>
        <v/>
      </c>
      <c r="BC717" s="86" t="str">
        <f t="shared" si="136"/>
        <v/>
      </c>
      <c r="BD717" s="86" t="str">
        <f t="shared" si="137"/>
        <v>Rodela</v>
      </c>
      <c r="BE717" s="1327">
        <f>IF(OR($L717=BE$635,$L717="",$D717=$BG$634),MAX(BE$637:BE716)+1,0)</f>
        <v>0</v>
      </c>
      <c r="BF717" s="1328">
        <f>IF(OR($L717=BF$635,$L717="",$D717=$BG$634),MAX(BF$637:BF716)+1,0)</f>
        <v>0</v>
      </c>
      <c r="BG717" s="1329">
        <f>IF(OR($L717=BG$635,$L717="",$D717=$BG$634),MAX(BG$637:BG716)+1,0)</f>
        <v>79</v>
      </c>
      <c r="BH717" s="5867"/>
      <c r="BI717" s="907" t="str">
        <f t="shared" si="138"/>
        <v/>
      </c>
      <c r="BJ717" s="86" t="str">
        <f t="shared" si="139"/>
        <v/>
      </c>
      <c r="BK717" s="86" t="str">
        <f t="shared" si="140"/>
        <v>Rodela</v>
      </c>
      <c r="BL717" s="1327">
        <f>IF(OR($L717=BL$635,$L717="",$D717=$BN$634),MAX(BL$637:BL716)+1,0)</f>
        <v>0</v>
      </c>
      <c r="BM717" s="1328">
        <f>IF(OR($L717=BM$635,$L717="",$D717=$BN$634),MAX(BM$637:BM716)+1,0)</f>
        <v>0</v>
      </c>
      <c r="BN717" s="1329">
        <f>IF(OR($L717=BN$635,$L717="",$D717=$BN$634),MAX(BN$637:BN716)+1,0)</f>
        <v>79</v>
      </c>
      <c r="BO717" s="5867"/>
      <c r="BP717" s="907" t="str">
        <f t="shared" si="141"/>
        <v/>
      </c>
      <c r="BQ717" s="86" t="str">
        <f t="shared" si="142"/>
        <v/>
      </c>
      <c r="BR717" s="86" t="str">
        <f t="shared" si="143"/>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838"/>
      <c r="C718" s="1208"/>
      <c r="D718" s="2957" t="s">
        <v>2178</v>
      </c>
      <c r="E718" s="2961">
        <v>15</v>
      </c>
      <c r="F718" s="2956">
        <v>-15</v>
      </c>
      <c r="G718" s="2956">
        <v>5</v>
      </c>
      <c r="H718" s="2956">
        <v>5</v>
      </c>
      <c r="I718" s="2956" t="s">
        <v>1501</v>
      </c>
      <c r="J718" s="2956" t="s">
        <v>1459</v>
      </c>
      <c r="K718" s="2947" t="s">
        <v>7471</v>
      </c>
      <c r="L718" s="2956" t="str">
        <f>IF(ISNUMBER(SEARCH($D718,Armas_Conocidas)),"Conocida",IF(OR(ISNUMBER(SEARCH(LEFT($K718,SEARCH("/",$K718)),Tipologías_Conocidas)),AND(NOT(ISNUMBER(SEARCH("/-",$K718))),ISNUMBER(SEARCH(MID($K718,SEARCH("/",$K718)+1,LEN($K718)),Tipologías_Conocidas)))),IF(ISNUMBER(SEARCH($K718,Tipologías_Conocidas)),"Similar","Mixta"),"Distinta"))</f>
        <v>Distinta</v>
      </c>
      <c r="M718" s="2962">
        <v>14</v>
      </c>
      <c r="N718" s="2962">
        <v>0</v>
      </c>
      <c r="O718" s="2962">
        <v>20</v>
      </c>
      <c r="P718" s="2962">
        <v>10</v>
      </c>
      <c r="Q718" s="2962">
        <f>IF(COUNTIF(Compra_TablasEstilo,"Tabla de Esquiva con Escudo")&gt;0,P718,5)</f>
        <v>5</v>
      </c>
      <c r="R718" s="2956" t="s">
        <v>1459</v>
      </c>
      <c r="S718" s="2956" t="s">
        <v>1459</v>
      </c>
      <c r="T718" s="2956" t="s">
        <v>1459</v>
      </c>
      <c r="U718" s="2956"/>
      <c r="V718" s="2949" t="str">
        <f>"Escudo. -"&amp;P718&amp;" HP/-"&amp;Q718&amp;" HE si se usa para atacar."</f>
        <v>Escudo. -10 HP/-5 HE si se usa para atacar.</v>
      </c>
      <c r="W718" s="2949"/>
      <c r="X718" s="2950"/>
      <c r="Y718" s="2886">
        <f>Bono_Fue</f>
        <v>0</v>
      </c>
      <c r="Z718" s="1326" t="str">
        <f t="shared" si="144"/>
        <v/>
      </c>
      <c r="AB718" s="597" t="s">
        <v>2187</v>
      </c>
      <c r="AC718" s="236"/>
      <c r="AD718" s="236"/>
      <c r="AE718" s="891"/>
      <c r="AG718" s="907" t="str">
        <f t="shared" si="126"/>
        <v/>
      </c>
      <c r="AH718" s="86" t="str">
        <f t="shared" si="127"/>
        <v/>
      </c>
      <c r="AI718" s="86" t="str">
        <f t="shared" si="128"/>
        <v>&gt; ARMAS EXÓTICAS</v>
      </c>
      <c r="AJ718" s="1327">
        <f>IF(OR($L718=AJ$635,$L718="",$D718=$AL$634),MAX(AJ$637:AJ717)+1,0)</f>
        <v>0</v>
      </c>
      <c r="AK718" s="1328">
        <f>IF(OR($L718=AK$635,$L718="",$D718=$AL$634),MAX(AK$637:AK717)+1,0)</f>
        <v>0</v>
      </c>
      <c r="AL718" s="1329">
        <f>IF(OR($L718=AL$635,$L718="",$D718=$AL$634),MAX(AL$637:AL717)+1,0)</f>
        <v>80</v>
      </c>
      <c r="AM718" s="5867"/>
      <c r="AN718" s="907" t="str">
        <f t="shared" si="129"/>
        <v/>
      </c>
      <c r="AO718" s="86" t="str">
        <f t="shared" si="130"/>
        <v/>
      </c>
      <c r="AP718" s="86" t="str">
        <f t="shared" si="131"/>
        <v>&gt; ARMAS EXÓTICAS</v>
      </c>
      <c r="AQ718" s="1327">
        <f>IF(OR($L718=AQ$635,$L718="",$D718=$AS$634),MAX(AQ$637:AQ717)+1,0)</f>
        <v>0</v>
      </c>
      <c r="AR718" s="1328">
        <f>IF(OR($L718=AR$635,$L718="",$D718=$AS$634),MAX(AR$637:AR717)+1,0)</f>
        <v>0</v>
      </c>
      <c r="AS718" s="1329">
        <f>IF(OR($L718=AS$635,$L718="",$D718=$AS$634),MAX(AS$637:AS717)+1,0)</f>
        <v>80</v>
      </c>
      <c r="AT718" s="5867"/>
      <c r="AU718" s="907" t="str">
        <f t="shared" si="132"/>
        <v/>
      </c>
      <c r="AV718" s="86" t="str">
        <f t="shared" si="133"/>
        <v/>
      </c>
      <c r="AW718" s="86" t="str">
        <f t="shared" si="134"/>
        <v>&gt; ARMAS EXÓTICAS</v>
      </c>
      <c r="AX718" s="1327">
        <f>IF(OR($L718=AX$635,$L718="",$D718=$AZ$634),MAX(AX$637:AX717)+1,0)</f>
        <v>0</v>
      </c>
      <c r="AY718" s="1328">
        <f>IF(OR($L718=AY$635,$L718="",$D718=$AZ$634),MAX(AY$637:AY717)+1,0)</f>
        <v>0</v>
      </c>
      <c r="AZ718" s="1329">
        <f>IF(OR($L718=AZ$635,$L718="",$D718=$AZ$634),MAX(AZ$637:AZ717)+1,0)</f>
        <v>80</v>
      </c>
      <c r="BA718" s="5867"/>
      <c r="BB718" s="907" t="str">
        <f t="shared" si="135"/>
        <v/>
      </c>
      <c r="BC718" s="86" t="str">
        <f t="shared" si="136"/>
        <v/>
      </c>
      <c r="BD718" s="86" t="str">
        <f t="shared" si="137"/>
        <v>&gt; ARMAS EXÓTICAS</v>
      </c>
      <c r="BE718" s="1327">
        <f>IF(OR($L718=BE$635,$L718="",$D718=$BG$634),MAX(BE$637:BE717)+1,0)</f>
        <v>0</v>
      </c>
      <c r="BF718" s="1328">
        <f>IF(OR($L718=BF$635,$L718="",$D718=$BG$634),MAX(BF$637:BF717)+1,0)</f>
        <v>0</v>
      </c>
      <c r="BG718" s="1329">
        <f>IF(OR($L718=BG$635,$L718="",$D718=$BG$634),MAX(BG$637:BG717)+1,0)</f>
        <v>80</v>
      </c>
      <c r="BH718" s="5867"/>
      <c r="BI718" s="907" t="str">
        <f t="shared" si="138"/>
        <v/>
      </c>
      <c r="BJ718" s="86" t="str">
        <f t="shared" si="139"/>
        <v/>
      </c>
      <c r="BK718" s="86" t="str">
        <f t="shared" si="140"/>
        <v>&gt; ARMAS EXÓTICAS</v>
      </c>
      <c r="BL718" s="1327">
        <f>IF(OR($L718=BL$635,$L718="",$D718=$BN$634),MAX(BL$637:BL717)+1,0)</f>
        <v>0</v>
      </c>
      <c r="BM718" s="1328">
        <f>IF(OR($L718=BM$635,$L718="",$D718=$BN$634),MAX(BM$637:BM717)+1,0)</f>
        <v>0</v>
      </c>
      <c r="BN718" s="1329">
        <f>IF(OR($L718=BN$635,$L718="",$D718=$BN$634),MAX(BN$637:BN717)+1,0)</f>
        <v>80</v>
      </c>
      <c r="BO718" s="5867"/>
      <c r="BP718" s="907" t="str">
        <f t="shared" si="141"/>
        <v/>
      </c>
      <c r="BQ718" s="86" t="str">
        <f t="shared" si="142"/>
        <v/>
      </c>
      <c r="BR718" s="86" t="str">
        <f t="shared" si="143"/>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838"/>
      <c r="C719" s="1208"/>
      <c r="D719" s="2957" t="s">
        <v>2179</v>
      </c>
      <c r="E719" s="2952"/>
      <c r="F719" s="2952"/>
      <c r="G719" s="2952"/>
      <c r="H719" s="2952"/>
      <c r="I719" s="2952"/>
      <c r="J719" s="2952"/>
      <c r="K719" s="2946" t="s">
        <v>7453</v>
      </c>
      <c r="L719" s="2952"/>
      <c r="M719" s="2952"/>
      <c r="N719" s="2952"/>
      <c r="O719" s="2952"/>
      <c r="P719" s="2952"/>
      <c r="Q719" s="2952"/>
      <c r="R719" s="2952"/>
      <c r="S719" s="2952"/>
      <c r="T719" s="2952"/>
      <c r="U719" s="2952"/>
      <c r="V719" s="2946"/>
      <c r="W719" s="2946"/>
      <c r="X719" s="2948"/>
      <c r="Y719" s="1211"/>
      <c r="Z719" s="1326" t="str">
        <f t="shared" si="144"/>
        <v/>
      </c>
      <c r="AB719" s="597" t="s">
        <v>2190</v>
      </c>
      <c r="AC719" s="236"/>
      <c r="AD719" s="236"/>
      <c r="AE719" s="891"/>
      <c r="AG719" s="907" t="str">
        <f t="shared" si="126"/>
        <v/>
      </c>
      <c r="AH719" s="86" t="str">
        <f t="shared" si="127"/>
        <v/>
      </c>
      <c r="AI719" s="86" t="str">
        <f t="shared" si="128"/>
        <v>Abanico de combate</v>
      </c>
      <c r="AJ719" s="1327">
        <f>IF(OR($L719=AJ$635,$L719="",$D719=$AL$634),MAX(AJ$637:AJ718)+1,0)</f>
        <v>3</v>
      </c>
      <c r="AK719" s="1328">
        <f>IF(OR($L719=AK$635,$L719="",$D719=$AL$634),MAX(AK$637:AK718)+1,0)</f>
        <v>3</v>
      </c>
      <c r="AL719" s="1329">
        <f>IF(OR($L719=AL$635,$L719="",$D719=$AL$634),MAX(AL$637:AL718)+1,0)</f>
        <v>81</v>
      </c>
      <c r="AM719" s="5867"/>
      <c r="AN719" s="907" t="str">
        <f t="shared" si="129"/>
        <v/>
      </c>
      <c r="AO719" s="86" t="str">
        <f t="shared" si="130"/>
        <v/>
      </c>
      <c r="AP719" s="86" t="str">
        <f t="shared" si="131"/>
        <v>Abanico de combate</v>
      </c>
      <c r="AQ719" s="1327">
        <f>IF(OR($L719=AQ$635,$L719="",$D719=$AS$634),MAX(AQ$637:AQ718)+1,0)</f>
        <v>3</v>
      </c>
      <c r="AR719" s="1328">
        <f>IF(OR($L719=AR$635,$L719="",$D719=$AS$634),MAX(AR$637:AR718)+1,0)</f>
        <v>3</v>
      </c>
      <c r="AS719" s="1329">
        <f>IF(OR($L719=AS$635,$L719="",$D719=$AS$634),MAX(AS$637:AS718)+1,0)</f>
        <v>81</v>
      </c>
      <c r="AT719" s="5867"/>
      <c r="AU719" s="907" t="str">
        <f t="shared" si="132"/>
        <v/>
      </c>
      <c r="AV719" s="86" t="str">
        <f t="shared" si="133"/>
        <v/>
      </c>
      <c r="AW719" s="86" t="str">
        <f t="shared" si="134"/>
        <v>Abanico de combate</v>
      </c>
      <c r="AX719" s="1327">
        <f>IF(OR($L719=AX$635,$L719="",$D719=$AZ$634),MAX(AX$637:AX718)+1,0)</f>
        <v>3</v>
      </c>
      <c r="AY719" s="1328">
        <f>IF(OR($L719=AY$635,$L719="",$D719=$AZ$634),MAX(AY$637:AY718)+1,0)</f>
        <v>3</v>
      </c>
      <c r="AZ719" s="1329">
        <f>IF(OR($L719=AZ$635,$L719="",$D719=$AZ$634),MAX(AZ$637:AZ718)+1,0)</f>
        <v>81</v>
      </c>
      <c r="BA719" s="5867"/>
      <c r="BB719" s="907" t="str">
        <f t="shared" si="135"/>
        <v/>
      </c>
      <c r="BC719" s="86" t="str">
        <f t="shared" si="136"/>
        <v/>
      </c>
      <c r="BD719" s="86" t="str">
        <f t="shared" si="137"/>
        <v>Abanico de combate</v>
      </c>
      <c r="BE719" s="1327">
        <f>IF(OR($L719=BE$635,$L719="",$D719=$BG$634),MAX(BE$637:BE718)+1,0)</f>
        <v>3</v>
      </c>
      <c r="BF719" s="1328">
        <f>IF(OR($L719=BF$635,$L719="",$D719=$BG$634),MAX(BF$637:BF718)+1,0)</f>
        <v>3</v>
      </c>
      <c r="BG719" s="1329">
        <f>IF(OR($L719=BG$635,$L719="",$D719=$BG$634),MAX(BG$637:BG718)+1,0)</f>
        <v>81</v>
      </c>
      <c r="BH719" s="5867"/>
      <c r="BI719" s="907" t="str">
        <f t="shared" si="138"/>
        <v/>
      </c>
      <c r="BJ719" s="86" t="str">
        <f t="shared" si="139"/>
        <v/>
      </c>
      <c r="BK719" s="86" t="str">
        <f t="shared" si="140"/>
        <v>Abanico de combate</v>
      </c>
      <c r="BL719" s="1327">
        <f>IF(OR($L719=BL$635,$L719="",$D719=$BN$634),MAX(BL$637:BL718)+1,0)</f>
        <v>3</v>
      </c>
      <c r="BM719" s="1328">
        <f>IF(OR($L719=BM$635,$L719="",$D719=$BN$634),MAX(BM$637:BM718)+1,0)</f>
        <v>3</v>
      </c>
      <c r="BN719" s="1329">
        <f>IF(OR($L719=BN$635,$L719="",$D719=$BN$634),MAX(BN$637:BN718)+1,0)</f>
        <v>81</v>
      </c>
      <c r="BO719" s="5867"/>
      <c r="BP719" s="907" t="str">
        <f t="shared" si="141"/>
        <v/>
      </c>
      <c r="BQ719" s="86" t="str">
        <f t="shared" si="142"/>
        <v/>
      </c>
      <c r="BR719" s="86" t="str">
        <f t="shared" si="143"/>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838"/>
      <c r="C720" s="1208"/>
      <c r="D720" s="2957" t="s">
        <v>2180</v>
      </c>
      <c r="E720" s="2961">
        <v>30</v>
      </c>
      <c r="F720" s="2956">
        <v>20</v>
      </c>
      <c r="G720" s="2956">
        <v>4</v>
      </c>
      <c r="H720" s="2956">
        <v>4</v>
      </c>
      <c r="I720" s="2956" t="s">
        <v>1555</v>
      </c>
      <c r="J720" s="2956" t="s">
        <v>1501</v>
      </c>
      <c r="K720" s="2947" t="s">
        <v>7460</v>
      </c>
      <c r="L720" s="2956" t="str">
        <f>IF(ISNUMBER(SEARCH($D720,Armas_Conocidas)),"Conocida",IF(OR(ISNUMBER(SEARCH(LEFT($K720,SEARCH("/",$K720)),Tipologías_Conocidas)),AND(NOT(ISNUMBER(SEARCH("/-",$K720))),ISNUMBER(SEARCH(MID($K720,SEARCH("/",$K720)+1,LEN($K720)),Tipologías_Conocidas)))),IF(ISNUMBER(SEARCH($K720,Tipologías_Conocidas)),"Similar","Mixta"),"Distinta"))</f>
        <v>Distinta</v>
      </c>
      <c r="M720" s="2962">
        <v>8</v>
      </c>
      <c r="N720" s="2962">
        <v>0</v>
      </c>
      <c r="O720" s="2962">
        <v>25</v>
      </c>
      <c r="P720" s="2956"/>
      <c r="Q720" s="2956"/>
      <c r="R720" s="2962">
        <v>40</v>
      </c>
      <c r="S720" s="2956" t="s">
        <v>1459</v>
      </c>
      <c r="T720" s="2956">
        <v>20</v>
      </c>
      <c r="U720" s="2956"/>
      <c r="V720" s="2949" t="s">
        <v>8779</v>
      </c>
      <c r="W720" s="2949"/>
      <c r="X720" s="2950" t="str">
        <f t="shared" ref="X720:X775" si="148">IF(K720="/","",IF(OR(ISNUMBER(FIND("Mandoble",K720)),ISNUMBER(FIND("Asta",K720))),"Grande",IF(ISNUMBER(FIND("Corta",K720)),"Pequeña","Mediana")))</f>
        <v>Pequeña</v>
      </c>
      <c r="Y720" s="2886">
        <f t="shared" ref="Y720:Y755" si="149">Bono_Fue</f>
        <v>0</v>
      </c>
      <c r="Z720" s="1326" t="str">
        <f t="shared" si="144"/>
        <v/>
      </c>
      <c r="AB720" s="907" t="s">
        <v>7208</v>
      </c>
      <c r="AC720" s="236"/>
      <c r="AD720" s="236"/>
      <c r="AE720" s="891"/>
      <c r="AG720" s="907" t="str">
        <f t="shared" si="126"/>
        <v/>
      </c>
      <c r="AH720" s="86" t="str">
        <f t="shared" si="127"/>
        <v/>
      </c>
      <c r="AI720" s="86" t="str">
        <f t="shared" si="128"/>
        <v>Anciano de primavera</v>
      </c>
      <c r="AJ720" s="1327">
        <f>IF(OR($L720=AJ$635,$L720="",$D720=$AL$634),MAX(AJ$637:AJ719)+1,0)</f>
        <v>0</v>
      </c>
      <c r="AK720" s="1328">
        <f>IF(OR($L720=AK$635,$L720="",$D720=$AL$634),MAX(AK$637:AK719)+1,0)</f>
        <v>0</v>
      </c>
      <c r="AL720" s="1329">
        <f>IF(OR($L720=AL$635,$L720="",$D720=$AL$634),MAX(AL$637:AL719)+1,0)</f>
        <v>82</v>
      </c>
      <c r="AM720" s="5867"/>
      <c r="AN720" s="907" t="str">
        <f t="shared" si="129"/>
        <v/>
      </c>
      <c r="AO720" s="86" t="str">
        <f t="shared" si="130"/>
        <v/>
      </c>
      <c r="AP720" s="86" t="str">
        <f t="shared" si="131"/>
        <v>Anciano de primavera</v>
      </c>
      <c r="AQ720" s="1327">
        <f>IF(OR($L720=AQ$635,$L720="",$D720=$AS$634),MAX(AQ$637:AQ719)+1,0)</f>
        <v>0</v>
      </c>
      <c r="AR720" s="1328">
        <f>IF(OR($L720=AR$635,$L720="",$D720=$AS$634),MAX(AR$637:AR719)+1,0)</f>
        <v>0</v>
      </c>
      <c r="AS720" s="1329">
        <f>IF(OR($L720=AS$635,$L720="",$D720=$AS$634),MAX(AS$637:AS719)+1,0)</f>
        <v>82</v>
      </c>
      <c r="AT720" s="5867"/>
      <c r="AU720" s="907" t="str">
        <f t="shared" si="132"/>
        <v/>
      </c>
      <c r="AV720" s="86" t="str">
        <f t="shared" si="133"/>
        <v/>
      </c>
      <c r="AW720" s="86" t="str">
        <f t="shared" si="134"/>
        <v>Anciano de primavera</v>
      </c>
      <c r="AX720" s="1327">
        <f>IF(OR($L720=AX$635,$L720="",$D720=$AZ$634),MAX(AX$637:AX719)+1,0)</f>
        <v>0</v>
      </c>
      <c r="AY720" s="1328">
        <f>IF(OR($L720=AY$635,$L720="",$D720=$AZ$634),MAX(AY$637:AY719)+1,0)</f>
        <v>0</v>
      </c>
      <c r="AZ720" s="1329">
        <f>IF(OR($L720=AZ$635,$L720="",$D720=$AZ$634),MAX(AZ$637:AZ719)+1,0)</f>
        <v>82</v>
      </c>
      <c r="BA720" s="5867"/>
      <c r="BB720" s="907" t="str">
        <f t="shared" si="135"/>
        <v/>
      </c>
      <c r="BC720" s="86" t="str">
        <f t="shared" si="136"/>
        <v/>
      </c>
      <c r="BD720" s="86" t="str">
        <f t="shared" si="137"/>
        <v>Anciano de primavera</v>
      </c>
      <c r="BE720" s="1327">
        <f>IF(OR($L720=BE$635,$L720="",$D720=$BG$634),MAX(BE$637:BE719)+1,0)</f>
        <v>0</v>
      </c>
      <c r="BF720" s="1328">
        <f>IF(OR($L720=BF$635,$L720="",$D720=$BG$634),MAX(BF$637:BF719)+1,0)</f>
        <v>0</v>
      </c>
      <c r="BG720" s="1329">
        <f>IF(OR($L720=BG$635,$L720="",$D720=$BG$634),MAX(BG$637:BG719)+1,0)</f>
        <v>82</v>
      </c>
      <c r="BH720" s="5867"/>
      <c r="BI720" s="907" t="str">
        <f t="shared" si="138"/>
        <v/>
      </c>
      <c r="BJ720" s="86" t="str">
        <f t="shared" si="139"/>
        <v/>
      </c>
      <c r="BK720" s="86" t="str">
        <f t="shared" si="140"/>
        <v>Anciano de primavera</v>
      </c>
      <c r="BL720" s="1327">
        <f>IF(OR($L720=BL$635,$L720="",$D720=$BN$634),MAX(BL$637:BL719)+1,0)</f>
        <v>0</v>
      </c>
      <c r="BM720" s="1328">
        <f>IF(OR($L720=BM$635,$L720="",$D720=$BN$634),MAX(BM$637:BM719)+1,0)</f>
        <v>0</v>
      </c>
      <c r="BN720" s="1329">
        <f>IF(OR($L720=BN$635,$L720="",$D720=$BN$634),MAX(BN$637:BN719)+1,0)</f>
        <v>82</v>
      </c>
      <c r="BO720" s="5867"/>
      <c r="BP720" s="907" t="str">
        <f t="shared" si="141"/>
        <v/>
      </c>
      <c r="BQ720" s="86" t="str">
        <f t="shared" si="142"/>
        <v/>
      </c>
      <c r="BR720" s="86" t="str">
        <f t="shared" si="143"/>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838"/>
      <c r="C721" s="1208"/>
      <c r="D721" s="2957" t="s">
        <v>2181</v>
      </c>
      <c r="E721" s="2961">
        <v>35</v>
      </c>
      <c r="F721" s="2956">
        <v>15</v>
      </c>
      <c r="G721" s="2956">
        <v>4</v>
      </c>
      <c r="H721" s="2956">
        <v>4</v>
      </c>
      <c r="I721" s="2956" t="s">
        <v>1555</v>
      </c>
      <c r="J721" s="2956" t="s">
        <v>1556</v>
      </c>
      <c r="K721" s="2947" t="s">
        <v>7455</v>
      </c>
      <c r="L721" s="2956" t="str">
        <f>IF(ISNUMBER(SEARCH($D721,Armas_Conocidas)),"Conocida",IF(OR(ISNUMBER(SEARCH(LEFT($K721,SEARCH("/",$K721)),Tipologías_Conocidas)),AND(NOT(ISNUMBER(SEARCH("/-",$K721))),ISNUMBER(SEARCH(MID($K721,SEARCH("/",$K721)+1,LEN($K721)),Tipologías_Conocidas)))),IF(ISNUMBER(SEARCH($K721,Tipologías_Conocidas)),"Similar","Mixta"),"Distinta"))</f>
        <v>Distinta</v>
      </c>
      <c r="M721" s="2962">
        <v>12</v>
      </c>
      <c r="N721" s="2962">
        <v>2</v>
      </c>
      <c r="O721" s="2962">
        <v>25</v>
      </c>
      <c r="P721" s="2956"/>
      <c r="Q721" s="2956"/>
      <c r="R721" s="2956" t="s">
        <v>1459</v>
      </c>
      <c r="S721" s="2956" t="s">
        <v>1459</v>
      </c>
      <c r="T721" s="2956" t="s">
        <v>1459</v>
      </c>
      <c r="U721" s="2956"/>
      <c r="V721" s="2949" t="s">
        <v>2182</v>
      </c>
      <c r="W721" s="2949"/>
      <c r="X721" s="2950" t="str">
        <f t="shared" si="148"/>
        <v>Grande</v>
      </c>
      <c r="Y721" s="2886">
        <f t="shared" si="149"/>
        <v>0</v>
      </c>
      <c r="Z721" s="1326" t="str">
        <f t="shared" si="144"/>
        <v/>
      </c>
      <c r="AB721" s="597" t="s">
        <v>7209</v>
      </c>
      <c r="AC721" s="236"/>
      <c r="AD721" s="236"/>
      <c r="AE721" s="891"/>
      <c r="AG721" s="907" t="str">
        <f t="shared" si="126"/>
        <v/>
      </c>
      <c r="AH721" s="86" t="str">
        <f t="shared" si="127"/>
        <v/>
      </c>
      <c r="AI721" s="86" t="str">
        <f t="shared" si="128"/>
        <v>Bumerang</v>
      </c>
      <c r="AJ721" s="1327">
        <f>IF(OR($L721=AJ$635,$L721="",$D721=$AL$634),MAX(AJ$637:AJ720)+1,0)</f>
        <v>0</v>
      </c>
      <c r="AK721" s="1328">
        <f>IF(OR($L721=AK$635,$L721="",$D721=$AL$634),MAX(AK$637:AK720)+1,0)</f>
        <v>0</v>
      </c>
      <c r="AL721" s="1329">
        <f>IF(OR($L721=AL$635,$L721="",$D721=$AL$634),MAX(AL$637:AL720)+1,0)</f>
        <v>83</v>
      </c>
      <c r="AM721" s="5867"/>
      <c r="AN721" s="907" t="str">
        <f t="shared" si="129"/>
        <v/>
      </c>
      <c r="AO721" s="86" t="str">
        <f t="shared" si="130"/>
        <v/>
      </c>
      <c r="AP721" s="86" t="str">
        <f t="shared" si="131"/>
        <v>Bumerang</v>
      </c>
      <c r="AQ721" s="1327">
        <f>IF(OR($L721=AQ$635,$L721="",$D721=$AS$634),MAX(AQ$637:AQ720)+1,0)</f>
        <v>0</v>
      </c>
      <c r="AR721" s="1328">
        <f>IF(OR($L721=AR$635,$L721="",$D721=$AS$634),MAX(AR$637:AR720)+1,0)</f>
        <v>0</v>
      </c>
      <c r="AS721" s="1329">
        <f>IF(OR($L721=AS$635,$L721="",$D721=$AS$634),MAX(AS$637:AS720)+1,0)</f>
        <v>83</v>
      </c>
      <c r="AT721" s="5867"/>
      <c r="AU721" s="907" t="str">
        <f t="shared" si="132"/>
        <v/>
      </c>
      <c r="AV721" s="86" t="str">
        <f t="shared" si="133"/>
        <v/>
      </c>
      <c r="AW721" s="86" t="str">
        <f t="shared" si="134"/>
        <v>Bumerang</v>
      </c>
      <c r="AX721" s="1327">
        <f>IF(OR($L721=AX$635,$L721="",$D721=$AZ$634),MAX(AX$637:AX720)+1,0)</f>
        <v>0</v>
      </c>
      <c r="AY721" s="1328">
        <f>IF(OR($L721=AY$635,$L721="",$D721=$AZ$634),MAX(AY$637:AY720)+1,0)</f>
        <v>0</v>
      </c>
      <c r="AZ721" s="1329">
        <f>IF(OR($L721=AZ$635,$L721="",$D721=$AZ$634),MAX(AZ$637:AZ720)+1,0)</f>
        <v>83</v>
      </c>
      <c r="BA721" s="5867"/>
      <c r="BB721" s="907" t="str">
        <f t="shared" si="135"/>
        <v/>
      </c>
      <c r="BC721" s="86" t="str">
        <f t="shared" si="136"/>
        <v/>
      </c>
      <c r="BD721" s="86" t="str">
        <f t="shared" si="137"/>
        <v>Bumerang</v>
      </c>
      <c r="BE721" s="1327">
        <f>IF(OR($L721=BE$635,$L721="",$D721=$BG$634),MAX(BE$637:BE720)+1,0)</f>
        <v>0</v>
      </c>
      <c r="BF721" s="1328">
        <f>IF(OR($L721=BF$635,$L721="",$D721=$BG$634),MAX(BF$637:BF720)+1,0)</f>
        <v>0</v>
      </c>
      <c r="BG721" s="1329">
        <f>IF(OR($L721=BG$635,$L721="",$D721=$BG$634),MAX(BG$637:BG720)+1,0)</f>
        <v>83</v>
      </c>
      <c r="BH721" s="5867"/>
      <c r="BI721" s="907" t="str">
        <f t="shared" si="138"/>
        <v/>
      </c>
      <c r="BJ721" s="86" t="str">
        <f t="shared" si="139"/>
        <v/>
      </c>
      <c r="BK721" s="86" t="str">
        <f t="shared" si="140"/>
        <v>Bumerang</v>
      </c>
      <c r="BL721" s="1327">
        <f>IF(OR($L721=BL$635,$L721="",$D721=$BN$634),MAX(BL$637:BL720)+1,0)</f>
        <v>0</v>
      </c>
      <c r="BM721" s="1328">
        <f>IF(OR($L721=BM$635,$L721="",$D721=$BN$634),MAX(BM$637:BM720)+1,0)</f>
        <v>0</v>
      </c>
      <c r="BN721" s="1329">
        <f>IF(OR($L721=BN$635,$L721="",$D721=$BN$634),MAX(BN$637:BN720)+1,0)</f>
        <v>83</v>
      </c>
      <c r="BO721" s="5867"/>
      <c r="BP721" s="907" t="str">
        <f t="shared" si="141"/>
        <v/>
      </c>
      <c r="BQ721" s="86" t="str">
        <f t="shared" si="142"/>
        <v/>
      </c>
      <c r="BR721" s="86" t="str">
        <f t="shared" si="143"/>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838"/>
      <c r="C722" s="1208"/>
      <c r="D722" s="2957" t="s">
        <v>2183</v>
      </c>
      <c r="E722" s="2961">
        <v>30</v>
      </c>
      <c r="F722" s="2956">
        <v>10</v>
      </c>
      <c r="G722" s="2956">
        <v>4</v>
      </c>
      <c r="H722" s="2956">
        <v>4</v>
      </c>
      <c r="I722" s="2956" t="s">
        <v>1501</v>
      </c>
      <c r="J722" s="2956" t="s">
        <v>1555</v>
      </c>
      <c r="K722" s="2947" t="s">
        <v>7460</v>
      </c>
      <c r="L722" s="2956" t="str">
        <f>IF(ISNUMBER(SEARCH($D722,Armas_Conocidas)),"Conocida",IF(OR(ISNUMBER(SEARCH(LEFT($K722,SEARCH("/",$K722)),Tipologías_Conocidas)),AND(NOT(ISNUMBER(SEARCH("/-",$K722))),ISNUMBER(SEARCH(MID($K722,SEARCH("/",$K722)+1,LEN($K722)),Tipologías_Conocidas)))),IF(ISNUMBER(SEARCH($K722,Tipologías_Conocidas)),"Similar","Mixta"),"Distinta"))</f>
        <v>Distinta</v>
      </c>
      <c r="M722" s="2962">
        <v>10</v>
      </c>
      <c r="N722" s="2962">
        <v>0</v>
      </c>
      <c r="O722" s="2962">
        <v>15</v>
      </c>
      <c r="P722" s="2956"/>
      <c r="Q722" s="2956"/>
      <c r="R722" s="2962">
        <v>60</v>
      </c>
      <c r="S722" s="2956" t="s">
        <v>1459</v>
      </c>
      <c r="T722" s="2956">
        <v>20</v>
      </c>
      <c r="U722" s="2956"/>
      <c r="V722" s="2949" t="s">
        <v>8780</v>
      </c>
      <c r="W722" s="2949"/>
      <c r="X722" s="2950" t="str">
        <f t="shared" si="148"/>
        <v>Pequeña</v>
      </c>
      <c r="Y722" s="2886">
        <f t="shared" si="149"/>
        <v>0</v>
      </c>
      <c r="Z722" s="1326" t="str">
        <f t="shared" si="144"/>
        <v/>
      </c>
      <c r="AB722" s="597" t="s">
        <v>7210</v>
      </c>
      <c r="AC722" s="236"/>
      <c r="AD722" s="236"/>
      <c r="AE722" s="891"/>
      <c r="AG722" s="907" t="str">
        <f t="shared" si="126"/>
        <v/>
      </c>
      <c r="AH722" s="86" t="str">
        <f t="shared" si="127"/>
        <v/>
      </c>
      <c r="AI722" s="86" t="str">
        <f t="shared" si="128"/>
        <v>Cuervo</v>
      </c>
      <c r="AJ722" s="1327">
        <f>IF(OR($L722=AJ$635,$L722="",$D722=$AL$634),MAX(AJ$637:AJ721)+1,0)</f>
        <v>0</v>
      </c>
      <c r="AK722" s="1328">
        <f>IF(OR($L722=AK$635,$L722="",$D722=$AL$634),MAX(AK$637:AK721)+1,0)</f>
        <v>0</v>
      </c>
      <c r="AL722" s="1329">
        <f>IF(OR($L722=AL$635,$L722="",$D722=$AL$634),MAX(AL$637:AL721)+1,0)</f>
        <v>84</v>
      </c>
      <c r="AM722" s="5867"/>
      <c r="AN722" s="907" t="str">
        <f t="shared" si="129"/>
        <v/>
      </c>
      <c r="AO722" s="86" t="str">
        <f t="shared" si="130"/>
        <v/>
      </c>
      <c r="AP722" s="86" t="str">
        <f t="shared" si="131"/>
        <v>Cuervo</v>
      </c>
      <c r="AQ722" s="1327">
        <f>IF(OR($L722=AQ$635,$L722="",$D722=$AS$634),MAX(AQ$637:AQ721)+1,0)</f>
        <v>0</v>
      </c>
      <c r="AR722" s="1328">
        <f>IF(OR($L722=AR$635,$L722="",$D722=$AS$634),MAX(AR$637:AR721)+1,0)</f>
        <v>0</v>
      </c>
      <c r="AS722" s="1329">
        <f>IF(OR($L722=AS$635,$L722="",$D722=$AS$634),MAX(AS$637:AS721)+1,0)</f>
        <v>84</v>
      </c>
      <c r="AT722" s="5867"/>
      <c r="AU722" s="907" t="str">
        <f t="shared" si="132"/>
        <v/>
      </c>
      <c r="AV722" s="86" t="str">
        <f t="shared" si="133"/>
        <v/>
      </c>
      <c r="AW722" s="86" t="str">
        <f t="shared" si="134"/>
        <v>Cuervo</v>
      </c>
      <c r="AX722" s="1327">
        <f>IF(OR($L722=AX$635,$L722="",$D722=$AZ$634),MAX(AX$637:AX721)+1,0)</f>
        <v>0</v>
      </c>
      <c r="AY722" s="1328">
        <f>IF(OR($L722=AY$635,$L722="",$D722=$AZ$634),MAX(AY$637:AY721)+1,0)</f>
        <v>0</v>
      </c>
      <c r="AZ722" s="1329">
        <f>IF(OR($L722=AZ$635,$L722="",$D722=$AZ$634),MAX(AZ$637:AZ721)+1,0)</f>
        <v>84</v>
      </c>
      <c r="BA722" s="5867"/>
      <c r="BB722" s="907" t="str">
        <f t="shared" si="135"/>
        <v/>
      </c>
      <c r="BC722" s="86" t="str">
        <f t="shared" si="136"/>
        <v/>
      </c>
      <c r="BD722" s="86" t="str">
        <f t="shared" si="137"/>
        <v>Cuervo</v>
      </c>
      <c r="BE722" s="1327">
        <f>IF(OR($L722=BE$635,$L722="",$D722=$BG$634),MAX(BE$637:BE721)+1,0)</f>
        <v>0</v>
      </c>
      <c r="BF722" s="1328">
        <f>IF(OR($L722=BF$635,$L722="",$D722=$BG$634),MAX(BF$637:BF721)+1,0)</f>
        <v>0</v>
      </c>
      <c r="BG722" s="1329">
        <f>IF(OR($L722=BG$635,$L722="",$D722=$BG$634),MAX(BG$637:BG721)+1,0)</f>
        <v>84</v>
      </c>
      <c r="BH722" s="5867"/>
      <c r="BI722" s="907" t="str">
        <f t="shared" si="138"/>
        <v/>
      </c>
      <c r="BJ722" s="86" t="str">
        <f t="shared" si="139"/>
        <v/>
      </c>
      <c r="BK722" s="86" t="str">
        <f t="shared" si="140"/>
        <v>Cuervo</v>
      </c>
      <c r="BL722" s="1327">
        <f>IF(OR($L722=BL$635,$L722="",$D722=$BN$634),MAX(BL$637:BL721)+1,0)</f>
        <v>0</v>
      </c>
      <c r="BM722" s="1328">
        <f>IF(OR($L722=BM$635,$L722="",$D722=$BN$634),MAX(BM$637:BM721)+1,0)</f>
        <v>0</v>
      </c>
      <c r="BN722" s="1329">
        <f>IF(OR($L722=BN$635,$L722="",$D722=$BN$634),MAX(BN$637:BN721)+1,0)</f>
        <v>84</v>
      </c>
      <c r="BO722" s="5867"/>
      <c r="BP722" s="907" t="str">
        <f t="shared" si="141"/>
        <v/>
      </c>
      <c r="BQ722" s="86" t="str">
        <f t="shared" si="142"/>
        <v/>
      </c>
      <c r="BR722" s="86" t="str">
        <f t="shared" si="143"/>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838"/>
      <c r="C723" s="1208"/>
      <c r="D723" s="2957" t="s">
        <v>2184</v>
      </c>
      <c r="E723" s="2961">
        <v>35</v>
      </c>
      <c r="F723" s="2956">
        <v>10</v>
      </c>
      <c r="G723" s="2956">
        <v>4</v>
      </c>
      <c r="H723" s="2956">
        <v>4</v>
      </c>
      <c r="I723" s="2956" t="s">
        <v>1501</v>
      </c>
      <c r="J723" s="2956" t="s">
        <v>1555</v>
      </c>
      <c r="K723" s="2947" t="s">
        <v>7460</v>
      </c>
      <c r="L723" s="2956" t="str">
        <f>IF(ISNUMBER(SEARCH($D723,Armas_Conocidas)),"Conocida",IF(OR(ISNUMBER(SEARCH(LEFT($K723,SEARCH("/",$K723)),Tipologías_Conocidas)),AND(NOT(ISNUMBER(SEARCH("/-",$K723))),ISNUMBER(SEARCH(MID($K723,SEARCH("/",$K723)+1,LEN($K723)),Tipologías_Conocidas)))),IF(ISNUMBER(SEARCH($K723,Tipologías_Conocidas)),"Similar","Mixta"),"Distinta"))</f>
        <v>Distinta</v>
      </c>
      <c r="M723" s="2962">
        <v>11</v>
      </c>
      <c r="N723" s="2962">
        <v>2</v>
      </c>
      <c r="O723" s="2962">
        <v>25</v>
      </c>
      <c r="P723" s="2956"/>
      <c r="Q723" s="2956"/>
      <c r="R723" s="2956" t="s">
        <v>1459</v>
      </c>
      <c r="S723" s="2956" t="s">
        <v>1459</v>
      </c>
      <c r="T723" s="2956" t="s">
        <v>1459</v>
      </c>
      <c r="U723" s="2956"/>
      <c r="V723" s="2949" t="s">
        <v>2185</v>
      </c>
      <c r="W723" s="2949"/>
      <c r="X723" s="2950" t="str">
        <f t="shared" si="148"/>
        <v>Pequeña</v>
      </c>
      <c r="Y723" s="2886">
        <f t="shared" si="149"/>
        <v>0</v>
      </c>
      <c r="Z723" s="1326" t="str">
        <f t="shared" si="144"/>
        <v/>
      </c>
      <c r="AB723" s="597" t="s">
        <v>7211</v>
      </c>
      <c r="AC723" s="236"/>
      <c r="AD723" s="236"/>
      <c r="AE723" s="891"/>
      <c r="AG723" s="907" t="str">
        <f t="shared" si="126"/>
        <v/>
      </c>
      <c r="AH723" s="86" t="str">
        <f t="shared" si="127"/>
        <v/>
      </c>
      <c r="AI723" s="86" t="str">
        <f t="shared" si="128"/>
        <v>Garras</v>
      </c>
      <c r="AJ723" s="1327">
        <f>IF(OR($L723=AJ$635,$L723="",$D723=$AL$634),MAX(AJ$637:AJ722)+1,0)</f>
        <v>0</v>
      </c>
      <c r="AK723" s="1328">
        <f>IF(OR($L723=AK$635,$L723="",$D723=$AL$634),MAX(AK$637:AK722)+1,0)</f>
        <v>0</v>
      </c>
      <c r="AL723" s="1329">
        <f>IF(OR($L723=AL$635,$L723="",$D723=$AL$634),MAX(AL$637:AL722)+1,0)</f>
        <v>85</v>
      </c>
      <c r="AM723" s="5867"/>
      <c r="AN723" s="907" t="str">
        <f t="shared" si="129"/>
        <v/>
      </c>
      <c r="AO723" s="86" t="str">
        <f t="shared" si="130"/>
        <v/>
      </c>
      <c r="AP723" s="86" t="str">
        <f t="shared" si="131"/>
        <v>Garras</v>
      </c>
      <c r="AQ723" s="1327">
        <f>IF(OR($L723=AQ$635,$L723="",$D723=$AS$634),MAX(AQ$637:AQ722)+1,0)</f>
        <v>0</v>
      </c>
      <c r="AR723" s="1328">
        <f>IF(OR($L723=AR$635,$L723="",$D723=$AS$634),MAX(AR$637:AR722)+1,0)</f>
        <v>0</v>
      </c>
      <c r="AS723" s="1329">
        <f>IF(OR($L723=AS$635,$L723="",$D723=$AS$634),MAX(AS$637:AS722)+1,0)</f>
        <v>85</v>
      </c>
      <c r="AT723" s="5867"/>
      <c r="AU723" s="907" t="str">
        <f t="shared" si="132"/>
        <v/>
      </c>
      <c r="AV723" s="86" t="str">
        <f t="shared" si="133"/>
        <v/>
      </c>
      <c r="AW723" s="86" t="str">
        <f t="shared" si="134"/>
        <v>Garras</v>
      </c>
      <c r="AX723" s="1327">
        <f>IF(OR($L723=AX$635,$L723="",$D723=$AZ$634),MAX(AX$637:AX722)+1,0)</f>
        <v>0</v>
      </c>
      <c r="AY723" s="1328">
        <f>IF(OR($L723=AY$635,$L723="",$D723=$AZ$634),MAX(AY$637:AY722)+1,0)</f>
        <v>0</v>
      </c>
      <c r="AZ723" s="1329">
        <f>IF(OR($L723=AZ$635,$L723="",$D723=$AZ$634),MAX(AZ$637:AZ722)+1,0)</f>
        <v>85</v>
      </c>
      <c r="BA723" s="5867"/>
      <c r="BB723" s="907" t="str">
        <f t="shared" si="135"/>
        <v/>
      </c>
      <c r="BC723" s="86" t="str">
        <f t="shared" si="136"/>
        <v/>
      </c>
      <c r="BD723" s="86" t="str">
        <f t="shared" si="137"/>
        <v>Garras</v>
      </c>
      <c r="BE723" s="1327">
        <f>IF(OR($L723=BE$635,$L723="",$D723=$BG$634),MAX(BE$637:BE722)+1,0)</f>
        <v>0</v>
      </c>
      <c r="BF723" s="1328">
        <f>IF(OR($L723=BF$635,$L723="",$D723=$BG$634),MAX(BF$637:BF722)+1,0)</f>
        <v>0</v>
      </c>
      <c r="BG723" s="1329">
        <f>IF(OR($L723=BG$635,$L723="",$D723=$BG$634),MAX(BG$637:BG722)+1,0)</f>
        <v>85</v>
      </c>
      <c r="BH723" s="5867"/>
      <c r="BI723" s="907" t="str">
        <f t="shared" si="138"/>
        <v/>
      </c>
      <c r="BJ723" s="86" t="str">
        <f t="shared" si="139"/>
        <v/>
      </c>
      <c r="BK723" s="86" t="str">
        <f t="shared" si="140"/>
        <v>Garras</v>
      </c>
      <c r="BL723" s="1327">
        <f>IF(OR($L723=BL$635,$L723="",$D723=$BN$634),MAX(BL$637:BL722)+1,0)</f>
        <v>0</v>
      </c>
      <c r="BM723" s="1328">
        <f>IF(OR($L723=BM$635,$L723="",$D723=$BN$634),MAX(BM$637:BM722)+1,0)</f>
        <v>0</v>
      </c>
      <c r="BN723" s="1329">
        <f>IF(OR($L723=BN$635,$L723="",$D723=$BN$634),MAX(BN$637:BN722)+1,0)</f>
        <v>85</v>
      </c>
      <c r="BO723" s="5867"/>
      <c r="BP723" s="907" t="str">
        <f t="shared" si="141"/>
        <v/>
      </c>
      <c r="BQ723" s="86" t="str">
        <f t="shared" si="142"/>
        <v/>
      </c>
      <c r="BR723" s="86" t="str">
        <f t="shared" si="143"/>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838"/>
      <c r="C724" s="1208"/>
      <c r="D724" s="2957" t="s">
        <v>2186</v>
      </c>
      <c r="E724" s="2961">
        <v>30</v>
      </c>
      <c r="F724" s="2956">
        <v>15</v>
      </c>
      <c r="G724" s="2956">
        <v>4</v>
      </c>
      <c r="H724" s="2956">
        <v>4</v>
      </c>
      <c r="I724" s="2956" t="s">
        <v>1555</v>
      </c>
      <c r="J724" s="2956" t="s">
        <v>1556</v>
      </c>
      <c r="K724" s="2947" t="s">
        <v>7460</v>
      </c>
      <c r="L724" s="2956" t="str">
        <f>IF(ISNUMBER(SEARCH($D724,Armas_Conocidas)),"Conocida",IF(OR(ISNUMBER(SEARCH(LEFT($K724,SEARCH("/",$K724)),Tipologías_Conocidas)),AND(NOT(ISNUMBER(SEARCH("/-",$K724))),ISNUMBER(SEARCH(MID($K724,SEARCH("/",$K724)+1,LEN($K724)),Tipologías_Conocidas)))),IF(ISNUMBER(SEARCH($K724,Tipologías_Conocidas)),"Similar","Mixta"),"Distinta"))</f>
        <v>Distinta</v>
      </c>
      <c r="M724" s="2962">
        <v>12</v>
      </c>
      <c r="N724" s="2962">
        <v>2</v>
      </c>
      <c r="O724" s="2962">
        <v>15</v>
      </c>
      <c r="P724" s="2956"/>
      <c r="Q724" s="2956"/>
      <c r="R724" s="2956" t="s">
        <v>1459</v>
      </c>
      <c r="S724" s="2956" t="s">
        <v>1459</v>
      </c>
      <c r="T724" s="2956" t="s">
        <v>1459</v>
      </c>
      <c r="U724" s="2956"/>
      <c r="V724" s="2949" t="s">
        <v>1459</v>
      </c>
      <c r="W724" s="2949"/>
      <c r="X724" s="2950" t="str">
        <f t="shared" si="148"/>
        <v>Pequeña</v>
      </c>
      <c r="Y724" s="2886">
        <f t="shared" si="149"/>
        <v>0</v>
      </c>
      <c r="Z724" s="1326" t="str">
        <f t="shared" si="144"/>
        <v/>
      </c>
      <c r="AB724" s="597" t="s">
        <v>7212</v>
      </c>
      <c r="AC724" s="236"/>
      <c r="AD724" s="236"/>
      <c r="AE724" s="891"/>
      <c r="AG724" s="907" t="str">
        <f t="shared" si="126"/>
        <v/>
      </c>
      <c r="AH724" s="86" t="str">
        <f t="shared" si="127"/>
        <v/>
      </c>
      <c r="AI724" s="86" t="str">
        <f t="shared" si="128"/>
        <v>Katana</v>
      </c>
      <c r="AJ724" s="1327">
        <f>IF(OR($L724=AJ$635,$L724="",$D724=$AL$634),MAX(AJ$637:AJ723)+1,0)</f>
        <v>0</v>
      </c>
      <c r="AK724" s="1328">
        <f>IF(OR($L724=AK$635,$L724="",$D724=$AL$634),MAX(AK$637:AK723)+1,0)</f>
        <v>0</v>
      </c>
      <c r="AL724" s="1329">
        <f>IF(OR($L724=AL$635,$L724="",$D724=$AL$634),MAX(AL$637:AL723)+1,0)</f>
        <v>86</v>
      </c>
      <c r="AM724" s="5867"/>
      <c r="AN724" s="907" t="str">
        <f t="shared" si="129"/>
        <v/>
      </c>
      <c r="AO724" s="86" t="str">
        <f t="shared" si="130"/>
        <v/>
      </c>
      <c r="AP724" s="86" t="str">
        <f t="shared" si="131"/>
        <v>Katana</v>
      </c>
      <c r="AQ724" s="1327">
        <f>IF(OR($L724=AQ$635,$L724="",$D724=$AS$634),MAX(AQ$637:AQ723)+1,0)</f>
        <v>0</v>
      </c>
      <c r="AR724" s="1328">
        <f>IF(OR($L724=AR$635,$L724="",$D724=$AS$634),MAX(AR$637:AR723)+1,0)</f>
        <v>0</v>
      </c>
      <c r="AS724" s="1329">
        <f>IF(OR($L724=AS$635,$L724="",$D724=$AS$634),MAX(AS$637:AS723)+1,0)</f>
        <v>86</v>
      </c>
      <c r="AT724" s="5867"/>
      <c r="AU724" s="907" t="str">
        <f t="shared" si="132"/>
        <v/>
      </c>
      <c r="AV724" s="86" t="str">
        <f t="shared" si="133"/>
        <v/>
      </c>
      <c r="AW724" s="86" t="str">
        <f t="shared" si="134"/>
        <v>Katana</v>
      </c>
      <c r="AX724" s="1327">
        <f>IF(OR($L724=AX$635,$L724="",$D724=$AZ$634),MAX(AX$637:AX723)+1,0)</f>
        <v>0</v>
      </c>
      <c r="AY724" s="1328">
        <f>IF(OR($L724=AY$635,$L724="",$D724=$AZ$634),MAX(AY$637:AY723)+1,0)</f>
        <v>0</v>
      </c>
      <c r="AZ724" s="1329">
        <f>IF(OR($L724=AZ$635,$L724="",$D724=$AZ$634),MAX(AZ$637:AZ723)+1,0)</f>
        <v>86</v>
      </c>
      <c r="BA724" s="5867"/>
      <c r="BB724" s="907" t="str">
        <f t="shared" si="135"/>
        <v/>
      </c>
      <c r="BC724" s="86" t="str">
        <f t="shared" si="136"/>
        <v/>
      </c>
      <c r="BD724" s="86" t="str">
        <f t="shared" si="137"/>
        <v>Katana</v>
      </c>
      <c r="BE724" s="1327">
        <f>IF(OR($L724=BE$635,$L724="",$D724=$BG$634),MAX(BE$637:BE723)+1,0)</f>
        <v>0</v>
      </c>
      <c r="BF724" s="1328">
        <f>IF(OR($L724=BF$635,$L724="",$D724=$BG$634),MAX(BF$637:BF723)+1,0)</f>
        <v>0</v>
      </c>
      <c r="BG724" s="1329">
        <f>IF(OR($L724=BG$635,$L724="",$D724=$BG$634),MAX(BG$637:BG723)+1,0)</f>
        <v>86</v>
      </c>
      <c r="BH724" s="5867"/>
      <c r="BI724" s="907" t="str">
        <f t="shared" si="138"/>
        <v/>
      </c>
      <c r="BJ724" s="86" t="str">
        <f t="shared" si="139"/>
        <v/>
      </c>
      <c r="BK724" s="86" t="str">
        <f t="shared" si="140"/>
        <v>Katana</v>
      </c>
      <c r="BL724" s="1327">
        <f>IF(OR($L724=BL$635,$L724="",$D724=$BN$634),MAX(BL$637:BL723)+1,0)</f>
        <v>0</v>
      </c>
      <c r="BM724" s="1328">
        <f>IF(OR($L724=BM$635,$L724="",$D724=$BN$634),MAX(BM$637:BM723)+1,0)</f>
        <v>0</v>
      </c>
      <c r="BN724" s="1329">
        <f>IF(OR($L724=BN$635,$L724="",$D724=$BN$634),MAX(BN$637:BN723)+1,0)</f>
        <v>86</v>
      </c>
      <c r="BO724" s="5867"/>
      <c r="BP724" s="907" t="str">
        <f t="shared" si="141"/>
        <v/>
      </c>
      <c r="BQ724" s="86" t="str">
        <f t="shared" si="142"/>
        <v/>
      </c>
      <c r="BR724" s="86" t="str">
        <f t="shared" si="143"/>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838"/>
      <c r="C725" s="1208"/>
      <c r="D725" s="2957" t="s">
        <v>2187</v>
      </c>
      <c r="E725" s="2961">
        <v>50</v>
      </c>
      <c r="F725" s="2956">
        <v>0</v>
      </c>
      <c r="G725" s="2956">
        <v>6</v>
      </c>
      <c r="H725" s="2956">
        <v>5</v>
      </c>
      <c r="I725" s="2956" t="s">
        <v>1555</v>
      </c>
      <c r="J725" s="2956" t="s">
        <v>1459</v>
      </c>
      <c r="K725" s="2947" t="s">
        <v>7458</v>
      </c>
      <c r="L725" s="2963"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2962">
        <v>11</v>
      </c>
      <c r="N725" s="2962">
        <v>3</v>
      </c>
      <c r="O725" s="2962">
        <v>40</v>
      </c>
      <c r="P725" s="2956"/>
      <c r="Q725" s="2956"/>
      <c r="R725" s="2956" t="s">
        <v>1459</v>
      </c>
      <c r="S725" s="2956" t="s">
        <v>1459</v>
      </c>
      <c r="T725" s="2956" t="s">
        <v>1459</v>
      </c>
      <c r="U725" s="2956"/>
      <c r="V725" s="2949" t="s">
        <v>2137</v>
      </c>
      <c r="W725" s="2949"/>
      <c r="X725" s="2950" t="str">
        <f t="shared" si="148"/>
        <v>Mediana</v>
      </c>
      <c r="Y725" s="2886">
        <f t="shared" si="149"/>
        <v>0</v>
      </c>
      <c r="Z725" s="1326" t="str">
        <f t="shared" si="144"/>
        <v/>
      </c>
      <c r="AB725" s="597" t="s">
        <v>7213</v>
      </c>
      <c r="AC725" s="236"/>
      <c r="AD725" s="236"/>
      <c r="AE725" s="891"/>
      <c r="AG725" s="907" t="str">
        <f t="shared" si="126"/>
        <v/>
      </c>
      <c r="AH725" s="86" t="str">
        <f t="shared" si="127"/>
        <v/>
      </c>
      <c r="AI725" s="86" t="str">
        <f t="shared" si="128"/>
        <v>Katana de doble hoja</v>
      </c>
      <c r="AJ725" s="1327">
        <f>IF(OR($L725=AJ$635,$L725="",$D725=$AL$634),MAX(AJ$637:AJ724)+1,0)</f>
        <v>0</v>
      </c>
      <c r="AK725" s="1328">
        <f>IF(OR($L725=AK$635,$L725="",$D725=$AL$634),MAX(AK$637:AK724)+1,0)</f>
        <v>0</v>
      </c>
      <c r="AL725" s="1329">
        <f>IF(OR($L725=AL$635,$L725="",$D725=$AL$634),MAX(AL$637:AL724)+1,0)</f>
        <v>87</v>
      </c>
      <c r="AM725" s="5867"/>
      <c r="AN725" s="907" t="str">
        <f t="shared" si="129"/>
        <v/>
      </c>
      <c r="AO725" s="86" t="str">
        <f t="shared" si="130"/>
        <v/>
      </c>
      <c r="AP725" s="86" t="str">
        <f t="shared" si="131"/>
        <v>Katana de doble hoja</v>
      </c>
      <c r="AQ725" s="1327">
        <f>IF(OR($L725=AQ$635,$L725="",$D725=$AS$634),MAX(AQ$637:AQ724)+1,0)</f>
        <v>0</v>
      </c>
      <c r="AR725" s="1328">
        <f>IF(OR($L725=AR$635,$L725="",$D725=$AS$634),MAX(AR$637:AR724)+1,0)</f>
        <v>0</v>
      </c>
      <c r="AS725" s="1329">
        <f>IF(OR($L725=AS$635,$L725="",$D725=$AS$634),MAX(AS$637:AS724)+1,0)</f>
        <v>87</v>
      </c>
      <c r="AT725" s="5867"/>
      <c r="AU725" s="907" t="str">
        <f t="shared" si="132"/>
        <v/>
      </c>
      <c r="AV725" s="86" t="str">
        <f t="shared" si="133"/>
        <v/>
      </c>
      <c r="AW725" s="86" t="str">
        <f t="shared" si="134"/>
        <v>Katana de doble hoja</v>
      </c>
      <c r="AX725" s="1327">
        <f>IF(OR($L725=AX$635,$L725="",$D725=$AZ$634),MAX(AX$637:AX724)+1,0)</f>
        <v>0</v>
      </c>
      <c r="AY725" s="1328">
        <f>IF(OR($L725=AY$635,$L725="",$D725=$AZ$634),MAX(AY$637:AY724)+1,0)</f>
        <v>0</v>
      </c>
      <c r="AZ725" s="1329">
        <f>IF(OR($L725=AZ$635,$L725="",$D725=$AZ$634),MAX(AZ$637:AZ724)+1,0)</f>
        <v>87</v>
      </c>
      <c r="BA725" s="5867"/>
      <c r="BB725" s="907" t="str">
        <f t="shared" si="135"/>
        <v/>
      </c>
      <c r="BC725" s="86" t="str">
        <f t="shared" si="136"/>
        <v/>
      </c>
      <c r="BD725" s="86" t="str">
        <f t="shared" si="137"/>
        <v>Katana de doble hoja</v>
      </c>
      <c r="BE725" s="1327">
        <f>IF(OR($L725=BE$635,$L725="",$D725=$BG$634),MAX(BE$637:BE724)+1,0)</f>
        <v>0</v>
      </c>
      <c r="BF725" s="1328">
        <f>IF(OR($L725=BF$635,$L725="",$D725=$BG$634),MAX(BF$637:BF724)+1,0)</f>
        <v>0</v>
      </c>
      <c r="BG725" s="1329">
        <f>IF(OR($L725=BG$635,$L725="",$D725=$BG$634),MAX(BG$637:BG724)+1,0)</f>
        <v>87</v>
      </c>
      <c r="BH725" s="5867"/>
      <c r="BI725" s="907" t="str">
        <f t="shared" si="138"/>
        <v/>
      </c>
      <c r="BJ725" s="86" t="str">
        <f t="shared" si="139"/>
        <v/>
      </c>
      <c r="BK725" s="86" t="str">
        <f t="shared" si="140"/>
        <v>Katana de doble hoja</v>
      </c>
      <c r="BL725" s="1327">
        <f>IF(OR($L725=BL$635,$L725="",$D725=$BN$634),MAX(BL$637:BL724)+1,0)</f>
        <v>0</v>
      </c>
      <c r="BM725" s="1328">
        <f>IF(OR($L725=BM$635,$L725="",$D725=$BN$634),MAX(BM$637:BM724)+1,0)</f>
        <v>0</v>
      </c>
      <c r="BN725" s="1329">
        <f>IF(OR($L725=BN$635,$L725="",$D725=$BN$634),MAX(BN$637:BN724)+1,0)</f>
        <v>87</v>
      </c>
      <c r="BO725" s="5867"/>
      <c r="BP725" s="907" t="str">
        <f t="shared" si="141"/>
        <v/>
      </c>
      <c r="BQ725" s="86" t="str">
        <f t="shared" si="142"/>
        <v/>
      </c>
      <c r="BR725" s="86" t="str">
        <f t="shared" si="143"/>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838"/>
      <c r="C726" s="1208"/>
      <c r="D726" s="2957" t="s">
        <v>2188</v>
      </c>
      <c r="E726" s="2961">
        <f>55-Bono_Fue</f>
        <v>55</v>
      </c>
      <c r="F726" s="2956">
        <v>-5</v>
      </c>
      <c r="G726" s="2956">
        <v>8</v>
      </c>
      <c r="H726" s="2956">
        <v>8</v>
      </c>
      <c r="I726" s="2956" t="s">
        <v>1555</v>
      </c>
      <c r="J726" s="2956" t="s">
        <v>1459</v>
      </c>
      <c r="K726" s="2947" t="s">
        <v>7458</v>
      </c>
      <c r="L726" s="2956" t="str">
        <f t="shared" ref="L726:L736" si="150">IF(ISNUMBER(SEARCH($D726,Armas_Conocidas)),"Conocida",IF(OR(ISNUMBER(SEARCH(LEFT($K726,SEARCH("/",$K726)),Tipologías_Conocidas)),AND(NOT(ISNUMBER(SEARCH("/-",$K726))),ISNUMBER(SEARCH(MID($K726,SEARCH("/",$K726)+1,LEN($K726)),Tipologías_Conocidas)))),IF(ISNUMBER(SEARCH($K726,Tipologías_Conocidas)),"Similar","Mixta"),"Distinta"))</f>
        <v>Distinta</v>
      </c>
      <c r="M726" s="2962">
        <v>11</v>
      </c>
      <c r="N726" s="2962">
        <v>3</v>
      </c>
      <c r="O726" s="2962">
        <v>40</v>
      </c>
      <c r="P726" s="2956"/>
      <c r="Q726" s="2956"/>
      <c r="R726" s="2956" t="s">
        <v>1459</v>
      </c>
      <c r="S726" s="2956" t="s">
        <v>1459</v>
      </c>
      <c r="T726" s="2956" t="s">
        <v>1459</v>
      </c>
      <c r="U726" s="2956"/>
      <c r="V726" s="2949" t="s">
        <v>2189</v>
      </c>
      <c r="W726" s="2949"/>
      <c r="X726" s="2950" t="str">
        <f t="shared" si="148"/>
        <v>Mediana</v>
      </c>
      <c r="Y726" s="2886">
        <f t="shared" si="149"/>
        <v>0</v>
      </c>
      <c r="Z726" s="1326" t="str">
        <f t="shared" si="144"/>
        <v/>
      </c>
      <c r="AB726" s="907" t="s">
        <v>7192</v>
      </c>
      <c r="AC726" s="236"/>
      <c r="AD726" s="236"/>
      <c r="AE726" s="891"/>
      <c r="AG726" s="907" t="str">
        <f t="shared" si="126"/>
        <v/>
      </c>
      <c r="AH726" s="86" t="str">
        <f t="shared" si="127"/>
        <v/>
      </c>
      <c r="AI726" s="86" t="str">
        <f t="shared" si="128"/>
        <v>Katar</v>
      </c>
      <c r="AJ726" s="1327">
        <f>IF(OR($L726=AJ$635,$L726="",$D726=$AL$634),MAX(AJ$637:AJ725)+1,0)</f>
        <v>0</v>
      </c>
      <c r="AK726" s="1328">
        <f>IF(OR($L726=AK$635,$L726="",$D726=$AL$634),MAX(AK$637:AK725)+1,0)</f>
        <v>0</v>
      </c>
      <c r="AL726" s="1329">
        <f>IF(OR($L726=AL$635,$L726="",$D726=$AL$634),MAX(AL$637:AL725)+1,0)</f>
        <v>88</v>
      </c>
      <c r="AM726" s="5867"/>
      <c r="AN726" s="907" t="str">
        <f t="shared" si="129"/>
        <v/>
      </c>
      <c r="AO726" s="86" t="str">
        <f t="shared" si="130"/>
        <v/>
      </c>
      <c r="AP726" s="86" t="str">
        <f t="shared" si="131"/>
        <v>Katar</v>
      </c>
      <c r="AQ726" s="1327">
        <f>IF(OR($L726=AQ$635,$L726="",$D726=$AS$634),MAX(AQ$637:AQ725)+1,0)</f>
        <v>0</v>
      </c>
      <c r="AR726" s="1328">
        <f>IF(OR($L726=AR$635,$L726="",$D726=$AS$634),MAX(AR$637:AR725)+1,0)</f>
        <v>0</v>
      </c>
      <c r="AS726" s="1329">
        <f>IF(OR($L726=AS$635,$L726="",$D726=$AS$634),MAX(AS$637:AS725)+1,0)</f>
        <v>88</v>
      </c>
      <c r="AT726" s="5867"/>
      <c r="AU726" s="907" t="str">
        <f t="shared" si="132"/>
        <v/>
      </c>
      <c r="AV726" s="86" t="str">
        <f t="shared" si="133"/>
        <v/>
      </c>
      <c r="AW726" s="86" t="str">
        <f t="shared" si="134"/>
        <v>Katar</v>
      </c>
      <c r="AX726" s="1327">
        <f>IF(OR($L726=AX$635,$L726="",$D726=$AZ$634),MAX(AX$637:AX725)+1,0)</f>
        <v>0</v>
      </c>
      <c r="AY726" s="1328">
        <f>IF(OR($L726=AY$635,$L726="",$D726=$AZ$634),MAX(AY$637:AY725)+1,0)</f>
        <v>0</v>
      </c>
      <c r="AZ726" s="1329">
        <f>IF(OR($L726=AZ$635,$L726="",$D726=$AZ$634),MAX(AZ$637:AZ725)+1,0)</f>
        <v>88</v>
      </c>
      <c r="BA726" s="5867"/>
      <c r="BB726" s="907" t="str">
        <f t="shared" si="135"/>
        <v/>
      </c>
      <c r="BC726" s="86" t="str">
        <f t="shared" si="136"/>
        <v/>
      </c>
      <c r="BD726" s="86" t="str">
        <f t="shared" si="137"/>
        <v>Katar</v>
      </c>
      <c r="BE726" s="1327">
        <f>IF(OR($L726=BE$635,$L726="",$D726=$BG$634),MAX(BE$637:BE725)+1,0)</f>
        <v>0</v>
      </c>
      <c r="BF726" s="1328">
        <f>IF(OR($L726=BF$635,$L726="",$D726=$BG$634),MAX(BF$637:BF725)+1,0)</f>
        <v>0</v>
      </c>
      <c r="BG726" s="1329">
        <f>IF(OR($L726=BG$635,$L726="",$D726=$BG$634),MAX(BG$637:BG725)+1,0)</f>
        <v>88</v>
      </c>
      <c r="BH726" s="5867"/>
      <c r="BI726" s="907" t="str">
        <f t="shared" si="138"/>
        <v/>
      </c>
      <c r="BJ726" s="86" t="str">
        <f t="shared" si="139"/>
        <v/>
      </c>
      <c r="BK726" s="86" t="str">
        <f t="shared" si="140"/>
        <v>Katar</v>
      </c>
      <c r="BL726" s="1327">
        <f>IF(OR($L726=BL$635,$L726="",$D726=$BN$634),MAX(BL$637:BL725)+1,0)</f>
        <v>0</v>
      </c>
      <c r="BM726" s="1328">
        <f>IF(OR($L726=BM$635,$L726="",$D726=$BN$634),MAX(BM$637:BM725)+1,0)</f>
        <v>0</v>
      </c>
      <c r="BN726" s="1329">
        <f>IF(OR($L726=BN$635,$L726="",$D726=$BN$634),MAX(BN$637:BN725)+1,0)</f>
        <v>88</v>
      </c>
      <c r="BO726" s="5867"/>
      <c r="BP726" s="907" t="str">
        <f t="shared" si="141"/>
        <v/>
      </c>
      <c r="BQ726" s="86" t="str">
        <f t="shared" si="142"/>
        <v/>
      </c>
      <c r="BR726" s="86" t="str">
        <f t="shared" si="143"/>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838"/>
      <c r="C727" s="1208"/>
      <c r="D727" s="2957" t="s">
        <v>2190</v>
      </c>
      <c r="E727" s="2961">
        <v>40</v>
      </c>
      <c r="F727" s="2956">
        <v>10</v>
      </c>
      <c r="G727" s="2956">
        <v>8</v>
      </c>
      <c r="H727" s="2956">
        <v>8</v>
      </c>
      <c r="I727" s="2956" t="s">
        <v>1556</v>
      </c>
      <c r="J727" s="2956" t="s">
        <v>1555</v>
      </c>
      <c r="K727" s="2947" t="s">
        <v>7460</v>
      </c>
      <c r="L727" s="2956" t="str">
        <f t="shared" si="150"/>
        <v>Distinta</v>
      </c>
      <c r="M727" s="2962">
        <v>13</v>
      </c>
      <c r="N727" s="2962">
        <v>3</v>
      </c>
      <c r="O727" s="2962">
        <v>25</v>
      </c>
      <c r="P727" s="2956"/>
      <c r="Q727" s="2956"/>
      <c r="R727" s="2956" t="s">
        <v>1459</v>
      </c>
      <c r="S727" s="2956" t="s">
        <v>1459</v>
      </c>
      <c r="T727" s="2956" t="s">
        <v>1459</v>
      </c>
      <c r="U727" s="2956"/>
      <c r="V727" s="2949" t="s">
        <v>2191</v>
      </c>
      <c r="W727" s="2949"/>
      <c r="X727" s="2950" t="str">
        <f t="shared" si="148"/>
        <v>Pequeña</v>
      </c>
      <c r="Y727" s="2886">
        <f t="shared" si="149"/>
        <v>0</v>
      </c>
      <c r="Z727" s="1326" t="str">
        <f t="shared" si="144"/>
        <v/>
      </c>
      <c r="AB727" s="597" t="s">
        <v>7214</v>
      </c>
      <c r="AC727" s="236"/>
      <c r="AD727" s="236"/>
      <c r="AE727" s="891"/>
      <c r="AG727" s="907" t="str">
        <f t="shared" si="126"/>
        <v/>
      </c>
      <c r="AH727" s="86" t="str">
        <f t="shared" si="127"/>
        <v/>
      </c>
      <c r="AI727" s="86" t="str">
        <f t="shared" si="128"/>
        <v>Kusari-Gama</v>
      </c>
      <c r="AJ727" s="1327">
        <f>IF(OR($L727=AJ$635,$L727="",$D727=$AL$634),MAX(AJ$637:AJ726)+1,0)</f>
        <v>0</v>
      </c>
      <c r="AK727" s="1328">
        <f>IF(OR($L727=AK$635,$L727="",$D727=$AL$634),MAX(AK$637:AK726)+1,0)</f>
        <v>0</v>
      </c>
      <c r="AL727" s="1329">
        <f>IF(OR($L727=AL$635,$L727="",$D727=$AL$634),MAX(AL$637:AL726)+1,0)</f>
        <v>89</v>
      </c>
      <c r="AM727" s="5867"/>
      <c r="AN727" s="907" t="str">
        <f t="shared" si="129"/>
        <v/>
      </c>
      <c r="AO727" s="86" t="str">
        <f t="shared" si="130"/>
        <v/>
      </c>
      <c r="AP727" s="86" t="str">
        <f t="shared" si="131"/>
        <v>Kusari-Gama</v>
      </c>
      <c r="AQ727" s="1327">
        <f>IF(OR($L727=AQ$635,$L727="",$D727=$AS$634),MAX(AQ$637:AQ726)+1,0)</f>
        <v>0</v>
      </c>
      <c r="AR727" s="1328">
        <f>IF(OR($L727=AR$635,$L727="",$D727=$AS$634),MAX(AR$637:AR726)+1,0)</f>
        <v>0</v>
      </c>
      <c r="AS727" s="1329">
        <f>IF(OR($L727=AS$635,$L727="",$D727=$AS$634),MAX(AS$637:AS726)+1,0)</f>
        <v>89</v>
      </c>
      <c r="AT727" s="5867"/>
      <c r="AU727" s="907" t="str">
        <f t="shared" si="132"/>
        <v/>
      </c>
      <c r="AV727" s="86" t="str">
        <f t="shared" si="133"/>
        <v/>
      </c>
      <c r="AW727" s="86" t="str">
        <f t="shared" si="134"/>
        <v>Kusari-Gama</v>
      </c>
      <c r="AX727" s="1327">
        <f>IF(OR($L727=AX$635,$L727="",$D727=$AZ$634),MAX(AX$637:AX726)+1,0)</f>
        <v>0</v>
      </c>
      <c r="AY727" s="1328">
        <f>IF(OR($L727=AY$635,$L727="",$D727=$AZ$634),MAX(AY$637:AY726)+1,0)</f>
        <v>0</v>
      </c>
      <c r="AZ727" s="1329">
        <f>IF(OR($L727=AZ$635,$L727="",$D727=$AZ$634),MAX(AZ$637:AZ726)+1,0)</f>
        <v>89</v>
      </c>
      <c r="BA727" s="5867"/>
      <c r="BB727" s="907" t="str">
        <f t="shared" si="135"/>
        <v/>
      </c>
      <c r="BC727" s="86" t="str">
        <f t="shared" si="136"/>
        <v/>
      </c>
      <c r="BD727" s="86" t="str">
        <f t="shared" si="137"/>
        <v>Kusari-Gama</v>
      </c>
      <c r="BE727" s="1327">
        <f>IF(OR($L727=BE$635,$L727="",$D727=$BG$634),MAX(BE$637:BE726)+1,0)</f>
        <v>0</v>
      </c>
      <c r="BF727" s="1328">
        <f>IF(OR($L727=BF$635,$L727="",$D727=$BG$634),MAX(BF$637:BF726)+1,0)</f>
        <v>0</v>
      </c>
      <c r="BG727" s="1329">
        <f>IF(OR($L727=BG$635,$L727="",$D727=$BG$634),MAX(BG$637:BG726)+1,0)</f>
        <v>89</v>
      </c>
      <c r="BH727" s="5867"/>
      <c r="BI727" s="907" t="str">
        <f t="shared" si="138"/>
        <v/>
      </c>
      <c r="BJ727" s="86" t="str">
        <f t="shared" si="139"/>
        <v/>
      </c>
      <c r="BK727" s="86" t="str">
        <f t="shared" si="140"/>
        <v>Kusari-Gama</v>
      </c>
      <c r="BL727" s="1327">
        <f>IF(OR($L727=BL$635,$L727="",$D727=$BN$634),MAX(BL$637:BL726)+1,0)</f>
        <v>0</v>
      </c>
      <c r="BM727" s="1328">
        <f>IF(OR($L727=BM$635,$L727="",$D727=$BN$634),MAX(BM$637:BM726)+1,0)</f>
        <v>0</v>
      </c>
      <c r="BN727" s="1329">
        <f>IF(OR($L727=BN$635,$L727="",$D727=$BN$634),MAX(BN$637:BN726)+1,0)</f>
        <v>89</v>
      </c>
      <c r="BO727" s="5867"/>
      <c r="BP727" s="907" t="str">
        <f t="shared" si="141"/>
        <v/>
      </c>
      <c r="BQ727" s="86" t="str">
        <f t="shared" si="142"/>
        <v/>
      </c>
      <c r="BR727" s="86" t="str">
        <f t="shared" si="143"/>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838"/>
      <c r="C728" s="1208"/>
      <c r="D728" s="2957" t="s">
        <v>2192</v>
      </c>
      <c r="E728" s="2961">
        <f>40-Bono_Fue</f>
        <v>40</v>
      </c>
      <c r="F728" s="2956">
        <v>5</v>
      </c>
      <c r="G728" s="2956">
        <v>5</v>
      </c>
      <c r="H728" s="2956">
        <v>5</v>
      </c>
      <c r="I728" s="2956" t="s">
        <v>1555</v>
      </c>
      <c r="J728" s="2956" t="s">
        <v>2193</v>
      </c>
      <c r="K728" s="2947" t="s">
        <v>7472</v>
      </c>
      <c r="L728" s="2956" t="str">
        <f t="shared" si="150"/>
        <v>Distinta</v>
      </c>
      <c r="M728" s="2962">
        <v>12</v>
      </c>
      <c r="N728" s="2962">
        <v>4</v>
      </c>
      <c r="O728" s="2962">
        <v>25</v>
      </c>
      <c r="P728" s="2956"/>
      <c r="Q728" s="2956"/>
      <c r="R728" s="2956" t="s">
        <v>1459</v>
      </c>
      <c r="S728" s="2956" t="s">
        <v>1459</v>
      </c>
      <c r="T728" s="2956" t="s">
        <v>1459</v>
      </c>
      <c r="U728" s="2956"/>
      <c r="V728" s="2949" t="s">
        <v>2194</v>
      </c>
      <c r="W728" s="2949"/>
      <c r="X728" s="2950" t="str">
        <f t="shared" si="148"/>
        <v>Pequeña</v>
      </c>
      <c r="Y728" s="2886">
        <f t="shared" si="149"/>
        <v>0</v>
      </c>
      <c r="Z728" s="1326" t="str">
        <f t="shared" si="144"/>
        <v/>
      </c>
      <c r="AB728" s="597" t="s">
        <v>2195</v>
      </c>
      <c r="AC728" s="236"/>
      <c r="AD728" s="236"/>
      <c r="AE728" s="891"/>
      <c r="AG728" s="907" t="str">
        <f t="shared" si="126"/>
        <v/>
      </c>
      <c r="AH728" s="86" t="str">
        <f t="shared" si="127"/>
        <v/>
      </c>
      <c r="AI728" s="86" t="str">
        <f t="shared" si="128"/>
        <v>Nodachi</v>
      </c>
      <c r="AJ728" s="1327">
        <f>IF(OR($L728=AJ$635,$L728="",$D728=$AL$634),MAX(AJ$637:AJ727)+1,0)</f>
        <v>0</v>
      </c>
      <c r="AK728" s="1328">
        <f>IF(OR($L728=AK$635,$L728="",$D728=$AL$634),MAX(AK$637:AK727)+1,0)</f>
        <v>0</v>
      </c>
      <c r="AL728" s="1329">
        <f>IF(OR($L728=AL$635,$L728="",$D728=$AL$634),MAX(AL$637:AL727)+1,0)</f>
        <v>90</v>
      </c>
      <c r="AM728" s="5867"/>
      <c r="AN728" s="907" t="str">
        <f t="shared" si="129"/>
        <v/>
      </c>
      <c r="AO728" s="86" t="str">
        <f t="shared" si="130"/>
        <v/>
      </c>
      <c r="AP728" s="86" t="str">
        <f t="shared" si="131"/>
        <v>Nodachi</v>
      </c>
      <c r="AQ728" s="1327">
        <f>IF(OR($L728=AQ$635,$L728="",$D728=$AS$634),MAX(AQ$637:AQ727)+1,0)</f>
        <v>0</v>
      </c>
      <c r="AR728" s="1328">
        <f>IF(OR($L728=AR$635,$L728="",$D728=$AS$634),MAX(AR$637:AR727)+1,0)</f>
        <v>0</v>
      </c>
      <c r="AS728" s="1329">
        <f>IF(OR($L728=AS$635,$L728="",$D728=$AS$634),MAX(AS$637:AS727)+1,0)</f>
        <v>90</v>
      </c>
      <c r="AT728" s="5867"/>
      <c r="AU728" s="907" t="str">
        <f t="shared" si="132"/>
        <v/>
      </c>
      <c r="AV728" s="86" t="str">
        <f t="shared" si="133"/>
        <v/>
      </c>
      <c r="AW728" s="86" t="str">
        <f t="shared" si="134"/>
        <v>Nodachi</v>
      </c>
      <c r="AX728" s="1327">
        <f>IF(OR($L728=AX$635,$L728="",$D728=$AZ$634),MAX(AX$637:AX727)+1,0)</f>
        <v>0</v>
      </c>
      <c r="AY728" s="1328">
        <f>IF(OR($L728=AY$635,$L728="",$D728=$AZ$634),MAX(AY$637:AY727)+1,0)</f>
        <v>0</v>
      </c>
      <c r="AZ728" s="1329">
        <f>IF(OR($L728=AZ$635,$L728="",$D728=$AZ$634),MAX(AZ$637:AZ727)+1,0)</f>
        <v>90</v>
      </c>
      <c r="BA728" s="5867"/>
      <c r="BB728" s="907" t="str">
        <f t="shared" si="135"/>
        <v/>
      </c>
      <c r="BC728" s="86" t="str">
        <f t="shared" si="136"/>
        <v/>
      </c>
      <c r="BD728" s="86" t="str">
        <f t="shared" si="137"/>
        <v>Nodachi</v>
      </c>
      <c r="BE728" s="1327">
        <f>IF(OR($L728=BE$635,$L728="",$D728=$BG$634),MAX(BE$637:BE727)+1,0)</f>
        <v>0</v>
      </c>
      <c r="BF728" s="1328">
        <f>IF(OR($L728=BF$635,$L728="",$D728=$BG$634),MAX(BF$637:BF727)+1,0)</f>
        <v>0</v>
      </c>
      <c r="BG728" s="1329">
        <f>IF(OR($L728=BG$635,$L728="",$D728=$BG$634),MAX(BG$637:BG727)+1,0)</f>
        <v>90</v>
      </c>
      <c r="BH728" s="5867"/>
      <c r="BI728" s="907" t="str">
        <f t="shared" si="138"/>
        <v/>
      </c>
      <c r="BJ728" s="86" t="str">
        <f t="shared" si="139"/>
        <v/>
      </c>
      <c r="BK728" s="86" t="str">
        <f t="shared" si="140"/>
        <v>Nodachi</v>
      </c>
      <c r="BL728" s="1327">
        <f>IF(OR($L728=BL$635,$L728="",$D728=$BN$634),MAX(BL$637:BL727)+1,0)</f>
        <v>0</v>
      </c>
      <c r="BM728" s="1328">
        <f>IF(OR($L728=BM$635,$L728="",$D728=$BN$634),MAX(BM$637:BM727)+1,0)</f>
        <v>0</v>
      </c>
      <c r="BN728" s="1329">
        <f>IF(OR($L728=BN$635,$L728="",$D728=$BN$634),MAX(BN$637:BN727)+1,0)</f>
        <v>90</v>
      </c>
      <c r="BO728" s="5867"/>
      <c r="BP728" s="907" t="str">
        <f t="shared" si="141"/>
        <v/>
      </c>
      <c r="BQ728" s="86" t="str">
        <f t="shared" si="142"/>
        <v/>
      </c>
      <c r="BR728" s="86" t="str">
        <f t="shared" si="143"/>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838"/>
      <c r="C729" s="1208"/>
      <c r="D729" s="2957" t="s">
        <v>2195</v>
      </c>
      <c r="E729" s="2961">
        <v>80</v>
      </c>
      <c r="F729" s="2956">
        <v>-35</v>
      </c>
      <c r="G729" s="2956">
        <v>10</v>
      </c>
      <c r="H729" s="2956">
        <v>8</v>
      </c>
      <c r="I729" s="2956" t="s">
        <v>1555</v>
      </c>
      <c r="J729" s="2956" t="s">
        <v>1459</v>
      </c>
      <c r="K729" s="2947" t="s">
        <v>7462</v>
      </c>
      <c r="L729" s="2956" t="str">
        <f t="shared" si="150"/>
        <v>Distinta</v>
      </c>
      <c r="M729" s="2962">
        <v>14</v>
      </c>
      <c r="N729" s="2962">
        <v>4</v>
      </c>
      <c r="O729" s="2962">
        <v>40</v>
      </c>
      <c r="P729" s="2956"/>
      <c r="Q729" s="2956"/>
      <c r="R729" s="2956" t="s">
        <v>1459</v>
      </c>
      <c r="S729" s="2956" t="s">
        <v>1459</v>
      </c>
      <c r="T729" s="2956" t="s">
        <v>1459</v>
      </c>
      <c r="U729" s="2956"/>
      <c r="V729" s="2949" t="s">
        <v>2137</v>
      </c>
      <c r="W729" s="2949"/>
      <c r="X729" s="2950" t="str">
        <f t="shared" si="148"/>
        <v>Grande</v>
      </c>
      <c r="Y729" s="2886">
        <f t="shared" si="149"/>
        <v>0</v>
      </c>
      <c r="Z729" s="1326" t="str">
        <f t="shared" si="144"/>
        <v/>
      </c>
      <c r="AB729" s="907" t="s">
        <v>2196</v>
      </c>
      <c r="AC729" s="236"/>
      <c r="AD729" s="236"/>
      <c r="AE729" s="891"/>
      <c r="AG729" s="907" t="str">
        <f t="shared" si="126"/>
        <v/>
      </c>
      <c r="AH729" s="86" t="str">
        <f t="shared" si="127"/>
        <v/>
      </c>
      <c r="AI729" s="86" t="str">
        <f t="shared" si="128"/>
        <v>Nunchaku</v>
      </c>
      <c r="AJ729" s="1327">
        <f>IF(OR($L729=AJ$635,$L729="",$D729=$AL$634),MAX(AJ$637:AJ728)+1,0)</f>
        <v>0</v>
      </c>
      <c r="AK729" s="1328">
        <f>IF(OR($L729=AK$635,$L729="",$D729=$AL$634),MAX(AK$637:AK728)+1,0)</f>
        <v>0</v>
      </c>
      <c r="AL729" s="1329">
        <f>IF(OR($L729=AL$635,$L729="",$D729=$AL$634),MAX(AL$637:AL728)+1,0)</f>
        <v>91</v>
      </c>
      <c r="AM729" s="5867"/>
      <c r="AN729" s="907" t="str">
        <f t="shared" si="129"/>
        <v/>
      </c>
      <c r="AO729" s="86" t="str">
        <f t="shared" si="130"/>
        <v/>
      </c>
      <c r="AP729" s="86" t="str">
        <f t="shared" si="131"/>
        <v>Nunchaku</v>
      </c>
      <c r="AQ729" s="1327">
        <f>IF(OR($L729=AQ$635,$L729="",$D729=$AS$634),MAX(AQ$637:AQ728)+1,0)</f>
        <v>0</v>
      </c>
      <c r="AR729" s="1328">
        <f>IF(OR($L729=AR$635,$L729="",$D729=$AS$634),MAX(AR$637:AR728)+1,0)</f>
        <v>0</v>
      </c>
      <c r="AS729" s="1329">
        <f>IF(OR($L729=AS$635,$L729="",$D729=$AS$634),MAX(AS$637:AS728)+1,0)</f>
        <v>91</v>
      </c>
      <c r="AT729" s="5867"/>
      <c r="AU729" s="907" t="str">
        <f t="shared" si="132"/>
        <v/>
      </c>
      <c r="AV729" s="86" t="str">
        <f t="shared" si="133"/>
        <v/>
      </c>
      <c r="AW729" s="86" t="str">
        <f t="shared" si="134"/>
        <v>Nunchaku</v>
      </c>
      <c r="AX729" s="1327">
        <f>IF(OR($L729=AX$635,$L729="",$D729=$AZ$634),MAX(AX$637:AX728)+1,0)</f>
        <v>0</v>
      </c>
      <c r="AY729" s="1328">
        <f>IF(OR($L729=AY$635,$L729="",$D729=$AZ$634),MAX(AY$637:AY728)+1,0)</f>
        <v>0</v>
      </c>
      <c r="AZ729" s="1329">
        <f>IF(OR($L729=AZ$635,$L729="",$D729=$AZ$634),MAX(AZ$637:AZ728)+1,0)</f>
        <v>91</v>
      </c>
      <c r="BA729" s="5867"/>
      <c r="BB729" s="907" t="str">
        <f t="shared" si="135"/>
        <v/>
      </c>
      <c r="BC729" s="86" t="str">
        <f t="shared" si="136"/>
        <v/>
      </c>
      <c r="BD729" s="86" t="str">
        <f t="shared" si="137"/>
        <v>Nunchaku</v>
      </c>
      <c r="BE729" s="1327">
        <f>IF(OR($L729=BE$635,$L729="",$D729=$BG$634),MAX(BE$637:BE728)+1,0)</f>
        <v>0</v>
      </c>
      <c r="BF729" s="1328">
        <f>IF(OR($L729=BF$635,$L729="",$D729=$BG$634),MAX(BF$637:BF728)+1,0)</f>
        <v>0</v>
      </c>
      <c r="BG729" s="1329">
        <f>IF(OR($L729=BG$635,$L729="",$D729=$BG$634),MAX(BG$637:BG728)+1,0)</f>
        <v>91</v>
      </c>
      <c r="BH729" s="5867"/>
      <c r="BI729" s="907" t="str">
        <f t="shared" si="138"/>
        <v/>
      </c>
      <c r="BJ729" s="86" t="str">
        <f t="shared" si="139"/>
        <v/>
      </c>
      <c r="BK729" s="86" t="str">
        <f t="shared" si="140"/>
        <v>Nunchaku</v>
      </c>
      <c r="BL729" s="1327">
        <f>IF(OR($L729=BL$635,$L729="",$D729=$BN$634),MAX(BL$637:BL728)+1,0)</f>
        <v>0</v>
      </c>
      <c r="BM729" s="1328">
        <f>IF(OR($L729=BM$635,$L729="",$D729=$BN$634),MAX(BM$637:BM728)+1,0)</f>
        <v>0</v>
      </c>
      <c r="BN729" s="1329">
        <f>IF(OR($L729=BN$635,$L729="",$D729=$BN$634),MAX(BN$637:BN728)+1,0)</f>
        <v>91</v>
      </c>
      <c r="BO729" s="5867"/>
      <c r="BP729" s="907" t="str">
        <f t="shared" si="141"/>
        <v/>
      </c>
      <c r="BQ729" s="86" t="str">
        <f t="shared" si="142"/>
        <v/>
      </c>
      <c r="BR729" s="86" t="str">
        <f t="shared" si="143"/>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838"/>
      <c r="C730" s="1208"/>
      <c r="D730" s="2957" t="s">
        <v>2196</v>
      </c>
      <c r="E730" s="2961">
        <v>30</v>
      </c>
      <c r="F730" s="2956">
        <v>15</v>
      </c>
      <c r="G730" s="2956">
        <v>5</v>
      </c>
      <c r="H730" s="2956">
        <v>5</v>
      </c>
      <c r="I730" s="2956" t="s">
        <v>1501</v>
      </c>
      <c r="J730" s="2956" t="s">
        <v>1459</v>
      </c>
      <c r="K730" s="2947" t="s">
        <v>7459</v>
      </c>
      <c r="L730" s="2956" t="str">
        <f t="shared" si="150"/>
        <v>Distinta</v>
      </c>
      <c r="M730" s="2962">
        <v>11</v>
      </c>
      <c r="N730" s="2962">
        <v>0</v>
      </c>
      <c r="O730" s="2962">
        <v>15</v>
      </c>
      <c r="P730" s="2956"/>
      <c r="Q730" s="2956"/>
      <c r="R730" s="2956" t="s">
        <v>1459</v>
      </c>
      <c r="S730" s="2956" t="s">
        <v>1459</v>
      </c>
      <c r="T730" s="2956" t="s">
        <v>1459</v>
      </c>
      <c r="U730" s="2956"/>
      <c r="V730" s="2949" t="s">
        <v>1459</v>
      </c>
      <c r="W730" s="2949"/>
      <c r="X730" s="2950" t="str">
        <f t="shared" si="148"/>
        <v>Mediana</v>
      </c>
      <c r="Y730" s="2886">
        <f t="shared" si="149"/>
        <v>0</v>
      </c>
      <c r="Z730" s="1326" t="str">
        <f t="shared" si="144"/>
        <v/>
      </c>
      <c r="AB730" s="597" t="s">
        <v>2197</v>
      </c>
      <c r="AC730" s="236"/>
      <c r="AD730" s="236"/>
      <c r="AE730" s="891"/>
      <c r="AG730" s="907" t="str">
        <f t="shared" si="126"/>
        <v/>
      </c>
      <c r="AH730" s="86" t="str">
        <f t="shared" si="127"/>
        <v/>
      </c>
      <c r="AI730" s="86" t="str">
        <f t="shared" si="128"/>
        <v>Quebradora</v>
      </c>
      <c r="AJ730" s="1327">
        <f>IF(OR($L730=AJ$635,$L730="",$D730=$AL$634),MAX(AJ$637:AJ729)+1,0)</f>
        <v>0</v>
      </c>
      <c r="AK730" s="1328">
        <f>IF(OR($L730=AK$635,$L730="",$D730=$AL$634),MAX(AK$637:AK729)+1,0)</f>
        <v>0</v>
      </c>
      <c r="AL730" s="1329">
        <f>IF(OR($L730=AL$635,$L730="",$D730=$AL$634),MAX(AL$637:AL729)+1,0)</f>
        <v>92</v>
      </c>
      <c r="AM730" s="5867"/>
      <c r="AN730" s="907" t="str">
        <f t="shared" si="129"/>
        <v/>
      </c>
      <c r="AO730" s="86" t="str">
        <f t="shared" si="130"/>
        <v/>
      </c>
      <c r="AP730" s="86" t="str">
        <f t="shared" si="131"/>
        <v>Quebradora</v>
      </c>
      <c r="AQ730" s="1327">
        <f>IF(OR($L730=AQ$635,$L730="",$D730=$AS$634),MAX(AQ$637:AQ729)+1,0)</f>
        <v>0</v>
      </c>
      <c r="AR730" s="1328">
        <f>IF(OR($L730=AR$635,$L730="",$D730=$AS$634),MAX(AR$637:AR729)+1,0)</f>
        <v>0</v>
      </c>
      <c r="AS730" s="1329">
        <f>IF(OR($L730=AS$635,$L730="",$D730=$AS$634),MAX(AS$637:AS729)+1,0)</f>
        <v>92</v>
      </c>
      <c r="AT730" s="5867"/>
      <c r="AU730" s="907" t="str">
        <f t="shared" si="132"/>
        <v/>
      </c>
      <c r="AV730" s="86" t="str">
        <f t="shared" si="133"/>
        <v/>
      </c>
      <c r="AW730" s="86" t="str">
        <f t="shared" si="134"/>
        <v>Quebradora</v>
      </c>
      <c r="AX730" s="1327">
        <f>IF(OR($L730=AX$635,$L730="",$D730=$AZ$634),MAX(AX$637:AX729)+1,0)</f>
        <v>0</v>
      </c>
      <c r="AY730" s="1328">
        <f>IF(OR($L730=AY$635,$L730="",$D730=$AZ$634),MAX(AY$637:AY729)+1,0)</f>
        <v>0</v>
      </c>
      <c r="AZ730" s="1329">
        <f>IF(OR($L730=AZ$635,$L730="",$D730=$AZ$634),MAX(AZ$637:AZ729)+1,0)</f>
        <v>92</v>
      </c>
      <c r="BA730" s="5867"/>
      <c r="BB730" s="907" t="str">
        <f t="shared" si="135"/>
        <v/>
      </c>
      <c r="BC730" s="86" t="str">
        <f t="shared" si="136"/>
        <v/>
      </c>
      <c r="BD730" s="86" t="str">
        <f t="shared" si="137"/>
        <v>Quebradora</v>
      </c>
      <c r="BE730" s="1327">
        <f>IF(OR($L730=BE$635,$L730="",$D730=$BG$634),MAX(BE$637:BE729)+1,0)</f>
        <v>0</v>
      </c>
      <c r="BF730" s="1328">
        <f>IF(OR($L730=BF$635,$L730="",$D730=$BG$634),MAX(BF$637:BF729)+1,0)</f>
        <v>0</v>
      </c>
      <c r="BG730" s="1329">
        <f>IF(OR($L730=BG$635,$L730="",$D730=$BG$634),MAX(BG$637:BG729)+1,0)</f>
        <v>92</v>
      </c>
      <c r="BH730" s="5867"/>
      <c r="BI730" s="907" t="str">
        <f t="shared" si="138"/>
        <v/>
      </c>
      <c r="BJ730" s="86" t="str">
        <f t="shared" si="139"/>
        <v/>
      </c>
      <c r="BK730" s="86" t="str">
        <f t="shared" si="140"/>
        <v>Quebradora</v>
      </c>
      <c r="BL730" s="1327">
        <f>IF(OR($L730=BL$635,$L730="",$D730=$BN$634),MAX(BL$637:BL729)+1,0)</f>
        <v>0</v>
      </c>
      <c r="BM730" s="1328">
        <f>IF(OR($L730=BM$635,$L730="",$D730=$BN$634),MAX(BM$637:BM729)+1,0)</f>
        <v>0</v>
      </c>
      <c r="BN730" s="1329">
        <f>IF(OR($L730=BN$635,$L730="",$D730=$BN$634),MAX(BN$637:BN729)+1,0)</f>
        <v>92</v>
      </c>
      <c r="BO730" s="5867"/>
      <c r="BP730" s="907" t="str">
        <f t="shared" si="141"/>
        <v/>
      </c>
      <c r="BQ730" s="86" t="str">
        <f t="shared" si="142"/>
        <v/>
      </c>
      <c r="BR730" s="86" t="str">
        <f t="shared" si="143"/>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838"/>
      <c r="C731" s="1208"/>
      <c r="D731" s="2957" t="s">
        <v>2197</v>
      </c>
      <c r="E731" s="2961">
        <v>50</v>
      </c>
      <c r="F731" s="2956">
        <v>-20</v>
      </c>
      <c r="G731" s="2956">
        <v>10</v>
      </c>
      <c r="H731" s="2956">
        <v>8</v>
      </c>
      <c r="I731" s="2956" t="s">
        <v>1501</v>
      </c>
      <c r="J731" s="2956" t="s">
        <v>1555</v>
      </c>
      <c r="K731" s="2947" t="s">
        <v>7462</v>
      </c>
      <c r="L731" s="2956" t="str">
        <f t="shared" si="150"/>
        <v>Distinta</v>
      </c>
      <c r="M731" s="2962">
        <v>16</v>
      </c>
      <c r="N731" s="2962">
        <v>8</v>
      </c>
      <c r="O731" s="2962">
        <v>25</v>
      </c>
      <c r="P731" s="2956"/>
      <c r="Q731" s="2956"/>
      <c r="R731" s="2956" t="s">
        <v>1459</v>
      </c>
      <c r="S731" s="2956" t="s">
        <v>1459</v>
      </c>
      <c r="T731" s="2956" t="s">
        <v>1459</v>
      </c>
      <c r="U731" s="2956"/>
      <c r="V731" s="2949" t="s">
        <v>2137</v>
      </c>
      <c r="W731" s="2949"/>
      <c r="X731" s="2950" t="str">
        <f t="shared" si="148"/>
        <v>Grande</v>
      </c>
      <c r="Y731" s="2886">
        <f t="shared" si="149"/>
        <v>0</v>
      </c>
      <c r="Z731" s="1326" t="str">
        <f t="shared" si="144"/>
        <v/>
      </c>
      <c r="AB731" s="597" t="s">
        <v>7194</v>
      </c>
      <c r="AC731" s="236"/>
      <c r="AD731" s="236"/>
      <c r="AE731" s="891"/>
      <c r="AG731" s="907" t="str">
        <f t="shared" si="126"/>
        <v/>
      </c>
      <c r="AH731" s="86" t="str">
        <f t="shared" si="127"/>
        <v/>
      </c>
      <c r="AI731" s="86" t="str">
        <f t="shared" si="128"/>
        <v>Sai</v>
      </c>
      <c r="AJ731" s="1327">
        <f>IF(OR($L731=AJ$635,$L731="",$D731=$AL$634),MAX(AJ$637:AJ730)+1,0)</f>
        <v>0</v>
      </c>
      <c r="AK731" s="1328">
        <f>IF(OR($L731=AK$635,$L731="",$D731=$AL$634),MAX(AK$637:AK730)+1,0)</f>
        <v>0</v>
      </c>
      <c r="AL731" s="1329">
        <f>IF(OR($L731=AL$635,$L731="",$D731=$AL$634),MAX(AL$637:AL730)+1,0)</f>
        <v>93</v>
      </c>
      <c r="AM731" s="5867"/>
      <c r="AN731" s="907" t="str">
        <f t="shared" si="129"/>
        <v/>
      </c>
      <c r="AO731" s="86" t="str">
        <f t="shared" si="130"/>
        <v/>
      </c>
      <c r="AP731" s="86" t="str">
        <f t="shared" si="131"/>
        <v>Sai</v>
      </c>
      <c r="AQ731" s="1327">
        <f>IF(OR($L731=AQ$635,$L731="",$D731=$AS$634),MAX(AQ$637:AQ730)+1,0)</f>
        <v>0</v>
      </c>
      <c r="AR731" s="1328">
        <f>IF(OR($L731=AR$635,$L731="",$D731=$AS$634),MAX(AR$637:AR730)+1,0)</f>
        <v>0</v>
      </c>
      <c r="AS731" s="1329">
        <f>IF(OR($L731=AS$635,$L731="",$D731=$AS$634),MAX(AS$637:AS730)+1,0)</f>
        <v>93</v>
      </c>
      <c r="AT731" s="5867"/>
      <c r="AU731" s="907" t="str">
        <f t="shared" si="132"/>
        <v/>
      </c>
      <c r="AV731" s="86" t="str">
        <f t="shared" si="133"/>
        <v/>
      </c>
      <c r="AW731" s="86" t="str">
        <f t="shared" si="134"/>
        <v>Sai</v>
      </c>
      <c r="AX731" s="1327">
        <f>IF(OR($L731=AX$635,$L731="",$D731=$AZ$634),MAX(AX$637:AX730)+1,0)</f>
        <v>0</v>
      </c>
      <c r="AY731" s="1328">
        <f>IF(OR($L731=AY$635,$L731="",$D731=$AZ$634),MAX(AY$637:AY730)+1,0)</f>
        <v>0</v>
      </c>
      <c r="AZ731" s="1329">
        <f>IF(OR($L731=AZ$635,$L731="",$D731=$AZ$634),MAX(AZ$637:AZ730)+1,0)</f>
        <v>93</v>
      </c>
      <c r="BA731" s="5867"/>
      <c r="BB731" s="907" t="str">
        <f t="shared" si="135"/>
        <v/>
      </c>
      <c r="BC731" s="86" t="str">
        <f t="shared" si="136"/>
        <v/>
      </c>
      <c r="BD731" s="86" t="str">
        <f t="shared" si="137"/>
        <v>Sai</v>
      </c>
      <c r="BE731" s="1327">
        <f>IF(OR($L731=BE$635,$L731="",$D731=$BG$634),MAX(BE$637:BE730)+1,0)</f>
        <v>0</v>
      </c>
      <c r="BF731" s="1328">
        <f>IF(OR($L731=BF$635,$L731="",$D731=$BG$634),MAX(BF$637:BF730)+1,0)</f>
        <v>0</v>
      </c>
      <c r="BG731" s="1329">
        <f>IF(OR($L731=BG$635,$L731="",$D731=$BG$634),MAX(BG$637:BG730)+1,0)</f>
        <v>93</v>
      </c>
      <c r="BH731" s="5867"/>
      <c r="BI731" s="907" t="str">
        <f t="shared" si="138"/>
        <v/>
      </c>
      <c r="BJ731" s="86" t="str">
        <f t="shared" si="139"/>
        <v/>
      </c>
      <c r="BK731" s="86" t="str">
        <f t="shared" si="140"/>
        <v>Sai</v>
      </c>
      <c r="BL731" s="1327">
        <f>IF(OR($L731=BL$635,$L731="",$D731=$BN$634),MAX(BL$637:BL730)+1,0)</f>
        <v>0</v>
      </c>
      <c r="BM731" s="1328">
        <f>IF(OR($L731=BM$635,$L731="",$D731=$BN$634),MAX(BM$637:BM730)+1,0)</f>
        <v>0</v>
      </c>
      <c r="BN731" s="1329">
        <f>IF(OR($L731=BN$635,$L731="",$D731=$BN$634),MAX(BN$637:BN730)+1,0)</f>
        <v>93</v>
      </c>
      <c r="BO731" s="5867"/>
      <c r="BP731" s="907" t="str">
        <f t="shared" si="141"/>
        <v/>
      </c>
      <c r="BQ731" s="86" t="str">
        <f t="shared" si="142"/>
        <v/>
      </c>
      <c r="BR731" s="86" t="str">
        <f t="shared" si="143"/>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838"/>
      <c r="C732" s="1208"/>
      <c r="D732" s="2957" t="s">
        <v>2198</v>
      </c>
      <c r="E732" s="2961">
        <v>35</v>
      </c>
      <c r="F732" s="2956">
        <v>15</v>
      </c>
      <c r="G732" s="2956">
        <v>4</v>
      </c>
      <c r="H732" s="2956">
        <v>4</v>
      </c>
      <c r="I732" s="2956" t="s">
        <v>1556</v>
      </c>
      <c r="J732" s="2956" t="s">
        <v>1555</v>
      </c>
      <c r="K732" s="2947" t="s">
        <v>7460</v>
      </c>
      <c r="L732" s="2956" t="str">
        <f t="shared" si="150"/>
        <v>Distinta</v>
      </c>
      <c r="M732" s="2962">
        <v>12</v>
      </c>
      <c r="N732" s="2962">
        <v>0</v>
      </c>
      <c r="O732" s="2962">
        <v>25</v>
      </c>
      <c r="P732" s="2956"/>
      <c r="Q732" s="2956"/>
      <c r="R732" s="2956" t="s">
        <v>1459</v>
      </c>
      <c r="S732" s="2956" t="s">
        <v>1459</v>
      </c>
      <c r="T732" s="2956" t="s">
        <v>1459</v>
      </c>
      <c r="U732" s="2956"/>
      <c r="V732" s="2949" t="s">
        <v>2199</v>
      </c>
      <c r="W732" s="2949"/>
      <c r="X732" s="2950" t="str">
        <f t="shared" si="148"/>
        <v>Pequeña</v>
      </c>
      <c r="Y732" s="2886">
        <f t="shared" si="149"/>
        <v>0</v>
      </c>
      <c r="Z732" s="1326" t="str">
        <f t="shared" si="144"/>
        <v/>
      </c>
      <c r="AB732" s="907" t="s">
        <v>2198</v>
      </c>
      <c r="AC732" s="236"/>
      <c r="AD732" s="236"/>
      <c r="AE732" s="891"/>
      <c r="AG732" s="907" t="str">
        <f t="shared" si="126"/>
        <v/>
      </c>
      <c r="AH732" s="86" t="str">
        <f t="shared" si="127"/>
        <v/>
      </c>
      <c r="AI732" s="86" t="str">
        <f t="shared" si="128"/>
        <v>Shuko</v>
      </c>
      <c r="AJ732" s="1327">
        <f>IF(OR($L732=AJ$635,$L732="",$D732=$AL$634),MAX(AJ$637:AJ731)+1,0)</f>
        <v>0</v>
      </c>
      <c r="AK732" s="1328">
        <f>IF(OR($L732=AK$635,$L732="",$D732=$AL$634),MAX(AK$637:AK731)+1,0)</f>
        <v>0</v>
      </c>
      <c r="AL732" s="1329">
        <f>IF(OR($L732=AL$635,$L732="",$D732=$AL$634),MAX(AL$637:AL731)+1,0)</f>
        <v>94</v>
      </c>
      <c r="AM732" s="5867"/>
      <c r="AN732" s="907" t="str">
        <f t="shared" si="129"/>
        <v/>
      </c>
      <c r="AO732" s="86" t="str">
        <f t="shared" si="130"/>
        <v/>
      </c>
      <c r="AP732" s="86" t="str">
        <f t="shared" si="131"/>
        <v>Shuko</v>
      </c>
      <c r="AQ732" s="1327">
        <f>IF(OR($L732=AQ$635,$L732="",$D732=$AS$634),MAX(AQ$637:AQ731)+1,0)</f>
        <v>0</v>
      </c>
      <c r="AR732" s="1328">
        <f>IF(OR($L732=AR$635,$L732="",$D732=$AS$634),MAX(AR$637:AR731)+1,0)</f>
        <v>0</v>
      </c>
      <c r="AS732" s="1329">
        <f>IF(OR($L732=AS$635,$L732="",$D732=$AS$634),MAX(AS$637:AS731)+1,0)</f>
        <v>94</v>
      </c>
      <c r="AT732" s="5867"/>
      <c r="AU732" s="907" t="str">
        <f t="shared" si="132"/>
        <v/>
      </c>
      <c r="AV732" s="86" t="str">
        <f t="shared" si="133"/>
        <v/>
      </c>
      <c r="AW732" s="86" t="str">
        <f t="shared" si="134"/>
        <v>Shuko</v>
      </c>
      <c r="AX732" s="1327">
        <f>IF(OR($L732=AX$635,$L732="",$D732=$AZ$634),MAX(AX$637:AX731)+1,0)</f>
        <v>0</v>
      </c>
      <c r="AY732" s="1328">
        <f>IF(OR($L732=AY$635,$L732="",$D732=$AZ$634),MAX(AY$637:AY731)+1,0)</f>
        <v>0</v>
      </c>
      <c r="AZ732" s="1329">
        <f>IF(OR($L732=AZ$635,$L732="",$D732=$AZ$634),MAX(AZ$637:AZ731)+1,0)</f>
        <v>94</v>
      </c>
      <c r="BA732" s="5867"/>
      <c r="BB732" s="907" t="str">
        <f t="shared" si="135"/>
        <v/>
      </c>
      <c r="BC732" s="86" t="str">
        <f t="shared" si="136"/>
        <v/>
      </c>
      <c r="BD732" s="86" t="str">
        <f t="shared" si="137"/>
        <v>Shuko</v>
      </c>
      <c r="BE732" s="1327">
        <f>IF(OR($L732=BE$635,$L732="",$D732=$BG$634),MAX(BE$637:BE731)+1,0)</f>
        <v>0</v>
      </c>
      <c r="BF732" s="1328">
        <f>IF(OR($L732=BF$635,$L732="",$D732=$BG$634),MAX(BF$637:BF731)+1,0)</f>
        <v>0</v>
      </c>
      <c r="BG732" s="1329">
        <f>IF(OR($L732=BG$635,$L732="",$D732=$BG$634),MAX(BG$637:BG731)+1,0)</f>
        <v>94</v>
      </c>
      <c r="BH732" s="5867"/>
      <c r="BI732" s="907" t="str">
        <f t="shared" si="138"/>
        <v/>
      </c>
      <c r="BJ732" s="86" t="str">
        <f t="shared" si="139"/>
        <v/>
      </c>
      <c r="BK732" s="86" t="str">
        <f t="shared" si="140"/>
        <v>Shuko</v>
      </c>
      <c r="BL732" s="1327">
        <f>IF(OR($L732=BL$635,$L732="",$D732=$BN$634),MAX(BL$637:BL731)+1,0)</f>
        <v>0</v>
      </c>
      <c r="BM732" s="1328">
        <f>IF(OR($L732=BM$635,$L732="",$D732=$BN$634),MAX(BM$637:BM731)+1,0)</f>
        <v>0</v>
      </c>
      <c r="BN732" s="1329">
        <f>IF(OR($L732=BN$635,$L732="",$D732=$BN$634),MAX(BN$637:BN731)+1,0)</f>
        <v>94</v>
      </c>
      <c r="BO732" s="5867"/>
      <c r="BP732" s="907" t="str">
        <f t="shared" si="141"/>
        <v/>
      </c>
      <c r="BQ732" s="86" t="str">
        <f t="shared" si="142"/>
        <v/>
      </c>
      <c r="BR732" s="86" t="str">
        <f t="shared" si="143"/>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838"/>
      <c r="C733" s="1208"/>
      <c r="D733" s="2957" t="s">
        <v>2200</v>
      </c>
      <c r="E733" s="2961">
        <v>20</v>
      </c>
      <c r="F733" s="2956">
        <v>10</v>
      </c>
      <c r="G733" s="2956">
        <v>4</v>
      </c>
      <c r="H733" s="2956">
        <v>4</v>
      </c>
      <c r="I733" s="2956" t="s">
        <v>1556</v>
      </c>
      <c r="J733" s="2956" t="s">
        <v>1459</v>
      </c>
      <c r="K733" s="2947" t="s">
        <v>7460</v>
      </c>
      <c r="L733" s="2956" t="str">
        <f t="shared" si="150"/>
        <v>Distinta</v>
      </c>
      <c r="M733" s="2962">
        <v>9</v>
      </c>
      <c r="N733" s="2962">
        <v>-2</v>
      </c>
      <c r="O733" s="2962">
        <v>25</v>
      </c>
      <c r="P733" s="2956"/>
      <c r="Q733" s="2956"/>
      <c r="R733" s="2956" t="s">
        <v>1459</v>
      </c>
      <c r="S733" s="2956" t="s">
        <v>1459</v>
      </c>
      <c r="T733" s="2956" t="s">
        <v>1459</v>
      </c>
      <c r="U733" s="2956"/>
      <c r="V733" s="2949" t="s">
        <v>2158</v>
      </c>
      <c r="W733" s="2949"/>
      <c r="X733" s="2950" t="str">
        <f t="shared" si="148"/>
        <v>Pequeña</v>
      </c>
      <c r="Y733" s="2886">
        <f t="shared" si="149"/>
        <v>0</v>
      </c>
      <c r="Z733" s="1326" t="str">
        <f t="shared" si="144"/>
        <v/>
      </c>
      <c r="AB733" s="597" t="s">
        <v>7215</v>
      </c>
      <c r="AC733" s="236"/>
      <c r="AD733" s="236"/>
      <c r="AE733" s="891"/>
      <c r="AG733" s="907" t="str">
        <f t="shared" si="126"/>
        <v/>
      </c>
      <c r="AH733" s="86" t="str">
        <f t="shared" si="127"/>
        <v/>
      </c>
      <c r="AI733" s="86" t="str">
        <f t="shared" si="128"/>
        <v>Shuriken</v>
      </c>
      <c r="AJ733" s="1327">
        <f>IF(OR($L733=AJ$635,$L733="",$D733=$AL$634),MAX(AJ$637:AJ732)+1,0)</f>
        <v>0</v>
      </c>
      <c r="AK733" s="1328">
        <f>IF(OR($L733=AK$635,$L733="",$D733=$AL$634),MAX(AK$637:AK732)+1,0)</f>
        <v>0</v>
      </c>
      <c r="AL733" s="1329">
        <f>IF(OR($L733=AL$635,$L733="",$D733=$AL$634),MAX(AL$637:AL732)+1,0)</f>
        <v>95</v>
      </c>
      <c r="AM733" s="5867"/>
      <c r="AN733" s="907" t="str">
        <f t="shared" si="129"/>
        <v/>
      </c>
      <c r="AO733" s="86" t="str">
        <f t="shared" si="130"/>
        <v/>
      </c>
      <c r="AP733" s="86" t="str">
        <f t="shared" si="131"/>
        <v>Shuriken</v>
      </c>
      <c r="AQ733" s="1327">
        <f>IF(OR($L733=AQ$635,$L733="",$D733=$AS$634),MAX(AQ$637:AQ732)+1,0)</f>
        <v>0</v>
      </c>
      <c r="AR733" s="1328">
        <f>IF(OR($L733=AR$635,$L733="",$D733=$AS$634),MAX(AR$637:AR732)+1,0)</f>
        <v>0</v>
      </c>
      <c r="AS733" s="1329">
        <f>IF(OR($L733=AS$635,$L733="",$D733=$AS$634),MAX(AS$637:AS732)+1,0)</f>
        <v>95</v>
      </c>
      <c r="AT733" s="5867"/>
      <c r="AU733" s="907" t="str">
        <f t="shared" si="132"/>
        <v/>
      </c>
      <c r="AV733" s="86" t="str">
        <f t="shared" si="133"/>
        <v/>
      </c>
      <c r="AW733" s="86" t="str">
        <f t="shared" si="134"/>
        <v>Shuriken</v>
      </c>
      <c r="AX733" s="1327">
        <f>IF(OR($L733=AX$635,$L733="",$D733=$AZ$634),MAX(AX$637:AX732)+1,0)</f>
        <v>0</v>
      </c>
      <c r="AY733" s="1328">
        <f>IF(OR($L733=AY$635,$L733="",$D733=$AZ$634),MAX(AY$637:AY732)+1,0)</f>
        <v>0</v>
      </c>
      <c r="AZ733" s="1329">
        <f>IF(OR($L733=AZ$635,$L733="",$D733=$AZ$634),MAX(AZ$637:AZ732)+1,0)</f>
        <v>95</v>
      </c>
      <c r="BA733" s="5867"/>
      <c r="BB733" s="907" t="str">
        <f t="shared" si="135"/>
        <v/>
      </c>
      <c r="BC733" s="86" t="str">
        <f t="shared" si="136"/>
        <v/>
      </c>
      <c r="BD733" s="86" t="str">
        <f t="shared" si="137"/>
        <v>Shuriken</v>
      </c>
      <c r="BE733" s="1327">
        <f>IF(OR($L733=BE$635,$L733="",$D733=$BG$634),MAX(BE$637:BE732)+1,0)</f>
        <v>0</v>
      </c>
      <c r="BF733" s="1328">
        <f>IF(OR($L733=BF$635,$L733="",$D733=$BG$634),MAX(BF$637:BF732)+1,0)</f>
        <v>0</v>
      </c>
      <c r="BG733" s="1329">
        <f>IF(OR($L733=BG$635,$L733="",$D733=$BG$634),MAX(BG$637:BG732)+1,0)</f>
        <v>95</v>
      </c>
      <c r="BH733" s="5867"/>
      <c r="BI733" s="907" t="str">
        <f t="shared" si="138"/>
        <v/>
      </c>
      <c r="BJ733" s="86" t="str">
        <f t="shared" si="139"/>
        <v/>
      </c>
      <c r="BK733" s="86" t="str">
        <f t="shared" si="140"/>
        <v>Shuriken</v>
      </c>
      <c r="BL733" s="1327">
        <f>IF(OR($L733=BL$635,$L733="",$D733=$BN$634),MAX(BL$637:BL732)+1,0)</f>
        <v>0</v>
      </c>
      <c r="BM733" s="1328">
        <f>IF(OR($L733=BM$635,$L733="",$D733=$BN$634),MAX(BM$637:BM732)+1,0)</f>
        <v>0</v>
      </c>
      <c r="BN733" s="1329">
        <f>IF(OR($L733=BN$635,$L733="",$D733=$BN$634),MAX(BN$637:BN732)+1,0)</f>
        <v>95</v>
      </c>
      <c r="BO733" s="5867"/>
      <c r="BP733" s="907" t="str">
        <f t="shared" si="141"/>
        <v/>
      </c>
      <c r="BQ733" s="86" t="str">
        <f t="shared" si="142"/>
        <v/>
      </c>
      <c r="BR733" s="86" t="str">
        <f t="shared" si="143"/>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838"/>
      <c r="C734" s="1208"/>
      <c r="D734" s="2957" t="s">
        <v>2201</v>
      </c>
      <c r="E734" s="2961">
        <v>25</v>
      </c>
      <c r="F734" s="2956">
        <v>20</v>
      </c>
      <c r="G734" s="2956">
        <v>4</v>
      </c>
      <c r="H734" s="2956">
        <v>4</v>
      </c>
      <c r="I734" s="2956" t="s">
        <v>1555</v>
      </c>
      <c r="J734" s="2956" t="s">
        <v>1556</v>
      </c>
      <c r="K734" s="2947" t="s">
        <v>7460</v>
      </c>
      <c r="L734" s="2956" t="str">
        <f t="shared" si="150"/>
        <v>Distinta</v>
      </c>
      <c r="M734" s="2962">
        <v>10</v>
      </c>
      <c r="N734" s="2962">
        <v>1</v>
      </c>
      <c r="O734" s="2962">
        <v>20</v>
      </c>
      <c r="P734" s="2956"/>
      <c r="Q734" s="2956"/>
      <c r="R734" s="2962">
        <v>30</v>
      </c>
      <c r="S734" s="2956" t="s">
        <v>1459</v>
      </c>
      <c r="T734" s="2956">
        <v>20</v>
      </c>
      <c r="U734" s="2956"/>
      <c r="V734" s="2949" t="s">
        <v>8781</v>
      </c>
      <c r="W734" s="2949"/>
      <c r="X734" s="2950" t="str">
        <f t="shared" si="148"/>
        <v>Pequeña</v>
      </c>
      <c r="Y734" s="2886">
        <f t="shared" si="149"/>
        <v>0</v>
      </c>
      <c r="Z734" s="1326" t="str">
        <f t="shared" si="144"/>
        <v/>
      </c>
      <c r="AB734" s="597" t="s">
        <v>2200</v>
      </c>
      <c r="AC734" s="236"/>
      <c r="AD734" s="236"/>
      <c r="AE734" s="891"/>
      <c r="AG734" s="907" t="str">
        <f t="shared" ref="AG734:AG765" si="151">IF(ISNA(INDEX(Lista_Armas,MATCH($A97,AJ$638:AJ$774,0))),"",INDEX(Lista_Armas,MATCH($A97,AJ$638:AJ$774,0)))</f>
        <v/>
      </c>
      <c r="AH734" s="86" t="str">
        <f t="shared" ref="AH734:AH765" si="152">IF(ISNA(INDEX(Lista_Armas,MATCH($A97,AK$638:AK$774,0))),"",INDEX(Lista_Armas,MATCH($A97,AK$638:AK$774,0)))</f>
        <v/>
      </c>
      <c r="AI734" s="86" t="str">
        <f t="shared" ref="AI734:AI765" si="153">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867"/>
      <c r="AN734" s="907" t="str">
        <f t="shared" ref="AN734:AN765" si="154">IF(ISNA(INDEX(Lista_Armas,MATCH($A97,AQ$638:AQ$774,0))),"",INDEX(Lista_Armas,MATCH($A97,AQ$638:AQ$774,0)))</f>
        <v/>
      </c>
      <c r="AO734" s="86" t="str">
        <f t="shared" ref="AO734:AO765" si="155">IF(ISNA(INDEX(Lista_Armas,MATCH($A97,AR$638:AR$774,0))),"",INDEX(Lista_Armas,MATCH($A97,AR$638:AR$774,0)))</f>
        <v/>
      </c>
      <c r="AP734" s="86" t="str">
        <f t="shared" ref="AP734:AP765" si="156">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867"/>
      <c r="AU734" s="907" t="str">
        <f t="shared" ref="AU734:AU765" si="157">IF(ISNA(INDEX(Lista_Armas,MATCH($A97,AX$638:AX$774,0))),"",INDEX(Lista_Armas,MATCH($A97,AX$638:AX$774,0)))</f>
        <v/>
      </c>
      <c r="AV734" s="86" t="str">
        <f t="shared" ref="AV734:AV765" si="158">IF(ISNA(INDEX(Lista_Armas,MATCH($A97,AY$638:AY$774,0))),"",INDEX(Lista_Armas,MATCH($A97,AY$638:AY$774,0)))</f>
        <v/>
      </c>
      <c r="AW734" s="86" t="str">
        <f t="shared" ref="AW734:AW765" si="159">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867"/>
      <c r="BB734" s="907" t="str">
        <f t="shared" ref="BB734:BB765" si="160">IF(ISNA(INDEX(Lista_Armas,MATCH($A97,BE$638:BE$774,0))),"",INDEX(Lista_Armas,MATCH($A97,BE$638:BE$774,0)))</f>
        <v/>
      </c>
      <c r="BC734" s="86" t="str">
        <f t="shared" ref="BC734:BC765" si="161">IF(ISNA(INDEX(Lista_Armas,MATCH($A97,BF$638:BF$774,0))),"",INDEX(Lista_Armas,MATCH($A97,BF$638:BF$774,0)))</f>
        <v/>
      </c>
      <c r="BD734" s="86" t="str">
        <f t="shared" ref="BD734:BD765" si="162">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867"/>
      <c r="BI734" s="907" t="str">
        <f t="shared" ref="BI734:BI765" si="163">IF(ISNA(INDEX(Lista_Armas,MATCH($A97,BL$638:BL$774,0))),"",INDEX(Lista_Armas,MATCH($A97,BL$638:BL$774,0)))</f>
        <v/>
      </c>
      <c r="BJ734" s="86" t="str">
        <f t="shared" ref="BJ734:BJ765" si="164">IF(ISNA(INDEX(Lista_Armas,MATCH($A97,BM$638:BM$774,0))),"",INDEX(Lista_Armas,MATCH($A97,BM$638:BM$774,0)))</f>
        <v/>
      </c>
      <c r="BK734" s="86" t="str">
        <f t="shared" ref="BK734:BK765" si="165">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867"/>
      <c r="BP734" s="907" t="str">
        <f t="shared" ref="BP734:BP765" si="166">IF(ISNA(INDEX(Lista_Armas,MATCH($A97,BS$638:BS$774,0))),"",INDEX(Lista_Armas,MATCH($A97,BS$638:BS$774,0)))</f>
        <v/>
      </c>
      <c r="BQ734" s="86" t="str">
        <f t="shared" ref="BQ734:BQ765" si="167">IF(ISNA(INDEX(Lista_Armas,MATCH($A97,BT$638:BT$774,0))),"",INDEX(Lista_Armas,MATCH($A97,BT$638:BT$774,0)))</f>
        <v/>
      </c>
      <c r="BR734" s="86" t="str">
        <f t="shared" ref="BR734:BR765" si="168">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838"/>
      <c r="C735" s="1208"/>
      <c r="D735" s="2957" t="s">
        <v>2202</v>
      </c>
      <c r="E735" s="2961">
        <v>40</v>
      </c>
      <c r="F735" s="2956">
        <v>20</v>
      </c>
      <c r="G735" s="2956">
        <v>3</v>
      </c>
      <c r="H735" s="2956">
        <v>3</v>
      </c>
      <c r="I735" s="2956" t="s">
        <v>1555</v>
      </c>
      <c r="J735" s="2956" t="s">
        <v>1459</v>
      </c>
      <c r="K735" s="2947" t="s">
        <v>7460</v>
      </c>
      <c r="L735" s="2956" t="str">
        <f t="shared" si="150"/>
        <v>Distinta</v>
      </c>
      <c r="M735" s="2962">
        <v>9</v>
      </c>
      <c r="N735" s="2962">
        <v>1</v>
      </c>
      <c r="O735" s="2962">
        <v>40</v>
      </c>
      <c r="P735" s="2956"/>
      <c r="Q735" s="2956"/>
      <c r="R735" s="2956" t="s">
        <v>1459</v>
      </c>
      <c r="S735" s="2956" t="s">
        <v>1459</v>
      </c>
      <c r="T735" s="2956" t="s">
        <v>1459</v>
      </c>
      <c r="U735" s="2956"/>
      <c r="V735" s="2949" t="s">
        <v>2141</v>
      </c>
      <c r="W735" s="2949"/>
      <c r="X735" s="2950" t="str">
        <f t="shared" si="148"/>
        <v>Pequeña</v>
      </c>
      <c r="Y735" s="2886">
        <f t="shared" si="149"/>
        <v>0</v>
      </c>
      <c r="Z735" s="1326" t="str">
        <f t="shared" si="144"/>
        <v/>
      </c>
      <c r="AB735" s="597" t="s">
        <v>2201</v>
      </c>
      <c r="AC735" s="236"/>
      <c r="AD735" s="236"/>
      <c r="AE735" s="891"/>
      <c r="AG735" s="907" t="str">
        <f t="shared" si="151"/>
        <v/>
      </c>
      <c r="AH735" s="86" t="str">
        <f t="shared" si="152"/>
        <v/>
      </c>
      <c r="AI735" s="86" t="str">
        <f t="shared" si="153"/>
        <v>Tonfa</v>
      </c>
      <c r="AJ735" s="1327">
        <f>IF(OR($L735=AJ$635,$L735="",$D735=$AL$634),MAX(AJ$637:AJ734)+1,0)</f>
        <v>0</v>
      </c>
      <c r="AK735" s="1328">
        <f>IF(OR($L735=AK$635,$L735="",$D735=$AL$634),MAX(AK$637:AK734)+1,0)</f>
        <v>0</v>
      </c>
      <c r="AL735" s="1329">
        <f>IF(OR($L735=AL$635,$L735="",$D735=$AL$634),MAX(AL$637:AL734)+1,0)</f>
        <v>97</v>
      </c>
      <c r="AM735" s="5867"/>
      <c r="AN735" s="907" t="str">
        <f t="shared" si="154"/>
        <v/>
      </c>
      <c r="AO735" s="86" t="str">
        <f t="shared" si="155"/>
        <v/>
      </c>
      <c r="AP735" s="86" t="str">
        <f t="shared" si="156"/>
        <v>Tonfa</v>
      </c>
      <c r="AQ735" s="1327">
        <f>IF(OR($L735=AQ$635,$L735="",$D735=$AS$634),MAX(AQ$637:AQ734)+1,0)</f>
        <v>0</v>
      </c>
      <c r="AR735" s="1328">
        <f>IF(OR($L735=AR$635,$L735="",$D735=$AS$634),MAX(AR$637:AR734)+1,0)</f>
        <v>0</v>
      </c>
      <c r="AS735" s="1329">
        <f>IF(OR($L735=AS$635,$L735="",$D735=$AS$634),MAX(AS$637:AS734)+1,0)</f>
        <v>97</v>
      </c>
      <c r="AT735" s="5867"/>
      <c r="AU735" s="907" t="str">
        <f t="shared" si="157"/>
        <v/>
      </c>
      <c r="AV735" s="86" t="str">
        <f t="shared" si="158"/>
        <v/>
      </c>
      <c r="AW735" s="86" t="str">
        <f t="shared" si="159"/>
        <v>Tonfa</v>
      </c>
      <c r="AX735" s="1327">
        <f>IF(OR($L735=AX$635,$L735="",$D735=$AZ$634),MAX(AX$637:AX734)+1,0)</f>
        <v>0</v>
      </c>
      <c r="AY735" s="1328">
        <f>IF(OR($L735=AY$635,$L735="",$D735=$AZ$634),MAX(AY$637:AY734)+1,0)</f>
        <v>0</v>
      </c>
      <c r="AZ735" s="1329">
        <f>IF(OR($L735=AZ$635,$L735="",$D735=$AZ$634),MAX(AZ$637:AZ734)+1,0)</f>
        <v>97</v>
      </c>
      <c r="BA735" s="5867"/>
      <c r="BB735" s="907" t="str">
        <f t="shared" si="160"/>
        <v/>
      </c>
      <c r="BC735" s="86" t="str">
        <f t="shared" si="161"/>
        <v/>
      </c>
      <c r="BD735" s="86" t="str">
        <f t="shared" si="162"/>
        <v>Tonfa</v>
      </c>
      <c r="BE735" s="1327">
        <f>IF(OR($L735=BE$635,$L735="",$D735=$BG$634),MAX(BE$637:BE734)+1,0)</f>
        <v>0</v>
      </c>
      <c r="BF735" s="1328">
        <f>IF(OR($L735=BF$635,$L735="",$D735=$BG$634),MAX(BF$637:BF734)+1,0)</f>
        <v>0</v>
      </c>
      <c r="BG735" s="1329">
        <f>IF(OR($L735=BG$635,$L735="",$D735=$BG$634),MAX(BG$637:BG734)+1,0)</f>
        <v>97</v>
      </c>
      <c r="BH735" s="5867"/>
      <c r="BI735" s="907" t="str">
        <f t="shared" si="163"/>
        <v/>
      </c>
      <c r="BJ735" s="86" t="str">
        <f t="shared" si="164"/>
        <v/>
      </c>
      <c r="BK735" s="86" t="str">
        <f t="shared" si="165"/>
        <v>Tonfa</v>
      </c>
      <c r="BL735" s="1327">
        <f>IF(OR($L735=BL$635,$L735="",$D735=$BN$634),MAX(BL$637:BL734)+1,0)</f>
        <v>0</v>
      </c>
      <c r="BM735" s="1328">
        <f>IF(OR($L735=BM$635,$L735="",$D735=$BN$634),MAX(BM$637:BM734)+1,0)</f>
        <v>0</v>
      </c>
      <c r="BN735" s="1329">
        <f>IF(OR($L735=BN$635,$L735="",$D735=$BN$634),MAX(BN$637:BN734)+1,0)</f>
        <v>97</v>
      </c>
      <c r="BO735" s="5867"/>
      <c r="BP735" s="907" t="str">
        <f t="shared" si="166"/>
        <v/>
      </c>
      <c r="BQ735" s="86" t="str">
        <f t="shared" si="167"/>
        <v/>
      </c>
      <c r="BR735" s="86" t="str">
        <f t="shared" si="168"/>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838"/>
      <c r="C736" s="1208"/>
      <c r="D736" s="2957" t="s">
        <v>2203</v>
      </c>
      <c r="E736" s="2961">
        <v>30</v>
      </c>
      <c r="F736" s="2956">
        <v>20</v>
      </c>
      <c r="G736" s="2956">
        <v>4</v>
      </c>
      <c r="H736" s="2956">
        <v>4</v>
      </c>
      <c r="I736" s="2956" t="s">
        <v>1501</v>
      </c>
      <c r="J736" s="2956" t="s">
        <v>1459</v>
      </c>
      <c r="K736" s="2947" t="s">
        <v>7460</v>
      </c>
      <c r="L736" s="2956" t="str">
        <f t="shared" si="150"/>
        <v>Distinta</v>
      </c>
      <c r="M736" s="2962">
        <v>13</v>
      </c>
      <c r="N736" s="2962">
        <v>0</v>
      </c>
      <c r="O736" s="2962">
        <v>25</v>
      </c>
      <c r="P736" s="2956"/>
      <c r="Q736" s="2956"/>
      <c r="R736" s="2956" t="s">
        <v>1459</v>
      </c>
      <c r="S736" s="2956" t="s">
        <v>1459</v>
      </c>
      <c r="T736" s="2956" t="s">
        <v>1459</v>
      </c>
      <c r="U736" s="2956"/>
      <c r="V736" s="2949" t="s">
        <v>2141</v>
      </c>
      <c r="W736" s="2949"/>
      <c r="X736" s="2950" t="str">
        <f t="shared" si="148"/>
        <v>Pequeña</v>
      </c>
      <c r="Y736" s="2886">
        <f t="shared" si="149"/>
        <v>0</v>
      </c>
      <c r="Z736" s="1326" t="str">
        <f t="shared" si="144"/>
        <v/>
      </c>
      <c r="AB736" s="597" t="s">
        <v>2202</v>
      </c>
      <c r="AC736" s="236"/>
      <c r="AD736" s="236"/>
      <c r="AE736" s="891"/>
      <c r="AG736" s="907" t="str">
        <f t="shared" si="151"/>
        <v/>
      </c>
      <c r="AH736" s="86" t="str">
        <f t="shared" si="152"/>
        <v/>
      </c>
      <c r="AI736" s="86" t="str">
        <f t="shared" si="153"/>
        <v>Boku-to</v>
      </c>
      <c r="AJ736" s="1327">
        <f>IF(OR($L736=AJ$635,$L736="",$D736=$AL$634),MAX(AJ$637:AJ735)+1,0)</f>
        <v>0</v>
      </c>
      <c r="AK736" s="1328">
        <f>IF(OR($L736=AK$635,$L736="",$D736=$AL$634),MAX(AK$637:AK735)+1,0)</f>
        <v>0</v>
      </c>
      <c r="AL736" s="1329">
        <f>IF(OR($L736=AL$635,$L736="",$D736=$AL$634),MAX(AL$637:AL735)+1,0)</f>
        <v>98</v>
      </c>
      <c r="AM736" s="5867"/>
      <c r="AN736" s="907" t="str">
        <f t="shared" si="154"/>
        <v/>
      </c>
      <c r="AO736" s="86" t="str">
        <f t="shared" si="155"/>
        <v/>
      </c>
      <c r="AP736" s="86" t="str">
        <f t="shared" si="156"/>
        <v>Boku-to</v>
      </c>
      <c r="AQ736" s="1327">
        <f>IF(OR($L736=AQ$635,$L736="",$D736=$AS$634),MAX(AQ$637:AQ735)+1,0)</f>
        <v>0</v>
      </c>
      <c r="AR736" s="1328">
        <f>IF(OR($L736=AR$635,$L736="",$D736=$AS$634),MAX(AR$637:AR735)+1,0)</f>
        <v>0</v>
      </c>
      <c r="AS736" s="1329">
        <f>IF(OR($L736=AS$635,$L736="",$D736=$AS$634),MAX(AS$637:AS735)+1,0)</f>
        <v>98</v>
      </c>
      <c r="AT736" s="5867"/>
      <c r="AU736" s="907" t="str">
        <f t="shared" si="157"/>
        <v/>
      </c>
      <c r="AV736" s="86" t="str">
        <f t="shared" si="158"/>
        <v/>
      </c>
      <c r="AW736" s="86" t="str">
        <f t="shared" si="159"/>
        <v>Boku-to</v>
      </c>
      <c r="AX736" s="1327">
        <f>IF(OR($L736=AX$635,$L736="",$D736=$AZ$634),MAX(AX$637:AX735)+1,0)</f>
        <v>0</v>
      </c>
      <c r="AY736" s="1328">
        <f>IF(OR($L736=AY$635,$L736="",$D736=$AZ$634),MAX(AY$637:AY735)+1,0)</f>
        <v>0</v>
      </c>
      <c r="AZ736" s="1329">
        <f>IF(OR($L736=AZ$635,$L736="",$D736=$AZ$634),MAX(AZ$637:AZ735)+1,0)</f>
        <v>98</v>
      </c>
      <c r="BA736" s="5867"/>
      <c r="BB736" s="907" t="str">
        <f t="shared" si="160"/>
        <v/>
      </c>
      <c r="BC736" s="86" t="str">
        <f t="shared" si="161"/>
        <v/>
      </c>
      <c r="BD736" s="86" t="str">
        <f t="shared" si="162"/>
        <v>Boku-to</v>
      </c>
      <c r="BE736" s="1327">
        <f>IF(OR($L736=BE$635,$L736="",$D736=$BG$634),MAX(BE$637:BE735)+1,0)</f>
        <v>0</v>
      </c>
      <c r="BF736" s="1328">
        <f>IF(OR($L736=BF$635,$L736="",$D736=$BG$634),MAX(BF$637:BF735)+1,0)</f>
        <v>0</v>
      </c>
      <c r="BG736" s="1329">
        <f>IF(OR($L736=BG$635,$L736="",$D736=$BG$634),MAX(BG$637:BG735)+1,0)</f>
        <v>98</v>
      </c>
      <c r="BH736" s="5867"/>
      <c r="BI736" s="907" t="str">
        <f t="shared" si="163"/>
        <v/>
      </c>
      <c r="BJ736" s="86" t="str">
        <f t="shared" si="164"/>
        <v/>
      </c>
      <c r="BK736" s="86" t="str">
        <f t="shared" si="165"/>
        <v>Boku-to</v>
      </c>
      <c r="BL736" s="1327">
        <f>IF(OR($L736=BL$635,$L736="",$D736=$BN$634),MAX(BL$637:BL735)+1,0)</f>
        <v>0</v>
      </c>
      <c r="BM736" s="1328">
        <f>IF(OR($L736=BM$635,$L736="",$D736=$BN$634),MAX(BM$637:BM735)+1,0)</f>
        <v>0</v>
      </c>
      <c r="BN736" s="1329">
        <f>IF(OR($L736=BN$635,$L736="",$D736=$BN$634),MAX(BN$637:BN735)+1,0)</f>
        <v>98</v>
      </c>
      <c r="BO736" s="5867"/>
      <c r="BP736" s="907" t="str">
        <f t="shared" si="166"/>
        <v/>
      </c>
      <c r="BQ736" s="86" t="str">
        <f t="shared" si="167"/>
        <v/>
      </c>
      <c r="BR736" s="86" t="str">
        <f t="shared" si="168"/>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838"/>
      <c r="C737" s="1208"/>
      <c r="D737" s="2957" t="s">
        <v>7189</v>
      </c>
      <c r="E737" s="2961">
        <v>25</v>
      </c>
      <c r="F737" s="2956">
        <v>0</v>
      </c>
      <c r="G737" s="2956">
        <v>6</v>
      </c>
      <c r="H737" s="2956">
        <v>5</v>
      </c>
      <c r="I737" s="2956" t="s">
        <v>1501</v>
      </c>
      <c r="J737" s="2956" t="s">
        <v>1459</v>
      </c>
      <c r="K737" s="2947" t="s">
        <v>7458</v>
      </c>
      <c r="L737" s="2963" t="str">
        <f>L725</f>
        <v>Distinta</v>
      </c>
      <c r="M737" s="2962">
        <v>8</v>
      </c>
      <c r="N737" s="2962">
        <v>-1</v>
      </c>
      <c r="O737" s="2962">
        <v>15</v>
      </c>
      <c r="P737" s="2956"/>
      <c r="Q737" s="2956"/>
      <c r="R737" s="2956" t="s">
        <v>1459</v>
      </c>
      <c r="S737" s="2956" t="s">
        <v>1459</v>
      </c>
      <c r="T737" s="2956" t="s">
        <v>1459</v>
      </c>
      <c r="U737" s="2956"/>
      <c r="V737" s="2947" t="s">
        <v>2210</v>
      </c>
      <c r="W737" s="2947"/>
      <c r="X737" s="2945" t="str">
        <f t="shared" si="148"/>
        <v>Mediana</v>
      </c>
      <c r="Y737" s="2886">
        <f t="shared" si="149"/>
        <v>0</v>
      </c>
      <c r="Z737" s="1326" t="str">
        <f t="shared" si="144"/>
        <v/>
      </c>
      <c r="AB737" s="597" t="s">
        <v>7197</v>
      </c>
      <c r="AC737" s="236"/>
      <c r="AD737" s="236"/>
      <c r="AE737" s="891"/>
      <c r="AG737" s="907" t="str">
        <f t="shared" si="151"/>
        <v/>
      </c>
      <c r="AH737" s="86" t="str">
        <f t="shared" si="152"/>
        <v/>
      </c>
      <c r="AI737" s="86" t="str">
        <f t="shared" si="153"/>
        <v>Jutte</v>
      </c>
      <c r="AJ737" s="1327">
        <f>IF(OR($L737=AJ$635,$L737="",$D737=$AL$634),MAX(AJ$637:AJ736)+1,0)</f>
        <v>0</v>
      </c>
      <c r="AK737" s="1328">
        <f>IF(OR($L737=AK$635,$L737="",$D737=$AL$634),MAX(AK$637:AK736)+1,0)</f>
        <v>0</v>
      </c>
      <c r="AL737" s="1329">
        <f>IF(OR($L737=AL$635,$L737="",$D737=$AL$634),MAX(AL$637:AL736)+1,0)</f>
        <v>99</v>
      </c>
      <c r="AM737" s="5867"/>
      <c r="AN737" s="907" t="str">
        <f t="shared" si="154"/>
        <v/>
      </c>
      <c r="AO737" s="86" t="str">
        <f t="shared" si="155"/>
        <v/>
      </c>
      <c r="AP737" s="86" t="str">
        <f t="shared" si="156"/>
        <v>Jutte</v>
      </c>
      <c r="AQ737" s="1327">
        <f>IF(OR($L737=AQ$635,$L737="",$D737=$AS$634),MAX(AQ$637:AQ736)+1,0)</f>
        <v>0</v>
      </c>
      <c r="AR737" s="1328">
        <f>IF(OR($L737=AR$635,$L737="",$D737=$AS$634),MAX(AR$637:AR736)+1,0)</f>
        <v>0</v>
      </c>
      <c r="AS737" s="1329">
        <f>IF(OR($L737=AS$635,$L737="",$D737=$AS$634),MAX(AS$637:AS736)+1,0)</f>
        <v>99</v>
      </c>
      <c r="AT737" s="5867"/>
      <c r="AU737" s="907" t="str">
        <f t="shared" si="157"/>
        <v/>
      </c>
      <c r="AV737" s="86" t="str">
        <f t="shared" si="158"/>
        <v/>
      </c>
      <c r="AW737" s="86" t="str">
        <f t="shared" si="159"/>
        <v>Jutte</v>
      </c>
      <c r="AX737" s="1327">
        <f>IF(OR($L737=AX$635,$L737="",$D737=$AZ$634),MAX(AX$637:AX736)+1,0)</f>
        <v>0</v>
      </c>
      <c r="AY737" s="1328">
        <f>IF(OR($L737=AY$635,$L737="",$D737=$AZ$634),MAX(AY$637:AY736)+1,0)</f>
        <v>0</v>
      </c>
      <c r="AZ737" s="1329">
        <f>IF(OR($L737=AZ$635,$L737="",$D737=$AZ$634),MAX(AZ$637:AZ736)+1,0)</f>
        <v>99</v>
      </c>
      <c r="BA737" s="5867"/>
      <c r="BB737" s="907" t="str">
        <f t="shared" si="160"/>
        <v/>
      </c>
      <c r="BC737" s="86" t="str">
        <f t="shared" si="161"/>
        <v/>
      </c>
      <c r="BD737" s="86" t="str">
        <f t="shared" si="162"/>
        <v>Jutte</v>
      </c>
      <c r="BE737" s="1327">
        <f>IF(OR($L737=BE$635,$L737="",$D737=$BG$634),MAX(BE$637:BE736)+1,0)</f>
        <v>0</v>
      </c>
      <c r="BF737" s="1328">
        <f>IF(OR($L737=BF$635,$L737="",$D737=$BG$634),MAX(BF$637:BF736)+1,0)</f>
        <v>0</v>
      </c>
      <c r="BG737" s="1329">
        <f>IF(OR($L737=BG$635,$L737="",$D737=$BG$634),MAX(BG$637:BG736)+1,0)</f>
        <v>99</v>
      </c>
      <c r="BH737" s="5867"/>
      <c r="BI737" s="907" t="str">
        <f t="shared" si="163"/>
        <v/>
      </c>
      <c r="BJ737" s="86" t="str">
        <f t="shared" si="164"/>
        <v/>
      </c>
      <c r="BK737" s="86" t="str">
        <f t="shared" si="165"/>
        <v>Jutte</v>
      </c>
      <c r="BL737" s="1327">
        <f>IF(OR($L737=BL$635,$L737="",$D737=$BN$634),MAX(BL$637:BL736)+1,0)</f>
        <v>0</v>
      </c>
      <c r="BM737" s="1328">
        <f>IF(OR($L737=BM$635,$L737="",$D737=$BN$634),MAX(BM$637:BM736)+1,0)</f>
        <v>0</v>
      </c>
      <c r="BN737" s="1329">
        <f>IF(OR($L737=BN$635,$L737="",$D737=$BN$634),MAX(BN$637:BN736)+1,0)</f>
        <v>99</v>
      </c>
      <c r="BO737" s="5867"/>
      <c r="BP737" s="907" t="str">
        <f t="shared" si="166"/>
        <v/>
      </c>
      <c r="BQ737" s="86" t="str">
        <f t="shared" si="167"/>
        <v/>
      </c>
      <c r="BR737" s="86" t="str">
        <f t="shared" si="168"/>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838"/>
      <c r="C738" s="1208"/>
      <c r="D738" s="2957" t="s">
        <v>7206</v>
      </c>
      <c r="E738" s="2961">
        <v>20</v>
      </c>
      <c r="F738" s="2956">
        <v>15</v>
      </c>
      <c r="G738" s="2956">
        <v>4</v>
      </c>
      <c r="H738" s="2956">
        <v>4</v>
      </c>
      <c r="I738" s="2956" t="s">
        <v>1501</v>
      </c>
      <c r="J738" s="2956" t="s">
        <v>1459</v>
      </c>
      <c r="K738" s="2947" t="s">
        <v>7460</v>
      </c>
      <c r="L738" s="2956" t="str">
        <f t="shared" ref="L738:L755" si="169">IF(ISNUMBER(SEARCH($D738,Armas_Conocidas)),"Conocida",IF(OR(ISNUMBER(SEARCH(LEFT($K738,SEARCH("/",$K738)),Tipologías_Conocidas)),AND(NOT(ISNUMBER(SEARCH("/-",$K738))),ISNUMBER(SEARCH(MID($K738,SEARCH("/",$K738)+1,LEN($K738)),Tipologías_Conocidas)))),IF(ISNUMBER(SEARCH($K738,Tipologías_Conocidas)),"Similar","Mixta"),"Distinta"))</f>
        <v>Distinta</v>
      </c>
      <c r="M738" s="2962">
        <v>13</v>
      </c>
      <c r="N738" s="2962">
        <v>2</v>
      </c>
      <c r="O738" s="2962">
        <v>20</v>
      </c>
      <c r="P738" s="2956"/>
      <c r="Q738" s="2956"/>
      <c r="R738" s="2956" t="s">
        <v>1459</v>
      </c>
      <c r="S738" s="2956" t="s">
        <v>1459</v>
      </c>
      <c r="T738" s="2956" t="s">
        <v>1459</v>
      </c>
      <c r="U738" s="2956"/>
      <c r="V738" s="2947" t="s">
        <v>7226</v>
      </c>
      <c r="W738" s="2947"/>
      <c r="X738" s="2945" t="str">
        <f t="shared" si="148"/>
        <v>Pequeña</v>
      </c>
      <c r="Y738" s="2886">
        <f t="shared" si="149"/>
        <v>0</v>
      </c>
      <c r="Z738" s="1326" t="str">
        <f t="shared" si="144"/>
        <v/>
      </c>
      <c r="AB738" s="597" t="s">
        <v>2203</v>
      </c>
      <c r="AC738" s="236"/>
      <c r="AD738" s="236"/>
      <c r="AE738" s="891"/>
      <c r="AG738" s="907" t="str">
        <f t="shared" si="151"/>
        <v/>
      </c>
      <c r="AH738" s="86" t="str">
        <f t="shared" si="152"/>
        <v/>
      </c>
      <c r="AI738" s="86" t="str">
        <f t="shared" si="153"/>
        <v>Kama</v>
      </c>
      <c r="AJ738" s="1327">
        <f>IF(OR($L738=AJ$635,$L738="",$D738=$AL$634),MAX(AJ$637:AJ737)+1,0)</f>
        <v>0</v>
      </c>
      <c r="AK738" s="1328">
        <f>IF(OR($L738=AK$635,$L738="",$D738=$AL$634),MAX(AK$637:AK737)+1,0)</f>
        <v>0</v>
      </c>
      <c r="AL738" s="1329">
        <f>IF(OR($L738=AL$635,$L738="",$D738=$AL$634),MAX(AL$637:AL737)+1,0)</f>
        <v>100</v>
      </c>
      <c r="AM738" s="5867"/>
      <c r="AN738" s="907" t="str">
        <f t="shared" si="154"/>
        <v/>
      </c>
      <c r="AO738" s="86" t="str">
        <f t="shared" si="155"/>
        <v/>
      </c>
      <c r="AP738" s="86" t="str">
        <f t="shared" si="156"/>
        <v>Kama</v>
      </c>
      <c r="AQ738" s="1327">
        <f>IF(OR($L738=AQ$635,$L738="",$D738=$AS$634),MAX(AQ$637:AQ737)+1,0)</f>
        <v>0</v>
      </c>
      <c r="AR738" s="1328">
        <f>IF(OR($L738=AR$635,$L738="",$D738=$AS$634),MAX(AR$637:AR737)+1,0)</f>
        <v>0</v>
      </c>
      <c r="AS738" s="1329">
        <f>IF(OR($L738=AS$635,$L738="",$D738=$AS$634),MAX(AS$637:AS737)+1,0)</f>
        <v>100</v>
      </c>
      <c r="AT738" s="5867"/>
      <c r="AU738" s="907" t="str">
        <f t="shared" si="157"/>
        <v/>
      </c>
      <c r="AV738" s="86" t="str">
        <f t="shared" si="158"/>
        <v/>
      </c>
      <c r="AW738" s="86" t="str">
        <f t="shared" si="159"/>
        <v>Kama</v>
      </c>
      <c r="AX738" s="1327">
        <f>IF(OR($L738=AX$635,$L738="",$D738=$AZ$634),MAX(AX$637:AX737)+1,0)</f>
        <v>0</v>
      </c>
      <c r="AY738" s="1328">
        <f>IF(OR($L738=AY$635,$L738="",$D738=$AZ$634),MAX(AY$637:AY737)+1,0)</f>
        <v>0</v>
      </c>
      <c r="AZ738" s="1329">
        <f>IF(OR($L738=AZ$635,$L738="",$D738=$AZ$634),MAX(AZ$637:AZ737)+1,0)</f>
        <v>100</v>
      </c>
      <c r="BA738" s="5867"/>
      <c r="BB738" s="907" t="str">
        <f t="shared" si="160"/>
        <v/>
      </c>
      <c r="BC738" s="86" t="str">
        <f t="shared" si="161"/>
        <v/>
      </c>
      <c r="BD738" s="86" t="str">
        <f t="shared" si="162"/>
        <v>Kama</v>
      </c>
      <c r="BE738" s="1327">
        <f>IF(OR($L738=BE$635,$L738="",$D738=$BG$634),MAX(BE$637:BE737)+1,0)</f>
        <v>0</v>
      </c>
      <c r="BF738" s="1328">
        <f>IF(OR($L738=BF$635,$L738="",$D738=$BG$634),MAX(BF$637:BF737)+1,0)</f>
        <v>0</v>
      </c>
      <c r="BG738" s="1329">
        <f>IF(OR($L738=BG$635,$L738="",$D738=$BG$634),MAX(BG$637:BG737)+1,0)</f>
        <v>100</v>
      </c>
      <c r="BH738" s="5867"/>
      <c r="BI738" s="907" t="str">
        <f t="shared" si="163"/>
        <v/>
      </c>
      <c r="BJ738" s="86" t="str">
        <f t="shared" si="164"/>
        <v/>
      </c>
      <c r="BK738" s="86" t="str">
        <f t="shared" si="165"/>
        <v>Kama</v>
      </c>
      <c r="BL738" s="1327">
        <f>IF(OR($L738=BL$635,$L738="",$D738=$BN$634),MAX(BL$637:BL737)+1,0)</f>
        <v>0</v>
      </c>
      <c r="BM738" s="1328">
        <f>IF(OR($L738=BM$635,$L738="",$D738=$BN$634),MAX(BM$637:BM737)+1,0)</f>
        <v>0</v>
      </c>
      <c r="BN738" s="1329">
        <f>IF(OR($L738=BN$635,$L738="",$D738=$BN$634),MAX(BN$637:BN737)+1,0)</f>
        <v>100</v>
      </c>
      <c r="BO738" s="5867"/>
      <c r="BP738" s="907" t="str">
        <f t="shared" si="166"/>
        <v/>
      </c>
      <c r="BQ738" s="86" t="str">
        <f t="shared" si="167"/>
        <v/>
      </c>
      <c r="BR738" s="86" t="str">
        <f t="shared" si="168"/>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838"/>
      <c r="C739" s="1208"/>
      <c r="D739" s="2957" t="s">
        <v>7207</v>
      </c>
      <c r="E739" s="2961">
        <v>40</v>
      </c>
      <c r="F739" s="2956">
        <v>5</v>
      </c>
      <c r="G739" s="2956">
        <v>4</v>
      </c>
      <c r="H739" s="2956">
        <v>4</v>
      </c>
      <c r="I739" s="2956" t="s">
        <v>1555</v>
      </c>
      <c r="J739" s="2956" t="s">
        <v>1556</v>
      </c>
      <c r="K739" s="2947" t="s">
        <v>7460</v>
      </c>
      <c r="L739" s="2956" t="str">
        <f t="shared" si="169"/>
        <v>Distinta</v>
      </c>
      <c r="M739" s="2962">
        <v>12</v>
      </c>
      <c r="N739" s="2962">
        <v>1</v>
      </c>
      <c r="O739" s="2962">
        <v>20</v>
      </c>
      <c r="P739" s="2956"/>
      <c r="Q739" s="2956"/>
      <c r="R739" s="2956" t="s">
        <v>1459</v>
      </c>
      <c r="S739" s="2956" t="s">
        <v>1459</v>
      </c>
      <c r="T739" s="2956" t="s">
        <v>1459</v>
      </c>
      <c r="U739" s="2956"/>
      <c r="V739" s="2947" t="s">
        <v>1459</v>
      </c>
      <c r="W739" s="2947"/>
      <c r="X739" s="2945" t="str">
        <f t="shared" si="148"/>
        <v>Pequeña</v>
      </c>
      <c r="Y739" s="2886">
        <f t="shared" si="149"/>
        <v>0</v>
      </c>
      <c r="Z739" s="1326" t="str">
        <f t="shared" ref="Z739:Z757" si="170">IF(AND(K739&lt;&gt;"Natural/-",ISNUMBER(SEARCH(D739,Armas_Conocidas))),", "&amp;K739,"")</f>
        <v/>
      </c>
      <c r="AB739" s="597" t="s">
        <v>7216</v>
      </c>
      <c r="AC739" s="236"/>
      <c r="AD739" s="236"/>
      <c r="AE739" s="891"/>
      <c r="AG739" s="907" t="str">
        <f t="shared" si="151"/>
        <v/>
      </c>
      <c r="AH739" s="86" t="str">
        <f t="shared" si="152"/>
        <v/>
      </c>
      <c r="AI739" s="86" t="str">
        <f t="shared" si="153"/>
        <v>Kau Sin Ke</v>
      </c>
      <c r="AJ739" s="1327">
        <f>IF(OR($L739=AJ$635,$L739="",$D739=$AL$634),MAX(AJ$637:AJ738)+1,0)</f>
        <v>0</v>
      </c>
      <c r="AK739" s="1328">
        <f>IF(OR($L739=AK$635,$L739="",$D739=$AL$634),MAX(AK$637:AK738)+1,0)</f>
        <v>0</v>
      </c>
      <c r="AL739" s="1329">
        <f>IF(OR($L739=AL$635,$L739="",$D739=$AL$634),MAX(AL$637:AL738)+1,0)</f>
        <v>101</v>
      </c>
      <c r="AM739" s="5867"/>
      <c r="AN739" s="907" t="str">
        <f t="shared" si="154"/>
        <v/>
      </c>
      <c r="AO739" s="86" t="str">
        <f t="shared" si="155"/>
        <v/>
      </c>
      <c r="AP739" s="86" t="str">
        <f t="shared" si="156"/>
        <v>Kau Sin Ke</v>
      </c>
      <c r="AQ739" s="1327">
        <f>IF(OR($L739=AQ$635,$L739="",$D739=$AS$634),MAX(AQ$637:AQ738)+1,0)</f>
        <v>0</v>
      </c>
      <c r="AR739" s="1328">
        <f>IF(OR($L739=AR$635,$L739="",$D739=$AS$634),MAX(AR$637:AR738)+1,0)</f>
        <v>0</v>
      </c>
      <c r="AS739" s="1329">
        <f>IF(OR($L739=AS$635,$L739="",$D739=$AS$634),MAX(AS$637:AS738)+1,0)</f>
        <v>101</v>
      </c>
      <c r="AT739" s="5867"/>
      <c r="AU739" s="907" t="str">
        <f t="shared" si="157"/>
        <v/>
      </c>
      <c r="AV739" s="86" t="str">
        <f t="shared" si="158"/>
        <v/>
      </c>
      <c r="AW739" s="86" t="str">
        <f t="shared" si="159"/>
        <v>Kau Sin Ke</v>
      </c>
      <c r="AX739" s="1327">
        <f>IF(OR($L739=AX$635,$L739="",$D739=$AZ$634),MAX(AX$637:AX738)+1,0)</f>
        <v>0</v>
      </c>
      <c r="AY739" s="1328">
        <f>IF(OR($L739=AY$635,$L739="",$D739=$AZ$634),MAX(AY$637:AY738)+1,0)</f>
        <v>0</v>
      </c>
      <c r="AZ739" s="1329">
        <f>IF(OR($L739=AZ$635,$L739="",$D739=$AZ$634),MAX(AZ$637:AZ738)+1,0)</f>
        <v>101</v>
      </c>
      <c r="BA739" s="5867"/>
      <c r="BB739" s="907" t="str">
        <f t="shared" si="160"/>
        <v/>
      </c>
      <c r="BC739" s="86" t="str">
        <f t="shared" si="161"/>
        <v/>
      </c>
      <c r="BD739" s="86" t="str">
        <f t="shared" si="162"/>
        <v>Kau Sin Ke</v>
      </c>
      <c r="BE739" s="1327">
        <f>IF(OR($L739=BE$635,$L739="",$D739=$BG$634),MAX(BE$637:BE738)+1,0)</f>
        <v>0</v>
      </c>
      <c r="BF739" s="1328">
        <f>IF(OR($L739=BF$635,$L739="",$D739=$BG$634),MAX(BF$637:BF738)+1,0)</f>
        <v>0</v>
      </c>
      <c r="BG739" s="1329">
        <f>IF(OR($L739=BG$635,$L739="",$D739=$BG$634),MAX(BG$637:BG738)+1,0)</f>
        <v>101</v>
      </c>
      <c r="BH739" s="5867"/>
      <c r="BI739" s="907" t="str">
        <f t="shared" si="163"/>
        <v/>
      </c>
      <c r="BJ739" s="86" t="str">
        <f t="shared" si="164"/>
        <v/>
      </c>
      <c r="BK739" s="86" t="str">
        <f t="shared" si="165"/>
        <v>Kau Sin Ke</v>
      </c>
      <c r="BL739" s="1327">
        <f>IF(OR($L739=BL$635,$L739="",$D739=$BN$634),MAX(BL$637:BL738)+1,0)</f>
        <v>0</v>
      </c>
      <c r="BM739" s="1328">
        <f>IF(OR($L739=BM$635,$L739="",$D739=$BN$634),MAX(BM$637:BM738)+1,0)</f>
        <v>0</v>
      </c>
      <c r="BN739" s="1329">
        <f>IF(OR($L739=BN$635,$L739="",$D739=$BN$634),MAX(BN$637:BN738)+1,0)</f>
        <v>101</v>
      </c>
      <c r="BO739" s="5867"/>
      <c r="BP739" s="907" t="str">
        <f t="shared" si="166"/>
        <v/>
      </c>
      <c r="BQ739" s="86" t="str">
        <f t="shared" si="167"/>
        <v/>
      </c>
      <c r="BR739" s="86" t="str">
        <f t="shared" si="168"/>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838"/>
      <c r="C740" s="1208"/>
      <c r="D740" s="2957" t="s">
        <v>7208</v>
      </c>
      <c r="E740" s="2961">
        <v>30</v>
      </c>
      <c r="F740" s="2956">
        <v>0</v>
      </c>
      <c r="G740" s="2956">
        <v>6</v>
      </c>
      <c r="H740" s="2956">
        <v>6</v>
      </c>
      <c r="I740" s="2956" t="s">
        <v>1501</v>
      </c>
      <c r="J740" s="2956" t="s">
        <v>1459</v>
      </c>
      <c r="K740" s="2947" t="s">
        <v>7459</v>
      </c>
      <c r="L740" s="2956" t="str">
        <f t="shared" si="169"/>
        <v>Distinta</v>
      </c>
      <c r="M740" s="2962">
        <v>13</v>
      </c>
      <c r="N740" s="2962">
        <v>3</v>
      </c>
      <c r="O740" s="2962">
        <v>20</v>
      </c>
      <c r="P740" s="2956"/>
      <c r="Q740" s="2956"/>
      <c r="R740" s="2956" t="s">
        <v>1459</v>
      </c>
      <c r="S740" s="2956" t="s">
        <v>1459</v>
      </c>
      <c r="T740" s="2956" t="s">
        <v>1459</v>
      </c>
      <c r="U740" s="2956"/>
      <c r="V740" s="2947" t="s">
        <v>7227</v>
      </c>
      <c r="W740" s="2947"/>
      <c r="X740" s="2945" t="str">
        <f t="shared" si="148"/>
        <v>Mediana</v>
      </c>
      <c r="Y740" s="2886">
        <f t="shared" si="149"/>
        <v>0</v>
      </c>
      <c r="Z740" s="1326" t="str">
        <f t="shared" si="170"/>
        <v/>
      </c>
      <c r="AB740" s="597" t="s">
        <v>7217</v>
      </c>
      <c r="AC740" s="236"/>
      <c r="AD740" s="236"/>
      <c r="AE740" s="891"/>
      <c r="AG740" s="907" t="str">
        <f t="shared" si="151"/>
        <v/>
      </c>
      <c r="AH740" s="86" t="str">
        <f t="shared" si="152"/>
        <v/>
      </c>
      <c r="AI740" s="86" t="str">
        <f t="shared" si="153"/>
        <v>Kiseru</v>
      </c>
      <c r="AJ740" s="1327">
        <f>IF(OR($L740=AJ$635,$L740="",$D740=$AL$634),MAX(AJ$637:AJ739)+1,0)</f>
        <v>0</v>
      </c>
      <c r="AK740" s="1328">
        <f>IF(OR($L740=AK$635,$L740="",$D740=$AL$634),MAX(AK$637:AK739)+1,0)</f>
        <v>0</v>
      </c>
      <c r="AL740" s="1329">
        <f>IF(OR($L740=AL$635,$L740="",$D740=$AL$634),MAX(AL$637:AL739)+1,0)</f>
        <v>102</v>
      </c>
      <c r="AM740" s="5867"/>
      <c r="AN740" s="907" t="str">
        <f t="shared" si="154"/>
        <v/>
      </c>
      <c r="AO740" s="86" t="str">
        <f t="shared" si="155"/>
        <v/>
      </c>
      <c r="AP740" s="86" t="str">
        <f t="shared" si="156"/>
        <v>Kiseru</v>
      </c>
      <c r="AQ740" s="1327">
        <f>IF(OR($L740=AQ$635,$L740="",$D740=$AS$634),MAX(AQ$637:AQ739)+1,0)</f>
        <v>0</v>
      </c>
      <c r="AR740" s="1328">
        <f>IF(OR($L740=AR$635,$L740="",$D740=$AS$634),MAX(AR$637:AR739)+1,0)</f>
        <v>0</v>
      </c>
      <c r="AS740" s="1329">
        <f>IF(OR($L740=AS$635,$L740="",$D740=$AS$634),MAX(AS$637:AS739)+1,0)</f>
        <v>102</v>
      </c>
      <c r="AT740" s="5867"/>
      <c r="AU740" s="907" t="str">
        <f t="shared" si="157"/>
        <v/>
      </c>
      <c r="AV740" s="86" t="str">
        <f t="shared" si="158"/>
        <v/>
      </c>
      <c r="AW740" s="86" t="str">
        <f t="shared" si="159"/>
        <v>Kiseru</v>
      </c>
      <c r="AX740" s="1327">
        <f>IF(OR($L740=AX$635,$L740="",$D740=$AZ$634),MAX(AX$637:AX739)+1,0)</f>
        <v>0</v>
      </c>
      <c r="AY740" s="1328">
        <f>IF(OR($L740=AY$635,$L740="",$D740=$AZ$634),MAX(AY$637:AY739)+1,0)</f>
        <v>0</v>
      </c>
      <c r="AZ740" s="1329">
        <f>IF(OR($L740=AZ$635,$L740="",$D740=$AZ$634),MAX(AZ$637:AZ739)+1,0)</f>
        <v>102</v>
      </c>
      <c r="BA740" s="5867"/>
      <c r="BB740" s="907" t="str">
        <f t="shared" si="160"/>
        <v/>
      </c>
      <c r="BC740" s="86" t="str">
        <f t="shared" si="161"/>
        <v/>
      </c>
      <c r="BD740" s="86" t="str">
        <f t="shared" si="162"/>
        <v>Kiseru</v>
      </c>
      <c r="BE740" s="1327">
        <f>IF(OR($L740=BE$635,$L740="",$D740=$BG$634),MAX(BE$637:BE739)+1,0)</f>
        <v>0</v>
      </c>
      <c r="BF740" s="1328">
        <f>IF(OR($L740=BF$635,$L740="",$D740=$BG$634),MAX(BF$637:BF739)+1,0)</f>
        <v>0</v>
      </c>
      <c r="BG740" s="1329">
        <f>IF(OR($L740=BG$635,$L740="",$D740=$BG$634),MAX(BG$637:BG739)+1,0)</f>
        <v>102</v>
      </c>
      <c r="BH740" s="5867"/>
      <c r="BI740" s="907" t="str">
        <f t="shared" si="163"/>
        <v/>
      </c>
      <c r="BJ740" s="86" t="str">
        <f t="shared" si="164"/>
        <v/>
      </c>
      <c r="BK740" s="86" t="str">
        <f t="shared" si="165"/>
        <v>Kiseru</v>
      </c>
      <c r="BL740" s="1327">
        <f>IF(OR($L740=BL$635,$L740="",$D740=$BN$634),MAX(BL$637:BL739)+1,0)</f>
        <v>0</v>
      </c>
      <c r="BM740" s="1328">
        <f>IF(OR($L740=BM$635,$L740="",$D740=$BN$634),MAX(BM$637:BM739)+1,0)</f>
        <v>0</v>
      </c>
      <c r="BN740" s="1329">
        <f>IF(OR($L740=BN$635,$L740="",$D740=$BN$634),MAX(BN$637:BN739)+1,0)</f>
        <v>102</v>
      </c>
      <c r="BO740" s="5867"/>
      <c r="BP740" s="907" t="str">
        <f t="shared" si="166"/>
        <v/>
      </c>
      <c r="BQ740" s="86" t="str">
        <f t="shared" si="167"/>
        <v/>
      </c>
      <c r="BR740" s="86" t="str">
        <f t="shared" si="168"/>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838"/>
      <c r="C741" s="1208"/>
      <c r="D741" s="2957" t="s">
        <v>7209</v>
      </c>
      <c r="E741" s="2961">
        <v>20</v>
      </c>
      <c r="F741" s="2956">
        <v>15</v>
      </c>
      <c r="G741" s="2956">
        <v>4</v>
      </c>
      <c r="H741" s="2956">
        <v>4</v>
      </c>
      <c r="I741" s="2956" t="s">
        <v>1501</v>
      </c>
      <c r="J741" s="2956" t="s">
        <v>1459</v>
      </c>
      <c r="K741" s="2947" t="s">
        <v>7461</v>
      </c>
      <c r="L741" s="2956" t="str">
        <f t="shared" si="169"/>
        <v>Distinta</v>
      </c>
      <c r="M741" s="2962">
        <v>13</v>
      </c>
      <c r="N741" s="2962">
        <v>3</v>
      </c>
      <c r="O741" s="2962">
        <v>20</v>
      </c>
      <c r="P741" s="2956"/>
      <c r="Q741" s="2956"/>
      <c r="R741" s="2956" t="s">
        <v>1459</v>
      </c>
      <c r="S741" s="2956" t="s">
        <v>1459</v>
      </c>
      <c r="T741" s="2956" t="s">
        <v>1459</v>
      </c>
      <c r="U741" s="2956"/>
      <c r="V741" s="2947" t="s">
        <v>1459</v>
      </c>
      <c r="W741" s="2947"/>
      <c r="X741" s="2945" t="str">
        <f t="shared" si="148"/>
        <v>Mediana</v>
      </c>
      <c r="Y741" s="2886">
        <f t="shared" si="149"/>
        <v>0</v>
      </c>
      <c r="Z741" s="1326" t="str">
        <f t="shared" si="170"/>
        <v/>
      </c>
      <c r="AB741" s="907" t="s">
        <v>2235</v>
      </c>
      <c r="AC741" s="236"/>
      <c r="AD741" s="236"/>
      <c r="AE741" s="891"/>
      <c r="AG741" s="907" t="str">
        <f t="shared" si="151"/>
        <v/>
      </c>
      <c r="AH741" s="86" t="str">
        <f t="shared" si="152"/>
        <v/>
      </c>
      <c r="AI741" s="86" t="str">
        <f t="shared" si="153"/>
        <v>Kris</v>
      </c>
      <c r="AJ741" s="1327">
        <f>IF(OR($L741=AJ$635,$L741="",$D741=$AL$634),MAX(AJ$637:AJ740)+1,0)</f>
        <v>0</v>
      </c>
      <c r="AK741" s="1328">
        <f>IF(OR($L741=AK$635,$L741="",$D741=$AL$634),MAX(AK$637:AK740)+1,0)</f>
        <v>0</v>
      </c>
      <c r="AL741" s="1329">
        <f>IF(OR($L741=AL$635,$L741="",$D741=$AL$634),MAX(AL$637:AL740)+1,0)</f>
        <v>103</v>
      </c>
      <c r="AM741" s="5867"/>
      <c r="AN741" s="907" t="str">
        <f t="shared" si="154"/>
        <v/>
      </c>
      <c r="AO741" s="86" t="str">
        <f t="shared" si="155"/>
        <v/>
      </c>
      <c r="AP741" s="86" t="str">
        <f t="shared" si="156"/>
        <v>Kris</v>
      </c>
      <c r="AQ741" s="1327">
        <f>IF(OR($L741=AQ$635,$L741="",$D741=$AS$634),MAX(AQ$637:AQ740)+1,0)</f>
        <v>0</v>
      </c>
      <c r="AR741" s="1328">
        <f>IF(OR($L741=AR$635,$L741="",$D741=$AS$634),MAX(AR$637:AR740)+1,0)</f>
        <v>0</v>
      </c>
      <c r="AS741" s="1329">
        <f>IF(OR($L741=AS$635,$L741="",$D741=$AS$634),MAX(AS$637:AS740)+1,0)</f>
        <v>103</v>
      </c>
      <c r="AT741" s="5867"/>
      <c r="AU741" s="907" t="str">
        <f t="shared" si="157"/>
        <v/>
      </c>
      <c r="AV741" s="86" t="str">
        <f t="shared" si="158"/>
        <v/>
      </c>
      <c r="AW741" s="86" t="str">
        <f t="shared" si="159"/>
        <v>Kris</v>
      </c>
      <c r="AX741" s="1327">
        <f>IF(OR($L741=AX$635,$L741="",$D741=$AZ$634),MAX(AX$637:AX740)+1,0)</f>
        <v>0</v>
      </c>
      <c r="AY741" s="1328">
        <f>IF(OR($L741=AY$635,$L741="",$D741=$AZ$634),MAX(AY$637:AY740)+1,0)</f>
        <v>0</v>
      </c>
      <c r="AZ741" s="1329">
        <f>IF(OR($L741=AZ$635,$L741="",$D741=$AZ$634),MAX(AZ$637:AZ740)+1,0)</f>
        <v>103</v>
      </c>
      <c r="BA741" s="5867"/>
      <c r="BB741" s="907" t="str">
        <f t="shared" si="160"/>
        <v/>
      </c>
      <c r="BC741" s="86" t="str">
        <f t="shared" si="161"/>
        <v/>
      </c>
      <c r="BD741" s="86" t="str">
        <f t="shared" si="162"/>
        <v>Kris</v>
      </c>
      <c r="BE741" s="1327">
        <f>IF(OR($L741=BE$635,$L741="",$D741=$BG$634),MAX(BE$637:BE740)+1,0)</f>
        <v>0</v>
      </c>
      <c r="BF741" s="1328">
        <f>IF(OR($L741=BF$635,$L741="",$D741=$BG$634),MAX(BF$637:BF740)+1,0)</f>
        <v>0</v>
      </c>
      <c r="BG741" s="1329">
        <f>IF(OR($L741=BG$635,$L741="",$D741=$BG$634),MAX(BG$637:BG740)+1,0)</f>
        <v>103</v>
      </c>
      <c r="BH741" s="5867"/>
      <c r="BI741" s="907" t="str">
        <f t="shared" si="163"/>
        <v/>
      </c>
      <c r="BJ741" s="86" t="str">
        <f t="shared" si="164"/>
        <v/>
      </c>
      <c r="BK741" s="86" t="str">
        <f t="shared" si="165"/>
        <v>Kris</v>
      </c>
      <c r="BL741" s="1327">
        <f>IF(OR($L741=BL$635,$L741="",$D741=$BN$634),MAX(BL$637:BL740)+1,0)</f>
        <v>0</v>
      </c>
      <c r="BM741" s="1328">
        <f>IF(OR($L741=BM$635,$L741="",$D741=$BN$634),MAX(BM$637:BM740)+1,0)</f>
        <v>0</v>
      </c>
      <c r="BN741" s="1329">
        <f>IF(OR($L741=BN$635,$L741="",$D741=$BN$634),MAX(BN$637:BN740)+1,0)</f>
        <v>103</v>
      </c>
      <c r="BO741" s="5867"/>
      <c r="BP741" s="907" t="str">
        <f t="shared" si="166"/>
        <v/>
      </c>
      <c r="BQ741" s="86" t="str">
        <f t="shared" si="167"/>
        <v/>
      </c>
      <c r="BR741" s="86" t="str">
        <f t="shared" si="168"/>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838"/>
      <c r="C742" s="1208"/>
      <c r="D742" s="2957" t="s">
        <v>7210</v>
      </c>
      <c r="E742" s="2961">
        <v>30</v>
      </c>
      <c r="F742" s="2956">
        <v>15</v>
      </c>
      <c r="G742" s="2956">
        <v>4</v>
      </c>
      <c r="H742" s="2956">
        <v>4</v>
      </c>
      <c r="I742" s="2956" t="s">
        <v>1556</v>
      </c>
      <c r="J742" s="2956" t="s">
        <v>1555</v>
      </c>
      <c r="K742" s="2947" t="s">
        <v>7460</v>
      </c>
      <c r="L742" s="2956" t="str">
        <f t="shared" si="169"/>
        <v>Distinta</v>
      </c>
      <c r="M742" s="2962">
        <v>11</v>
      </c>
      <c r="N742" s="2962">
        <v>1</v>
      </c>
      <c r="O742" s="2962">
        <v>20</v>
      </c>
      <c r="P742" s="2956"/>
      <c r="Q742" s="2956"/>
      <c r="R742" s="2956" t="s">
        <v>1459</v>
      </c>
      <c r="S742" s="2956" t="s">
        <v>1459</v>
      </c>
      <c r="T742" s="2956" t="s">
        <v>1459</v>
      </c>
      <c r="U742" s="2956"/>
      <c r="V742" s="2947" t="s">
        <v>2141</v>
      </c>
      <c r="W742" s="2947"/>
      <c r="X742" s="2945" t="str">
        <f t="shared" si="148"/>
        <v>Pequeña</v>
      </c>
      <c r="Y742" s="2886">
        <f t="shared" si="149"/>
        <v>0</v>
      </c>
      <c r="Z742" s="1326" t="str">
        <f t="shared" si="170"/>
        <v/>
      </c>
      <c r="AB742" s="907" t="s">
        <v>2255</v>
      </c>
      <c r="AC742" s="236"/>
      <c r="AD742" s="236"/>
      <c r="AE742" s="891"/>
      <c r="AG742" s="907" t="str">
        <f t="shared" si="151"/>
        <v/>
      </c>
      <c r="AH742" s="86" t="str">
        <f t="shared" si="152"/>
        <v/>
      </c>
      <c r="AI742" s="86" t="str">
        <f t="shared" si="153"/>
        <v>Kumade</v>
      </c>
      <c r="AJ742" s="1327">
        <f>IF(OR($L742=AJ$635,$L742="",$D742=$AL$634),MAX(AJ$637:AJ741)+1,0)</f>
        <v>0</v>
      </c>
      <c r="AK742" s="1328">
        <f>IF(OR($L742=AK$635,$L742="",$D742=$AL$634),MAX(AK$637:AK741)+1,0)</f>
        <v>0</v>
      </c>
      <c r="AL742" s="1329">
        <f>IF(OR($L742=AL$635,$L742="",$D742=$AL$634),MAX(AL$637:AL741)+1,0)</f>
        <v>104</v>
      </c>
      <c r="AM742" s="5867"/>
      <c r="AN742" s="907" t="str">
        <f t="shared" si="154"/>
        <v/>
      </c>
      <c r="AO742" s="86" t="str">
        <f t="shared" si="155"/>
        <v/>
      </c>
      <c r="AP742" s="86" t="str">
        <f t="shared" si="156"/>
        <v>Kumade</v>
      </c>
      <c r="AQ742" s="1327">
        <f>IF(OR($L742=AQ$635,$L742="",$D742=$AS$634),MAX(AQ$637:AQ741)+1,0)</f>
        <v>0</v>
      </c>
      <c r="AR742" s="1328">
        <f>IF(OR($L742=AR$635,$L742="",$D742=$AS$634),MAX(AR$637:AR741)+1,0)</f>
        <v>0</v>
      </c>
      <c r="AS742" s="1329">
        <f>IF(OR($L742=AS$635,$L742="",$D742=$AS$634),MAX(AS$637:AS741)+1,0)</f>
        <v>104</v>
      </c>
      <c r="AT742" s="5867"/>
      <c r="AU742" s="907" t="str">
        <f t="shared" si="157"/>
        <v/>
      </c>
      <c r="AV742" s="86" t="str">
        <f t="shared" si="158"/>
        <v/>
      </c>
      <c r="AW742" s="86" t="str">
        <f t="shared" si="159"/>
        <v>Kumade</v>
      </c>
      <c r="AX742" s="1327">
        <f>IF(OR($L742=AX$635,$L742="",$D742=$AZ$634),MAX(AX$637:AX741)+1,0)</f>
        <v>0</v>
      </c>
      <c r="AY742" s="1328">
        <f>IF(OR($L742=AY$635,$L742="",$D742=$AZ$634),MAX(AY$637:AY741)+1,0)</f>
        <v>0</v>
      </c>
      <c r="AZ742" s="1329">
        <f>IF(OR($L742=AZ$635,$L742="",$D742=$AZ$634),MAX(AZ$637:AZ741)+1,0)</f>
        <v>104</v>
      </c>
      <c r="BA742" s="5867"/>
      <c r="BB742" s="907" t="str">
        <f t="shared" si="160"/>
        <v/>
      </c>
      <c r="BC742" s="86" t="str">
        <f t="shared" si="161"/>
        <v/>
      </c>
      <c r="BD742" s="86" t="str">
        <f t="shared" si="162"/>
        <v>Kumade</v>
      </c>
      <c r="BE742" s="1327">
        <f>IF(OR($L742=BE$635,$L742="",$D742=$BG$634),MAX(BE$637:BE741)+1,0)</f>
        <v>0</v>
      </c>
      <c r="BF742" s="1328">
        <f>IF(OR($L742=BF$635,$L742="",$D742=$BG$634),MAX(BF$637:BF741)+1,0)</f>
        <v>0</v>
      </c>
      <c r="BG742" s="1329">
        <f>IF(OR($L742=BG$635,$L742="",$D742=$BG$634),MAX(BG$637:BG741)+1,0)</f>
        <v>104</v>
      </c>
      <c r="BH742" s="5867"/>
      <c r="BI742" s="907" t="str">
        <f t="shared" si="163"/>
        <v/>
      </c>
      <c r="BJ742" s="86" t="str">
        <f t="shared" si="164"/>
        <v/>
      </c>
      <c r="BK742" s="86" t="str">
        <f t="shared" si="165"/>
        <v>Kumade</v>
      </c>
      <c r="BL742" s="1327">
        <f>IF(OR($L742=BL$635,$L742="",$D742=$BN$634),MAX(BL$637:BL741)+1,0)</f>
        <v>0</v>
      </c>
      <c r="BM742" s="1328">
        <f>IF(OR($L742=BM$635,$L742="",$D742=$BN$634),MAX(BM$637:BM741)+1,0)</f>
        <v>0</v>
      </c>
      <c r="BN742" s="1329">
        <f>IF(OR($L742=BN$635,$L742="",$D742=$BN$634),MAX(BN$637:BN741)+1,0)</f>
        <v>104</v>
      </c>
      <c r="BO742" s="5867"/>
      <c r="BP742" s="907" t="str">
        <f t="shared" si="166"/>
        <v/>
      </c>
      <c r="BQ742" s="86" t="str">
        <f t="shared" si="167"/>
        <v/>
      </c>
      <c r="BR742" s="86" t="str">
        <f t="shared" si="168"/>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838"/>
      <c r="C743" s="1208"/>
      <c r="D743" s="2957" t="s">
        <v>7211</v>
      </c>
      <c r="E743" s="2961">
        <v>35</v>
      </c>
      <c r="F743" s="2956">
        <v>-10</v>
      </c>
      <c r="G743" s="2956">
        <v>4</v>
      </c>
      <c r="H743" s="2956">
        <v>4</v>
      </c>
      <c r="I743" s="2956" t="s">
        <v>1556</v>
      </c>
      <c r="J743" s="2956" t="s">
        <v>1459</v>
      </c>
      <c r="K743" s="2947" t="s">
        <v>7455</v>
      </c>
      <c r="L743" s="2956" t="str">
        <f t="shared" si="169"/>
        <v>Distinta</v>
      </c>
      <c r="M743" s="2962">
        <v>13</v>
      </c>
      <c r="N743" s="2962">
        <v>2</v>
      </c>
      <c r="O743" s="2962">
        <v>25</v>
      </c>
      <c r="P743" s="2956"/>
      <c r="Q743" s="2956"/>
      <c r="R743" s="2956" t="s">
        <v>1459</v>
      </c>
      <c r="S743" s="2956" t="s">
        <v>1459</v>
      </c>
      <c r="T743" s="2956" t="s">
        <v>1459</v>
      </c>
      <c r="U743" s="2956"/>
      <c r="V743" s="2947" t="s">
        <v>2158</v>
      </c>
      <c r="W743" s="2947"/>
      <c r="X743" s="2945" t="str">
        <f t="shared" si="148"/>
        <v>Grande</v>
      </c>
      <c r="Y743" s="2886">
        <f t="shared" si="149"/>
        <v>0</v>
      </c>
      <c r="Z743" s="1326" t="str">
        <f t="shared" si="170"/>
        <v/>
      </c>
      <c r="AB743" s="597" t="s">
        <v>2254</v>
      </c>
      <c r="AC743" s="236"/>
      <c r="AD743" s="236"/>
      <c r="AE743" s="891"/>
      <c r="AG743" s="907" t="str">
        <f t="shared" si="151"/>
        <v/>
      </c>
      <c r="AH743" s="86" t="str">
        <f t="shared" si="152"/>
        <v/>
      </c>
      <c r="AI743" s="86" t="str">
        <f t="shared" si="153"/>
        <v>Kunai</v>
      </c>
      <c r="AJ743" s="1327">
        <f>IF(OR($L743=AJ$635,$L743="",$D743=$AL$634),MAX(AJ$637:AJ742)+1,0)</f>
        <v>0</v>
      </c>
      <c r="AK743" s="1328">
        <f>IF(OR($L743=AK$635,$L743="",$D743=$AL$634),MAX(AK$637:AK742)+1,0)</f>
        <v>0</v>
      </c>
      <c r="AL743" s="1329">
        <f>IF(OR($L743=AL$635,$L743="",$D743=$AL$634),MAX(AL$637:AL742)+1,0)</f>
        <v>105</v>
      </c>
      <c r="AM743" s="5867"/>
      <c r="AN743" s="907" t="str">
        <f t="shared" si="154"/>
        <v/>
      </c>
      <c r="AO743" s="86" t="str">
        <f t="shared" si="155"/>
        <v/>
      </c>
      <c r="AP743" s="86" t="str">
        <f t="shared" si="156"/>
        <v>Kunai</v>
      </c>
      <c r="AQ743" s="1327">
        <f>IF(OR($L743=AQ$635,$L743="",$D743=$AS$634),MAX(AQ$637:AQ742)+1,0)</f>
        <v>0</v>
      </c>
      <c r="AR743" s="1328">
        <f>IF(OR($L743=AR$635,$L743="",$D743=$AS$634),MAX(AR$637:AR742)+1,0)</f>
        <v>0</v>
      </c>
      <c r="AS743" s="1329">
        <f>IF(OR($L743=AS$635,$L743="",$D743=$AS$634),MAX(AS$637:AS742)+1,0)</f>
        <v>105</v>
      </c>
      <c r="AT743" s="5867"/>
      <c r="AU743" s="907" t="str">
        <f t="shared" si="157"/>
        <v/>
      </c>
      <c r="AV743" s="86" t="str">
        <f t="shared" si="158"/>
        <v/>
      </c>
      <c r="AW743" s="86" t="str">
        <f t="shared" si="159"/>
        <v>Kunai</v>
      </c>
      <c r="AX743" s="1327">
        <f>IF(OR($L743=AX$635,$L743="",$D743=$AZ$634),MAX(AX$637:AX742)+1,0)</f>
        <v>0</v>
      </c>
      <c r="AY743" s="1328">
        <f>IF(OR($L743=AY$635,$L743="",$D743=$AZ$634),MAX(AY$637:AY742)+1,0)</f>
        <v>0</v>
      </c>
      <c r="AZ743" s="1329">
        <f>IF(OR($L743=AZ$635,$L743="",$D743=$AZ$634),MAX(AZ$637:AZ742)+1,0)</f>
        <v>105</v>
      </c>
      <c r="BA743" s="5867"/>
      <c r="BB743" s="907" t="str">
        <f t="shared" si="160"/>
        <v/>
      </c>
      <c r="BC743" s="86" t="str">
        <f t="shared" si="161"/>
        <v/>
      </c>
      <c r="BD743" s="86" t="str">
        <f t="shared" si="162"/>
        <v>Kunai</v>
      </c>
      <c r="BE743" s="1327">
        <f>IF(OR($L743=BE$635,$L743="",$D743=$BG$634),MAX(BE$637:BE742)+1,0)</f>
        <v>0</v>
      </c>
      <c r="BF743" s="1328">
        <f>IF(OR($L743=BF$635,$L743="",$D743=$BG$634),MAX(BF$637:BF742)+1,0)</f>
        <v>0</v>
      </c>
      <c r="BG743" s="1329">
        <f>IF(OR($L743=BG$635,$L743="",$D743=$BG$634),MAX(BG$637:BG742)+1,0)</f>
        <v>105</v>
      </c>
      <c r="BH743" s="5867"/>
      <c r="BI743" s="907" t="str">
        <f t="shared" si="163"/>
        <v/>
      </c>
      <c r="BJ743" s="86" t="str">
        <f t="shared" si="164"/>
        <v/>
      </c>
      <c r="BK743" s="86" t="str">
        <f t="shared" si="165"/>
        <v>Kunai</v>
      </c>
      <c r="BL743" s="1327">
        <f>IF(OR($L743=BL$635,$L743="",$D743=$BN$634),MAX(BL$637:BL742)+1,0)</f>
        <v>0</v>
      </c>
      <c r="BM743" s="1328">
        <f>IF(OR($L743=BM$635,$L743="",$D743=$BN$634),MAX(BM$637:BM742)+1,0)</f>
        <v>0</v>
      </c>
      <c r="BN743" s="1329">
        <f>IF(OR($L743=BN$635,$L743="",$D743=$BN$634),MAX(BN$637:BN742)+1,0)</f>
        <v>105</v>
      </c>
      <c r="BO743" s="5867"/>
      <c r="BP743" s="907" t="str">
        <f t="shared" si="166"/>
        <v/>
      </c>
      <c r="BQ743" s="86" t="str">
        <f t="shared" si="167"/>
        <v/>
      </c>
      <c r="BR743" s="86" t="str">
        <f t="shared" si="168"/>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838"/>
      <c r="C744" s="1208"/>
      <c r="D744" s="2957" t="s">
        <v>7212</v>
      </c>
      <c r="E744" s="2961">
        <v>25</v>
      </c>
      <c r="F744" s="2956">
        <v>20</v>
      </c>
      <c r="G744" s="2956">
        <v>4</v>
      </c>
      <c r="H744" s="2956">
        <v>4</v>
      </c>
      <c r="I744" s="2956" t="s">
        <v>1556</v>
      </c>
      <c r="J744" s="2956" t="s">
        <v>1459</v>
      </c>
      <c r="K744" s="2947" t="s">
        <v>7460</v>
      </c>
      <c r="L744" s="2956" t="str">
        <f t="shared" si="169"/>
        <v>Distinta</v>
      </c>
      <c r="M744" s="2962">
        <v>10</v>
      </c>
      <c r="N744" s="2962">
        <v>2</v>
      </c>
      <c r="O744" s="2962">
        <v>15</v>
      </c>
      <c r="P744" s="2956"/>
      <c r="Q744" s="2956"/>
      <c r="R744" s="2956">
        <v>40</v>
      </c>
      <c r="S744" s="2956" t="s">
        <v>1459</v>
      </c>
      <c r="T744" s="2956">
        <v>20</v>
      </c>
      <c r="U744" s="2956"/>
      <c r="V744" s="2947" t="s">
        <v>8771</v>
      </c>
      <c r="W744" s="2947"/>
      <c r="X744" s="2945" t="str">
        <f t="shared" si="148"/>
        <v>Pequeña</v>
      </c>
      <c r="Y744" s="2886">
        <f t="shared" si="149"/>
        <v>0</v>
      </c>
      <c r="Z744" s="1326" t="str">
        <f t="shared" si="170"/>
        <v/>
      </c>
      <c r="AB744" s="597" t="s">
        <v>2245</v>
      </c>
      <c r="AC744" s="236"/>
      <c r="AD744" s="236"/>
      <c r="AE744" s="891"/>
      <c r="AG744" s="907" t="str">
        <f t="shared" si="151"/>
        <v/>
      </c>
      <c r="AH744" s="86" t="str">
        <f t="shared" si="152"/>
        <v/>
      </c>
      <c r="AI744" s="86" t="str">
        <f t="shared" si="153"/>
        <v>Kyoketsu-shogui</v>
      </c>
      <c r="AJ744" s="1327">
        <f>IF(OR($L744=AJ$635,$L744="",$D744=$AL$634),MAX(AJ$637:AJ743)+1,0)</f>
        <v>0</v>
      </c>
      <c r="AK744" s="1328">
        <f>IF(OR($L744=AK$635,$L744="",$D744=$AL$634),MAX(AK$637:AK743)+1,0)</f>
        <v>0</v>
      </c>
      <c r="AL744" s="1329">
        <f>IF(OR($L744=AL$635,$L744="",$D744=$AL$634),MAX(AL$637:AL743)+1,0)</f>
        <v>106</v>
      </c>
      <c r="AM744" s="5867"/>
      <c r="AN744" s="907" t="str">
        <f t="shared" si="154"/>
        <v/>
      </c>
      <c r="AO744" s="86" t="str">
        <f t="shared" si="155"/>
        <v/>
      </c>
      <c r="AP744" s="86" t="str">
        <f t="shared" si="156"/>
        <v>Kyoketsu-shogui</v>
      </c>
      <c r="AQ744" s="1327">
        <f>IF(OR($L744=AQ$635,$L744="",$D744=$AS$634),MAX(AQ$637:AQ743)+1,0)</f>
        <v>0</v>
      </c>
      <c r="AR744" s="1328">
        <f>IF(OR($L744=AR$635,$L744="",$D744=$AS$634),MAX(AR$637:AR743)+1,0)</f>
        <v>0</v>
      </c>
      <c r="AS744" s="1329">
        <f>IF(OR($L744=AS$635,$L744="",$D744=$AS$634),MAX(AS$637:AS743)+1,0)</f>
        <v>106</v>
      </c>
      <c r="AT744" s="5867"/>
      <c r="AU744" s="907" t="str">
        <f t="shared" si="157"/>
        <v/>
      </c>
      <c r="AV744" s="86" t="str">
        <f t="shared" si="158"/>
        <v/>
      </c>
      <c r="AW744" s="86" t="str">
        <f t="shared" si="159"/>
        <v>Kyoketsu-shogui</v>
      </c>
      <c r="AX744" s="1327">
        <f>IF(OR($L744=AX$635,$L744="",$D744=$AZ$634),MAX(AX$637:AX743)+1,0)</f>
        <v>0</v>
      </c>
      <c r="AY744" s="1328">
        <f>IF(OR($L744=AY$635,$L744="",$D744=$AZ$634),MAX(AY$637:AY743)+1,0)</f>
        <v>0</v>
      </c>
      <c r="AZ744" s="1329">
        <f>IF(OR($L744=AZ$635,$L744="",$D744=$AZ$634),MAX(AZ$637:AZ743)+1,0)</f>
        <v>106</v>
      </c>
      <c r="BA744" s="5867"/>
      <c r="BB744" s="907" t="str">
        <f t="shared" si="160"/>
        <v/>
      </c>
      <c r="BC744" s="86" t="str">
        <f t="shared" si="161"/>
        <v/>
      </c>
      <c r="BD744" s="86" t="str">
        <f t="shared" si="162"/>
        <v>Kyoketsu-shogui</v>
      </c>
      <c r="BE744" s="1327">
        <f>IF(OR($L744=BE$635,$L744="",$D744=$BG$634),MAX(BE$637:BE743)+1,0)</f>
        <v>0</v>
      </c>
      <c r="BF744" s="1328">
        <f>IF(OR($L744=BF$635,$L744="",$D744=$BG$634),MAX(BF$637:BF743)+1,0)</f>
        <v>0</v>
      </c>
      <c r="BG744" s="1329">
        <f>IF(OR($L744=BG$635,$L744="",$D744=$BG$634),MAX(BG$637:BG743)+1,0)</f>
        <v>106</v>
      </c>
      <c r="BH744" s="5867"/>
      <c r="BI744" s="907" t="str">
        <f t="shared" si="163"/>
        <v/>
      </c>
      <c r="BJ744" s="86" t="str">
        <f t="shared" si="164"/>
        <v/>
      </c>
      <c r="BK744" s="86" t="str">
        <f t="shared" si="165"/>
        <v>Kyoketsu-shogui</v>
      </c>
      <c r="BL744" s="1327">
        <f>IF(OR($L744=BL$635,$L744="",$D744=$BN$634),MAX(BL$637:BL743)+1,0)</f>
        <v>0</v>
      </c>
      <c r="BM744" s="1328">
        <f>IF(OR($L744=BM$635,$L744="",$D744=$BN$634),MAX(BM$637:BM743)+1,0)</f>
        <v>0</v>
      </c>
      <c r="BN744" s="1329">
        <f>IF(OR($L744=BN$635,$L744="",$D744=$BN$634),MAX(BN$637:BN743)+1,0)</f>
        <v>106</v>
      </c>
      <c r="BO744" s="5867"/>
      <c r="BP744" s="907" t="str">
        <f t="shared" si="166"/>
        <v/>
      </c>
      <c r="BQ744" s="86" t="str">
        <f t="shared" si="167"/>
        <v/>
      </c>
      <c r="BR744" s="86" t="str">
        <f t="shared" si="168"/>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838"/>
      <c r="C745" s="1208"/>
      <c r="D745" s="2957" t="s">
        <v>7213</v>
      </c>
      <c r="E745" s="2961">
        <v>25</v>
      </c>
      <c r="F745" s="2956">
        <v>10</v>
      </c>
      <c r="G745" s="2956">
        <v>4</v>
      </c>
      <c r="H745" s="2956">
        <v>4</v>
      </c>
      <c r="I745" s="2956" t="s">
        <v>1556</v>
      </c>
      <c r="J745" s="2956" t="s">
        <v>1459</v>
      </c>
      <c r="K745" s="2947" t="s">
        <v>7472</v>
      </c>
      <c r="L745" s="2956" t="str">
        <f t="shared" si="169"/>
        <v>Distinta</v>
      </c>
      <c r="M745" s="2962">
        <v>9</v>
      </c>
      <c r="N745" s="2962">
        <v>-3</v>
      </c>
      <c r="O745" s="2962">
        <v>20</v>
      </c>
      <c r="P745" s="2956"/>
      <c r="Q745" s="2956"/>
      <c r="R745" s="2956" t="s">
        <v>1459</v>
      </c>
      <c r="S745" s="2956" t="s">
        <v>1459</v>
      </c>
      <c r="T745" s="2956" t="s">
        <v>1459</v>
      </c>
      <c r="U745" s="2956"/>
      <c r="V745" s="2947" t="s">
        <v>7228</v>
      </c>
      <c r="W745" s="2947"/>
      <c r="X745" s="2945" t="str">
        <f t="shared" si="148"/>
        <v>Pequeña</v>
      </c>
      <c r="Y745" s="2886">
        <f t="shared" si="149"/>
        <v>0</v>
      </c>
      <c r="Z745" s="1326" t="str">
        <f t="shared" si="170"/>
        <v/>
      </c>
      <c r="AB745" s="597" t="s">
        <v>2247</v>
      </c>
      <c r="AC745" s="236"/>
      <c r="AD745" s="236"/>
      <c r="AE745" s="891"/>
      <c r="AG745" s="907" t="str">
        <f t="shared" si="151"/>
        <v/>
      </c>
      <c r="AH745" s="86" t="str">
        <f t="shared" si="152"/>
        <v/>
      </c>
      <c r="AI745" s="86" t="str">
        <f t="shared" si="153"/>
        <v>Lajatang</v>
      </c>
      <c r="AJ745" s="1327">
        <f>IF(OR($L745=AJ$635,$L745="",$D745=$AL$634),MAX(AJ$637:AJ744)+1,0)</f>
        <v>0</v>
      </c>
      <c r="AK745" s="1328">
        <f>IF(OR($L745=AK$635,$L745="",$D745=$AL$634),MAX(AK$637:AK744)+1,0)</f>
        <v>0</v>
      </c>
      <c r="AL745" s="1329">
        <f>IF(OR($L745=AL$635,$L745="",$D745=$AL$634),MAX(AL$637:AL744)+1,0)</f>
        <v>107</v>
      </c>
      <c r="AM745" s="5867"/>
      <c r="AN745" s="907" t="str">
        <f t="shared" si="154"/>
        <v/>
      </c>
      <c r="AO745" s="86" t="str">
        <f t="shared" si="155"/>
        <v/>
      </c>
      <c r="AP745" s="86" t="str">
        <f t="shared" si="156"/>
        <v>Lajatang</v>
      </c>
      <c r="AQ745" s="1327">
        <f>IF(OR($L745=AQ$635,$L745="",$D745=$AS$634),MAX(AQ$637:AQ744)+1,0)</f>
        <v>0</v>
      </c>
      <c r="AR745" s="1328">
        <f>IF(OR($L745=AR$635,$L745="",$D745=$AS$634),MAX(AR$637:AR744)+1,0)</f>
        <v>0</v>
      </c>
      <c r="AS745" s="1329">
        <f>IF(OR($L745=AS$635,$L745="",$D745=$AS$634),MAX(AS$637:AS744)+1,0)</f>
        <v>107</v>
      </c>
      <c r="AT745" s="5867"/>
      <c r="AU745" s="907" t="str">
        <f t="shared" si="157"/>
        <v/>
      </c>
      <c r="AV745" s="86" t="str">
        <f t="shared" si="158"/>
        <v/>
      </c>
      <c r="AW745" s="86" t="str">
        <f t="shared" si="159"/>
        <v>Lajatang</v>
      </c>
      <c r="AX745" s="1327">
        <f>IF(OR($L745=AX$635,$L745="",$D745=$AZ$634),MAX(AX$637:AX744)+1,0)</f>
        <v>0</v>
      </c>
      <c r="AY745" s="1328">
        <f>IF(OR($L745=AY$635,$L745="",$D745=$AZ$634),MAX(AY$637:AY744)+1,0)</f>
        <v>0</v>
      </c>
      <c r="AZ745" s="1329">
        <f>IF(OR($L745=AZ$635,$L745="",$D745=$AZ$634),MAX(AZ$637:AZ744)+1,0)</f>
        <v>107</v>
      </c>
      <c r="BA745" s="5867"/>
      <c r="BB745" s="907" t="str">
        <f t="shared" si="160"/>
        <v/>
      </c>
      <c r="BC745" s="86" t="str">
        <f t="shared" si="161"/>
        <v/>
      </c>
      <c r="BD745" s="86" t="str">
        <f t="shared" si="162"/>
        <v>Lajatang</v>
      </c>
      <c r="BE745" s="1327">
        <f>IF(OR($L745=BE$635,$L745="",$D745=$BG$634),MAX(BE$637:BE744)+1,0)</f>
        <v>0</v>
      </c>
      <c r="BF745" s="1328">
        <f>IF(OR($L745=BF$635,$L745="",$D745=$BG$634),MAX(BF$637:BF744)+1,0)</f>
        <v>0</v>
      </c>
      <c r="BG745" s="1329">
        <f>IF(OR($L745=BG$635,$L745="",$D745=$BG$634),MAX(BG$637:BG744)+1,0)</f>
        <v>107</v>
      </c>
      <c r="BH745" s="5867"/>
      <c r="BI745" s="907" t="str">
        <f t="shared" si="163"/>
        <v/>
      </c>
      <c r="BJ745" s="86" t="str">
        <f t="shared" si="164"/>
        <v/>
      </c>
      <c r="BK745" s="86" t="str">
        <f t="shared" si="165"/>
        <v>Lajatang</v>
      </c>
      <c r="BL745" s="1327">
        <f>IF(OR($L745=BL$635,$L745="",$D745=$BN$634),MAX(BL$637:BL744)+1,0)</f>
        <v>0</v>
      </c>
      <c r="BM745" s="1328">
        <f>IF(OR($L745=BM$635,$L745="",$D745=$BN$634),MAX(BM$637:BM744)+1,0)</f>
        <v>0</v>
      </c>
      <c r="BN745" s="1329">
        <f>IF(OR($L745=BN$635,$L745="",$D745=$BN$634),MAX(BN$637:BN744)+1,0)</f>
        <v>107</v>
      </c>
      <c r="BO745" s="5867"/>
      <c r="BP745" s="907" t="str">
        <f t="shared" si="166"/>
        <v/>
      </c>
      <c r="BQ745" s="86" t="str">
        <f t="shared" si="167"/>
        <v/>
      </c>
      <c r="BR745" s="86" t="str">
        <f t="shared" si="168"/>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838"/>
      <c r="C746" s="1208"/>
      <c r="D746" s="2957" t="s">
        <v>7190</v>
      </c>
      <c r="E746" s="2961">
        <v>40</v>
      </c>
      <c r="F746" s="2956">
        <v>-5</v>
      </c>
      <c r="G746" s="2956">
        <v>6</v>
      </c>
      <c r="H746" s="2956">
        <v>6</v>
      </c>
      <c r="I746" s="2956" t="s">
        <v>1555</v>
      </c>
      <c r="J746" s="2956" t="s">
        <v>1459</v>
      </c>
      <c r="K746" s="2947" t="s">
        <v>7455</v>
      </c>
      <c r="L746" s="2956" t="str">
        <f t="shared" si="169"/>
        <v>Distinta</v>
      </c>
      <c r="M746" s="2962">
        <v>13</v>
      </c>
      <c r="N746" s="2962">
        <v>3</v>
      </c>
      <c r="O746" s="2962">
        <v>25</v>
      </c>
      <c r="P746" s="2956"/>
      <c r="Q746" s="2956"/>
      <c r="R746" s="2956" t="s">
        <v>1459</v>
      </c>
      <c r="S746" s="2956" t="s">
        <v>1459</v>
      </c>
      <c r="T746" s="2956" t="s">
        <v>1459</v>
      </c>
      <c r="U746" s="2956"/>
      <c r="V746" s="2947" t="s">
        <v>7229</v>
      </c>
      <c r="W746" s="2947"/>
      <c r="X746" s="2945" t="str">
        <f t="shared" si="148"/>
        <v>Grande</v>
      </c>
      <c r="Y746" s="2886">
        <f t="shared" si="149"/>
        <v>0</v>
      </c>
      <c r="Z746" s="1326" t="str">
        <f t="shared" si="170"/>
        <v/>
      </c>
      <c r="AB746" s="597" t="s">
        <v>2250</v>
      </c>
      <c r="AC746" s="236"/>
      <c r="AD746" s="236"/>
      <c r="AE746" s="891"/>
      <c r="AG746" s="907" t="str">
        <f t="shared" si="151"/>
        <v/>
      </c>
      <c r="AH746" s="86" t="str">
        <f t="shared" si="152"/>
        <v/>
      </c>
      <c r="AI746" s="86" t="str">
        <f t="shared" si="153"/>
        <v>Nagimaki</v>
      </c>
      <c r="AJ746" s="1327">
        <f>IF(OR($L746=AJ$635,$L746="",$D746=$AL$634),MAX(AJ$637:AJ745)+1,0)</f>
        <v>0</v>
      </c>
      <c r="AK746" s="1328">
        <f>IF(OR($L746=AK$635,$L746="",$D746=$AL$634),MAX(AK$637:AK745)+1,0)</f>
        <v>0</v>
      </c>
      <c r="AL746" s="1329">
        <f>IF(OR($L746=AL$635,$L746="",$D746=$AL$634),MAX(AL$637:AL745)+1,0)</f>
        <v>108</v>
      </c>
      <c r="AM746" s="5867"/>
      <c r="AN746" s="907" t="str">
        <f t="shared" si="154"/>
        <v/>
      </c>
      <c r="AO746" s="86" t="str">
        <f t="shared" si="155"/>
        <v/>
      </c>
      <c r="AP746" s="86" t="str">
        <f t="shared" si="156"/>
        <v>Nagimaki</v>
      </c>
      <c r="AQ746" s="1327">
        <f>IF(OR($L746=AQ$635,$L746="",$D746=$AS$634),MAX(AQ$637:AQ745)+1,0)</f>
        <v>0</v>
      </c>
      <c r="AR746" s="1328">
        <f>IF(OR($L746=AR$635,$L746="",$D746=$AS$634),MAX(AR$637:AR745)+1,0)</f>
        <v>0</v>
      </c>
      <c r="AS746" s="1329">
        <f>IF(OR($L746=AS$635,$L746="",$D746=$AS$634),MAX(AS$637:AS745)+1,0)</f>
        <v>108</v>
      </c>
      <c r="AT746" s="5867"/>
      <c r="AU746" s="907" t="str">
        <f t="shared" si="157"/>
        <v/>
      </c>
      <c r="AV746" s="86" t="str">
        <f t="shared" si="158"/>
        <v/>
      </c>
      <c r="AW746" s="86" t="str">
        <f t="shared" si="159"/>
        <v>Nagimaki</v>
      </c>
      <c r="AX746" s="1327">
        <f>IF(OR($L746=AX$635,$L746="",$D746=$AZ$634),MAX(AX$637:AX745)+1,0)</f>
        <v>0</v>
      </c>
      <c r="AY746" s="1328">
        <f>IF(OR($L746=AY$635,$L746="",$D746=$AZ$634),MAX(AY$637:AY745)+1,0)</f>
        <v>0</v>
      </c>
      <c r="AZ746" s="1329">
        <f>IF(OR($L746=AZ$635,$L746="",$D746=$AZ$634),MAX(AZ$637:AZ745)+1,0)</f>
        <v>108</v>
      </c>
      <c r="BA746" s="5867"/>
      <c r="BB746" s="907" t="str">
        <f t="shared" si="160"/>
        <v/>
      </c>
      <c r="BC746" s="86" t="str">
        <f t="shared" si="161"/>
        <v/>
      </c>
      <c r="BD746" s="86" t="str">
        <f t="shared" si="162"/>
        <v>Nagimaki</v>
      </c>
      <c r="BE746" s="1327">
        <f>IF(OR($L746=BE$635,$L746="",$D746=$BG$634),MAX(BE$637:BE745)+1,0)</f>
        <v>0</v>
      </c>
      <c r="BF746" s="1328">
        <f>IF(OR($L746=BF$635,$L746="",$D746=$BG$634),MAX(BF$637:BF745)+1,0)</f>
        <v>0</v>
      </c>
      <c r="BG746" s="1329">
        <f>IF(OR($L746=BG$635,$L746="",$D746=$BG$634),MAX(BG$637:BG745)+1,0)</f>
        <v>108</v>
      </c>
      <c r="BH746" s="5867"/>
      <c r="BI746" s="907" t="str">
        <f t="shared" si="163"/>
        <v/>
      </c>
      <c r="BJ746" s="86" t="str">
        <f t="shared" si="164"/>
        <v/>
      </c>
      <c r="BK746" s="86" t="str">
        <f t="shared" si="165"/>
        <v>Nagimaki</v>
      </c>
      <c r="BL746" s="1327">
        <f>IF(OR($L746=BL$635,$L746="",$D746=$BN$634),MAX(BL$637:BL745)+1,0)</f>
        <v>0</v>
      </c>
      <c r="BM746" s="1328">
        <f>IF(OR($L746=BM$635,$L746="",$D746=$BN$634),MAX(BM$637:BM745)+1,0)</f>
        <v>0</v>
      </c>
      <c r="BN746" s="1329">
        <f>IF(OR($L746=BN$635,$L746="",$D746=$BN$634),MAX(BN$637:BN745)+1,0)</f>
        <v>108</v>
      </c>
      <c r="BO746" s="5867"/>
      <c r="BP746" s="907" t="str">
        <f t="shared" si="166"/>
        <v/>
      </c>
      <c r="BQ746" s="86" t="str">
        <f t="shared" si="167"/>
        <v/>
      </c>
      <c r="BR746" s="86" t="str">
        <f t="shared" si="168"/>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838"/>
      <c r="C747" s="1208"/>
      <c r="D747" s="2957" t="s">
        <v>7191</v>
      </c>
      <c r="E747" s="2961">
        <v>40</v>
      </c>
      <c r="F747" s="2956">
        <v>10</v>
      </c>
      <c r="G747" s="2956">
        <v>6</v>
      </c>
      <c r="H747" s="2956">
        <v>6</v>
      </c>
      <c r="I747" s="2956" t="s">
        <v>1555</v>
      </c>
      <c r="J747" s="2956" t="s">
        <v>1459</v>
      </c>
      <c r="K747" s="2947" t="s">
        <v>7455</v>
      </c>
      <c r="L747" s="2956" t="str">
        <f t="shared" si="169"/>
        <v>Distinta</v>
      </c>
      <c r="M747" s="2962">
        <v>12</v>
      </c>
      <c r="N747" s="2962">
        <v>2</v>
      </c>
      <c r="O747" s="2962">
        <v>20</v>
      </c>
      <c r="P747" s="2956"/>
      <c r="Q747" s="2956"/>
      <c r="R747" s="2956" t="s">
        <v>1459</v>
      </c>
      <c r="S747" s="2956" t="s">
        <v>1459</v>
      </c>
      <c r="T747" s="2956" t="s">
        <v>1459</v>
      </c>
      <c r="U747" s="2956"/>
      <c r="V747" s="2947" t="s">
        <v>7230</v>
      </c>
      <c r="W747" s="2947"/>
      <c r="X747" s="2945" t="str">
        <f t="shared" si="148"/>
        <v>Grande</v>
      </c>
      <c r="Y747" s="2886">
        <f t="shared" si="149"/>
        <v>0</v>
      </c>
      <c r="Z747" s="1326" t="str">
        <f t="shared" si="170"/>
        <v/>
      </c>
      <c r="AB747" s="907" t="s">
        <v>2256</v>
      </c>
      <c r="AC747" s="236"/>
      <c r="AD747" s="236"/>
      <c r="AE747" s="891"/>
      <c r="AG747" s="907" t="str">
        <f t="shared" si="151"/>
        <v/>
      </c>
      <c r="AH747" s="86" t="str">
        <f t="shared" si="152"/>
        <v/>
      </c>
      <c r="AI747" s="86" t="str">
        <f t="shared" si="153"/>
        <v>Naginata</v>
      </c>
      <c r="AJ747" s="1327">
        <f>IF(OR($L747=AJ$635,$L747="",$D747=$AL$634),MAX(AJ$637:AJ746)+1,0)</f>
        <v>0</v>
      </c>
      <c r="AK747" s="1328">
        <f>IF(OR($L747=AK$635,$L747="",$D747=$AL$634),MAX(AK$637:AK746)+1,0)</f>
        <v>0</v>
      </c>
      <c r="AL747" s="1329">
        <f>IF(OR($L747=AL$635,$L747="",$D747=$AL$634),MAX(AL$637:AL746)+1,0)</f>
        <v>109</v>
      </c>
      <c r="AM747" s="5867"/>
      <c r="AN747" s="907" t="str">
        <f t="shared" si="154"/>
        <v/>
      </c>
      <c r="AO747" s="86" t="str">
        <f t="shared" si="155"/>
        <v/>
      </c>
      <c r="AP747" s="86" t="str">
        <f t="shared" si="156"/>
        <v>Naginata</v>
      </c>
      <c r="AQ747" s="1327">
        <f>IF(OR($L747=AQ$635,$L747="",$D747=$AS$634),MAX(AQ$637:AQ746)+1,0)</f>
        <v>0</v>
      </c>
      <c r="AR747" s="1328">
        <f>IF(OR($L747=AR$635,$L747="",$D747=$AS$634),MAX(AR$637:AR746)+1,0)</f>
        <v>0</v>
      </c>
      <c r="AS747" s="1329">
        <f>IF(OR($L747=AS$635,$L747="",$D747=$AS$634),MAX(AS$637:AS746)+1,0)</f>
        <v>109</v>
      </c>
      <c r="AT747" s="5867"/>
      <c r="AU747" s="907" t="str">
        <f t="shared" si="157"/>
        <v/>
      </c>
      <c r="AV747" s="86" t="str">
        <f t="shared" si="158"/>
        <v/>
      </c>
      <c r="AW747" s="86" t="str">
        <f t="shared" si="159"/>
        <v>Naginata</v>
      </c>
      <c r="AX747" s="1327">
        <f>IF(OR($L747=AX$635,$L747="",$D747=$AZ$634),MAX(AX$637:AX746)+1,0)</f>
        <v>0</v>
      </c>
      <c r="AY747" s="1328">
        <f>IF(OR($L747=AY$635,$L747="",$D747=$AZ$634),MAX(AY$637:AY746)+1,0)</f>
        <v>0</v>
      </c>
      <c r="AZ747" s="1329">
        <f>IF(OR($L747=AZ$635,$L747="",$D747=$AZ$634),MAX(AZ$637:AZ746)+1,0)</f>
        <v>109</v>
      </c>
      <c r="BA747" s="5867"/>
      <c r="BB747" s="907" t="str">
        <f t="shared" si="160"/>
        <v/>
      </c>
      <c r="BC747" s="86" t="str">
        <f t="shared" si="161"/>
        <v/>
      </c>
      <c r="BD747" s="86" t="str">
        <f t="shared" si="162"/>
        <v>Naginata</v>
      </c>
      <c r="BE747" s="1327">
        <f>IF(OR($L747=BE$635,$L747="",$D747=$BG$634),MAX(BE$637:BE746)+1,0)</f>
        <v>0</v>
      </c>
      <c r="BF747" s="1328">
        <f>IF(OR($L747=BF$635,$L747="",$D747=$BG$634),MAX(BF$637:BF746)+1,0)</f>
        <v>0</v>
      </c>
      <c r="BG747" s="1329">
        <f>IF(OR($L747=BG$635,$L747="",$D747=$BG$634),MAX(BG$637:BG746)+1,0)</f>
        <v>109</v>
      </c>
      <c r="BH747" s="5867"/>
      <c r="BI747" s="907" t="str">
        <f t="shared" si="163"/>
        <v/>
      </c>
      <c r="BJ747" s="86" t="str">
        <f t="shared" si="164"/>
        <v/>
      </c>
      <c r="BK747" s="86" t="str">
        <f t="shared" si="165"/>
        <v>Naginata</v>
      </c>
      <c r="BL747" s="1327">
        <f>IF(OR($L747=BL$635,$L747="",$D747=$BN$634),MAX(BL$637:BL746)+1,0)</f>
        <v>0</v>
      </c>
      <c r="BM747" s="1328">
        <f>IF(OR($L747=BM$635,$L747="",$D747=$BN$634),MAX(BM$637:BM746)+1,0)</f>
        <v>0</v>
      </c>
      <c r="BN747" s="1329">
        <f>IF(OR($L747=BN$635,$L747="",$D747=$BN$634),MAX(BN$637:BN746)+1,0)</f>
        <v>109</v>
      </c>
      <c r="BO747" s="5867"/>
      <c r="BP747" s="907" t="str">
        <f t="shared" si="166"/>
        <v/>
      </c>
      <c r="BQ747" s="86" t="str">
        <f t="shared" si="167"/>
        <v/>
      </c>
      <c r="BR747" s="86" t="str">
        <f t="shared" si="168"/>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838"/>
      <c r="C748" s="1208"/>
      <c r="D748" s="2957" t="s">
        <v>7192</v>
      </c>
      <c r="E748" s="2961">
        <v>55</v>
      </c>
      <c r="F748" s="2956">
        <v>-10</v>
      </c>
      <c r="G748" s="2956">
        <v>8</v>
      </c>
      <c r="H748" s="2956">
        <v>6</v>
      </c>
      <c r="I748" s="2956" t="s">
        <v>1555</v>
      </c>
      <c r="J748" s="2956" t="s">
        <v>1556</v>
      </c>
      <c r="K748" s="2947" t="s">
        <v>7455</v>
      </c>
      <c r="L748" s="2956" t="str">
        <f t="shared" si="169"/>
        <v>Distinta</v>
      </c>
      <c r="M748" s="2962">
        <v>13</v>
      </c>
      <c r="N748" s="2962">
        <v>3</v>
      </c>
      <c r="O748" s="2962">
        <v>25</v>
      </c>
      <c r="P748" s="2956"/>
      <c r="Q748" s="2956"/>
      <c r="R748" s="2956" t="s">
        <v>1459</v>
      </c>
      <c r="S748" s="2956" t="s">
        <v>1459</v>
      </c>
      <c r="T748" s="2956" t="s">
        <v>1459</v>
      </c>
      <c r="U748" s="2956"/>
      <c r="V748" s="2947" t="s">
        <v>2137</v>
      </c>
      <c r="W748" s="2947"/>
      <c r="X748" s="2945" t="str">
        <f t="shared" si="148"/>
        <v>Grande</v>
      </c>
      <c r="Y748" s="2886">
        <f t="shared" si="149"/>
        <v>0</v>
      </c>
      <c r="Z748" s="1326" t="str">
        <f t="shared" si="170"/>
        <v/>
      </c>
      <c r="AB748" s="597" t="s">
        <v>2253</v>
      </c>
      <c r="AC748" s="236"/>
      <c r="AD748" s="236"/>
      <c r="AE748" s="891"/>
      <c r="AG748" s="907" t="str">
        <f t="shared" si="151"/>
        <v/>
      </c>
      <c r="AH748" s="86" t="str">
        <f t="shared" si="152"/>
        <v/>
      </c>
      <c r="AI748" s="86" t="str">
        <f t="shared" si="153"/>
        <v>Ninja-to</v>
      </c>
      <c r="AJ748" s="1327">
        <f>IF(OR($L748=AJ$635,$L748="",$D748=$AL$634),MAX(AJ$637:AJ747)+1,0)</f>
        <v>0</v>
      </c>
      <c r="AK748" s="1328">
        <f>IF(OR($L748=AK$635,$L748="",$D748=$AL$634),MAX(AK$637:AK747)+1,0)</f>
        <v>0</v>
      </c>
      <c r="AL748" s="1329">
        <f>IF(OR($L748=AL$635,$L748="",$D748=$AL$634),MAX(AL$637:AL747)+1,0)</f>
        <v>110</v>
      </c>
      <c r="AM748" s="5867"/>
      <c r="AN748" s="907" t="str">
        <f t="shared" si="154"/>
        <v/>
      </c>
      <c r="AO748" s="86" t="str">
        <f t="shared" si="155"/>
        <v/>
      </c>
      <c r="AP748" s="86" t="str">
        <f t="shared" si="156"/>
        <v>Ninja-to</v>
      </c>
      <c r="AQ748" s="1327">
        <f>IF(OR($L748=AQ$635,$L748="",$D748=$AS$634),MAX(AQ$637:AQ747)+1,0)</f>
        <v>0</v>
      </c>
      <c r="AR748" s="1328">
        <f>IF(OR($L748=AR$635,$L748="",$D748=$AS$634),MAX(AR$637:AR747)+1,0)</f>
        <v>0</v>
      </c>
      <c r="AS748" s="1329">
        <f>IF(OR($L748=AS$635,$L748="",$D748=$AS$634),MAX(AS$637:AS747)+1,0)</f>
        <v>110</v>
      </c>
      <c r="AT748" s="5867"/>
      <c r="AU748" s="907" t="str">
        <f t="shared" si="157"/>
        <v/>
      </c>
      <c r="AV748" s="86" t="str">
        <f t="shared" si="158"/>
        <v/>
      </c>
      <c r="AW748" s="86" t="str">
        <f t="shared" si="159"/>
        <v>Ninja-to</v>
      </c>
      <c r="AX748" s="1327">
        <f>IF(OR($L748=AX$635,$L748="",$D748=$AZ$634),MAX(AX$637:AX747)+1,0)</f>
        <v>0</v>
      </c>
      <c r="AY748" s="1328">
        <f>IF(OR($L748=AY$635,$L748="",$D748=$AZ$634),MAX(AY$637:AY747)+1,0)</f>
        <v>0</v>
      </c>
      <c r="AZ748" s="1329">
        <f>IF(OR($L748=AZ$635,$L748="",$D748=$AZ$634),MAX(AZ$637:AZ747)+1,0)</f>
        <v>110</v>
      </c>
      <c r="BA748" s="5867"/>
      <c r="BB748" s="907" t="str">
        <f t="shared" si="160"/>
        <v/>
      </c>
      <c r="BC748" s="86" t="str">
        <f t="shared" si="161"/>
        <v/>
      </c>
      <c r="BD748" s="86" t="str">
        <f t="shared" si="162"/>
        <v>Ninja-to</v>
      </c>
      <c r="BE748" s="1327">
        <f>IF(OR($L748=BE$635,$L748="",$D748=$BG$634),MAX(BE$637:BE747)+1,0)</f>
        <v>0</v>
      </c>
      <c r="BF748" s="1328">
        <f>IF(OR($L748=BF$635,$L748="",$D748=$BG$634),MAX(BF$637:BF747)+1,0)</f>
        <v>0</v>
      </c>
      <c r="BG748" s="1329">
        <f>IF(OR($L748=BG$635,$L748="",$D748=$BG$634),MAX(BG$637:BG747)+1,0)</f>
        <v>110</v>
      </c>
      <c r="BH748" s="5867"/>
      <c r="BI748" s="907" t="str">
        <f t="shared" si="163"/>
        <v/>
      </c>
      <c r="BJ748" s="86" t="str">
        <f t="shared" si="164"/>
        <v/>
      </c>
      <c r="BK748" s="86" t="str">
        <f t="shared" si="165"/>
        <v>Ninja-to</v>
      </c>
      <c r="BL748" s="1327">
        <f>IF(OR($L748=BL$635,$L748="",$D748=$BN$634),MAX(BL$637:BL747)+1,0)</f>
        <v>0</v>
      </c>
      <c r="BM748" s="1328">
        <f>IF(OR($L748=BM$635,$L748="",$D748=$BN$634),MAX(BM$637:BM747)+1,0)</f>
        <v>0</v>
      </c>
      <c r="BN748" s="1329">
        <f>IF(OR($L748=BN$635,$L748="",$D748=$BN$634),MAX(BN$637:BN747)+1,0)</f>
        <v>110</v>
      </c>
      <c r="BO748" s="5867"/>
      <c r="BP748" s="907" t="str">
        <f t="shared" si="166"/>
        <v/>
      </c>
      <c r="BQ748" s="86" t="str">
        <f t="shared" si="167"/>
        <v/>
      </c>
      <c r="BR748" s="86" t="str">
        <f t="shared" si="168"/>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838"/>
      <c r="C749" s="1208"/>
      <c r="D749" s="2957" t="s">
        <v>7214</v>
      </c>
      <c r="E749" s="2961">
        <v>45</v>
      </c>
      <c r="F749" s="2956">
        <v>10</v>
      </c>
      <c r="G749" s="2956">
        <v>4</v>
      </c>
      <c r="H749" s="2956">
        <v>4</v>
      </c>
      <c r="I749" s="2956" t="s">
        <v>1555</v>
      </c>
      <c r="J749" s="2956" t="s">
        <v>1556</v>
      </c>
      <c r="K749" s="2947" t="s">
        <v>7458</v>
      </c>
      <c r="L749" s="2956" t="str">
        <f t="shared" si="169"/>
        <v>Distinta</v>
      </c>
      <c r="M749" s="2962">
        <v>12</v>
      </c>
      <c r="N749" s="2962">
        <v>1</v>
      </c>
      <c r="O749" s="2962">
        <v>25</v>
      </c>
      <c r="P749" s="2956"/>
      <c r="Q749" s="2956"/>
      <c r="R749" s="2956" t="s">
        <v>1459</v>
      </c>
      <c r="S749" s="2956" t="s">
        <v>1459</v>
      </c>
      <c r="T749" s="2956" t="s">
        <v>1459</v>
      </c>
      <c r="U749" s="2956"/>
      <c r="V749" s="2947" t="s">
        <v>1459</v>
      </c>
      <c r="W749" s="2947"/>
      <c r="X749" s="2945" t="str">
        <f t="shared" si="148"/>
        <v>Mediana</v>
      </c>
      <c r="Y749" s="2886">
        <f t="shared" si="149"/>
        <v>0</v>
      </c>
      <c r="Z749" s="1326" t="str">
        <f t="shared" si="170"/>
        <v/>
      </c>
      <c r="AB749" s="597" t="s">
        <v>7274</v>
      </c>
      <c r="AC749" s="236"/>
      <c r="AD749" s="236"/>
      <c r="AE749" s="891"/>
      <c r="AG749" s="907" t="str">
        <f t="shared" si="151"/>
        <v/>
      </c>
      <c r="AH749" s="86" t="str">
        <f t="shared" si="152"/>
        <v/>
      </c>
      <c r="AI749" s="86" t="str">
        <f t="shared" si="153"/>
        <v>Ram Dao</v>
      </c>
      <c r="AJ749" s="1327">
        <f>IF(OR($L749=AJ$635,$L749="",$D749=$AL$634),MAX(AJ$637:AJ748)+1,0)</f>
        <v>0</v>
      </c>
      <c r="AK749" s="1328">
        <f>IF(OR($L749=AK$635,$L749="",$D749=$AL$634),MAX(AK$637:AK748)+1,0)</f>
        <v>0</v>
      </c>
      <c r="AL749" s="1329">
        <f>IF(OR($L749=AL$635,$L749="",$D749=$AL$634),MAX(AL$637:AL748)+1,0)</f>
        <v>111</v>
      </c>
      <c r="AM749" s="5867"/>
      <c r="AN749" s="907" t="str">
        <f t="shared" si="154"/>
        <v/>
      </c>
      <c r="AO749" s="86" t="str">
        <f t="shared" si="155"/>
        <v/>
      </c>
      <c r="AP749" s="86" t="str">
        <f t="shared" si="156"/>
        <v>Ram Dao</v>
      </c>
      <c r="AQ749" s="1327">
        <f>IF(OR($L749=AQ$635,$L749="",$D749=$AS$634),MAX(AQ$637:AQ748)+1,0)</f>
        <v>0</v>
      </c>
      <c r="AR749" s="1328">
        <f>IF(OR($L749=AR$635,$L749="",$D749=$AS$634),MAX(AR$637:AR748)+1,0)</f>
        <v>0</v>
      </c>
      <c r="AS749" s="1329">
        <f>IF(OR($L749=AS$635,$L749="",$D749=$AS$634),MAX(AS$637:AS748)+1,0)</f>
        <v>111</v>
      </c>
      <c r="AT749" s="5867"/>
      <c r="AU749" s="907" t="str">
        <f t="shared" si="157"/>
        <v/>
      </c>
      <c r="AV749" s="86" t="str">
        <f t="shared" si="158"/>
        <v/>
      </c>
      <c r="AW749" s="86" t="str">
        <f t="shared" si="159"/>
        <v>Ram Dao</v>
      </c>
      <c r="AX749" s="1327">
        <f>IF(OR($L749=AX$635,$L749="",$D749=$AZ$634),MAX(AX$637:AX748)+1,0)</f>
        <v>0</v>
      </c>
      <c r="AY749" s="1328">
        <f>IF(OR($L749=AY$635,$L749="",$D749=$AZ$634),MAX(AY$637:AY748)+1,0)</f>
        <v>0</v>
      </c>
      <c r="AZ749" s="1329">
        <f>IF(OR($L749=AZ$635,$L749="",$D749=$AZ$634),MAX(AZ$637:AZ748)+1,0)</f>
        <v>111</v>
      </c>
      <c r="BA749" s="5867"/>
      <c r="BB749" s="907" t="str">
        <f t="shared" si="160"/>
        <v/>
      </c>
      <c r="BC749" s="86" t="str">
        <f t="shared" si="161"/>
        <v/>
      </c>
      <c r="BD749" s="86" t="str">
        <f t="shared" si="162"/>
        <v>Ram Dao</v>
      </c>
      <c r="BE749" s="1327">
        <f>IF(OR($L749=BE$635,$L749="",$D749=$BG$634),MAX(BE$637:BE748)+1,0)</f>
        <v>0</v>
      </c>
      <c r="BF749" s="1328">
        <f>IF(OR($L749=BF$635,$L749="",$D749=$BG$634),MAX(BF$637:BF748)+1,0)</f>
        <v>0</v>
      </c>
      <c r="BG749" s="1329">
        <f>IF(OR($L749=BG$635,$L749="",$D749=$BG$634),MAX(BG$637:BG748)+1,0)</f>
        <v>111</v>
      </c>
      <c r="BH749" s="5867"/>
      <c r="BI749" s="907" t="str">
        <f t="shared" si="163"/>
        <v/>
      </c>
      <c r="BJ749" s="86" t="str">
        <f t="shared" si="164"/>
        <v/>
      </c>
      <c r="BK749" s="86" t="str">
        <f t="shared" si="165"/>
        <v>Ram Dao</v>
      </c>
      <c r="BL749" s="1327">
        <f>IF(OR($L749=BL$635,$L749="",$D749=$BN$634),MAX(BL$637:BL748)+1,0)</f>
        <v>0</v>
      </c>
      <c r="BM749" s="1328">
        <f>IF(OR($L749=BM$635,$L749="",$D749=$BN$634),MAX(BM$637:BM748)+1,0)</f>
        <v>0</v>
      </c>
      <c r="BN749" s="1329">
        <f>IF(OR($L749=BN$635,$L749="",$D749=$BN$634),MAX(BN$637:BN748)+1,0)</f>
        <v>111</v>
      </c>
      <c r="BO749" s="5867"/>
      <c r="BP749" s="907" t="str">
        <f t="shared" si="166"/>
        <v/>
      </c>
      <c r="BQ749" s="86" t="str">
        <f t="shared" si="167"/>
        <v/>
      </c>
      <c r="BR749" s="86" t="str">
        <f t="shared" si="168"/>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838"/>
      <c r="C750" s="1208"/>
      <c r="D750" s="2957" t="s">
        <v>7194</v>
      </c>
      <c r="E750" s="2961">
        <v>60</v>
      </c>
      <c r="F750" s="2956">
        <v>-20</v>
      </c>
      <c r="G750" s="2956">
        <v>9</v>
      </c>
      <c r="H750" s="2956">
        <v>7</v>
      </c>
      <c r="I750" s="2956" t="s">
        <v>1555</v>
      </c>
      <c r="J750" s="2956" t="s">
        <v>1459</v>
      </c>
      <c r="K750" s="2947" t="s">
        <v>7463</v>
      </c>
      <c r="L750" s="2956" t="str">
        <f t="shared" si="169"/>
        <v>Distinta</v>
      </c>
      <c r="M750" s="2962">
        <v>16</v>
      </c>
      <c r="N750" s="2962">
        <v>7</v>
      </c>
      <c r="O750" s="2962">
        <v>30</v>
      </c>
      <c r="P750" s="2956"/>
      <c r="Q750" s="2956"/>
      <c r="R750" s="2956" t="s">
        <v>1459</v>
      </c>
      <c r="S750" s="2956" t="s">
        <v>1459</v>
      </c>
      <c r="T750" s="2956" t="s">
        <v>1459</v>
      </c>
      <c r="U750" s="2956"/>
      <c r="V750" s="2947" t="s">
        <v>2137</v>
      </c>
      <c r="W750" s="2947"/>
      <c r="X750" s="2945" t="str">
        <f t="shared" si="148"/>
        <v>Grande</v>
      </c>
      <c r="Y750" s="2886">
        <f t="shared" si="149"/>
        <v>0</v>
      </c>
      <c r="Z750" s="1326" t="str">
        <f t="shared" si="170"/>
        <v/>
      </c>
      <c r="AB750" s="597" t="s">
        <v>7275</v>
      </c>
      <c r="AC750" s="236"/>
      <c r="AD750" s="236"/>
      <c r="AE750" s="891"/>
      <c r="AG750" s="907" t="str">
        <f t="shared" si="151"/>
        <v/>
      </c>
      <c r="AH750" s="86" t="str">
        <f t="shared" si="152"/>
        <v/>
      </c>
      <c r="AI750" s="86" t="str">
        <f t="shared" si="153"/>
        <v>Sang Kauw</v>
      </c>
      <c r="AJ750" s="1327">
        <f>IF(OR($L750=AJ$635,$L750="",$D750=$AL$634),MAX(AJ$637:AJ749)+1,0)</f>
        <v>0</v>
      </c>
      <c r="AK750" s="1328">
        <f>IF(OR($L750=AK$635,$L750="",$D750=$AL$634),MAX(AK$637:AK749)+1,0)</f>
        <v>0</v>
      </c>
      <c r="AL750" s="1329">
        <f>IF(OR($L750=AL$635,$L750="",$D750=$AL$634),MAX(AL$637:AL749)+1,0)</f>
        <v>112</v>
      </c>
      <c r="AM750" s="5867"/>
      <c r="AN750" s="907" t="str">
        <f t="shared" si="154"/>
        <v/>
      </c>
      <c r="AO750" s="86" t="str">
        <f t="shared" si="155"/>
        <v/>
      </c>
      <c r="AP750" s="86" t="str">
        <f t="shared" si="156"/>
        <v>Sang Kauw</v>
      </c>
      <c r="AQ750" s="1327">
        <f>IF(OR($L750=AQ$635,$L750="",$D750=$AS$634),MAX(AQ$637:AQ749)+1,0)</f>
        <v>0</v>
      </c>
      <c r="AR750" s="1328">
        <f>IF(OR($L750=AR$635,$L750="",$D750=$AS$634),MAX(AR$637:AR749)+1,0)</f>
        <v>0</v>
      </c>
      <c r="AS750" s="1329">
        <f>IF(OR($L750=AS$635,$L750="",$D750=$AS$634),MAX(AS$637:AS749)+1,0)</f>
        <v>112</v>
      </c>
      <c r="AT750" s="5867"/>
      <c r="AU750" s="907" t="str">
        <f t="shared" si="157"/>
        <v/>
      </c>
      <c r="AV750" s="86" t="str">
        <f t="shared" si="158"/>
        <v/>
      </c>
      <c r="AW750" s="86" t="str">
        <f t="shared" si="159"/>
        <v>Sang Kauw</v>
      </c>
      <c r="AX750" s="1327">
        <f>IF(OR($L750=AX$635,$L750="",$D750=$AZ$634),MAX(AX$637:AX749)+1,0)</f>
        <v>0</v>
      </c>
      <c r="AY750" s="1328">
        <f>IF(OR($L750=AY$635,$L750="",$D750=$AZ$634),MAX(AY$637:AY749)+1,0)</f>
        <v>0</v>
      </c>
      <c r="AZ750" s="1329">
        <f>IF(OR($L750=AZ$635,$L750="",$D750=$AZ$634),MAX(AZ$637:AZ749)+1,0)</f>
        <v>112</v>
      </c>
      <c r="BA750" s="5867"/>
      <c r="BB750" s="907" t="str">
        <f t="shared" si="160"/>
        <v/>
      </c>
      <c r="BC750" s="86" t="str">
        <f t="shared" si="161"/>
        <v/>
      </c>
      <c r="BD750" s="86" t="str">
        <f t="shared" si="162"/>
        <v>Sang Kauw</v>
      </c>
      <c r="BE750" s="1327">
        <f>IF(OR($L750=BE$635,$L750="",$D750=$BG$634),MAX(BE$637:BE749)+1,0)</f>
        <v>0</v>
      </c>
      <c r="BF750" s="1328">
        <f>IF(OR($L750=BF$635,$L750="",$D750=$BG$634),MAX(BF$637:BF749)+1,0)</f>
        <v>0</v>
      </c>
      <c r="BG750" s="1329">
        <f>IF(OR($L750=BG$635,$L750="",$D750=$BG$634),MAX(BG$637:BG749)+1,0)</f>
        <v>112</v>
      </c>
      <c r="BH750" s="5867"/>
      <c r="BI750" s="907" t="str">
        <f t="shared" si="163"/>
        <v/>
      </c>
      <c r="BJ750" s="86" t="str">
        <f t="shared" si="164"/>
        <v/>
      </c>
      <c r="BK750" s="86" t="str">
        <f t="shared" si="165"/>
        <v>Sang Kauw</v>
      </c>
      <c r="BL750" s="1327">
        <f>IF(OR($L750=BL$635,$L750="",$D750=$BN$634),MAX(BL$637:BL749)+1,0)</f>
        <v>0</v>
      </c>
      <c r="BM750" s="1328">
        <f>IF(OR($L750=BM$635,$L750="",$D750=$BN$634),MAX(BM$637:BM749)+1,0)</f>
        <v>0</v>
      </c>
      <c r="BN750" s="1329">
        <f>IF(OR($L750=BN$635,$L750="",$D750=$BN$634),MAX(BN$637:BN749)+1,0)</f>
        <v>112</v>
      </c>
      <c r="BO750" s="5867"/>
      <c r="BP750" s="907" t="str">
        <f t="shared" si="166"/>
        <v/>
      </c>
      <c r="BQ750" s="86" t="str">
        <f t="shared" si="167"/>
        <v/>
      </c>
      <c r="BR750" s="86" t="str">
        <f t="shared" si="168"/>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838"/>
      <c r="C751" s="1208"/>
      <c r="D751" s="2957" t="s">
        <v>7215</v>
      </c>
      <c r="E751" s="2961">
        <v>50</v>
      </c>
      <c r="F751" s="2956">
        <v>-10</v>
      </c>
      <c r="G751" s="2956">
        <v>6</v>
      </c>
      <c r="H751" s="2956">
        <v>6</v>
      </c>
      <c r="I751" s="2956" t="s">
        <v>1555</v>
      </c>
      <c r="J751" s="2956" t="s">
        <v>1556</v>
      </c>
      <c r="K751" s="2947" t="s">
        <v>7455</v>
      </c>
      <c r="L751" s="2956" t="str">
        <f t="shared" si="169"/>
        <v>Distinta</v>
      </c>
      <c r="M751" s="2964">
        <v>10</v>
      </c>
      <c r="N751" s="2962">
        <v>2</v>
      </c>
      <c r="O751" s="2962">
        <v>25</v>
      </c>
      <c r="P751" s="2962"/>
      <c r="Q751" s="2956"/>
      <c r="R751" s="2956" t="s">
        <v>1459</v>
      </c>
      <c r="S751" s="2956" t="s">
        <v>1459</v>
      </c>
      <c r="T751" s="2956" t="s">
        <v>1459</v>
      </c>
      <c r="U751" s="2956"/>
      <c r="V751" s="2947" t="s">
        <v>2158</v>
      </c>
      <c r="W751" s="2947"/>
      <c r="X751" s="2945" t="str">
        <f t="shared" si="148"/>
        <v>Grande</v>
      </c>
      <c r="Y751" s="2886">
        <f t="shared" si="149"/>
        <v>0</v>
      </c>
      <c r="Z751" s="1326" t="str">
        <f t="shared" si="170"/>
        <v/>
      </c>
      <c r="AB751" s="597" t="s">
        <v>2242</v>
      </c>
      <c r="AC751" s="236"/>
      <c r="AD751" s="236"/>
      <c r="AE751" s="891"/>
      <c r="AG751" s="907" t="str">
        <f t="shared" si="151"/>
        <v/>
      </c>
      <c r="AH751" s="86" t="str">
        <f t="shared" si="152"/>
        <v/>
      </c>
      <c r="AI751" s="86" t="str">
        <f t="shared" si="153"/>
        <v>Sode Garami</v>
      </c>
      <c r="AJ751" s="1327">
        <f>IF(OR($L751=AJ$635,$L751="",$D751=$AL$634),MAX(AJ$637:AJ750)+1,0)</f>
        <v>0</v>
      </c>
      <c r="AK751" s="1328">
        <f>IF(OR($L751=AK$635,$L751="",$D751=$AL$634),MAX(AK$637:AK750)+1,0)</f>
        <v>0</v>
      </c>
      <c r="AL751" s="1329">
        <f>IF(OR($L751=AL$635,$L751="",$D751=$AL$634),MAX(AL$637:AL750)+1,0)</f>
        <v>113</v>
      </c>
      <c r="AM751" s="5867"/>
      <c r="AN751" s="907" t="str">
        <f t="shared" si="154"/>
        <v/>
      </c>
      <c r="AO751" s="86" t="str">
        <f t="shared" si="155"/>
        <v/>
      </c>
      <c r="AP751" s="86" t="str">
        <f t="shared" si="156"/>
        <v>Sode Garami</v>
      </c>
      <c r="AQ751" s="1327">
        <f>IF(OR($L751=AQ$635,$L751="",$D751=$AS$634),MAX(AQ$637:AQ750)+1,0)</f>
        <v>0</v>
      </c>
      <c r="AR751" s="1328">
        <f>IF(OR($L751=AR$635,$L751="",$D751=$AS$634),MAX(AR$637:AR750)+1,0)</f>
        <v>0</v>
      </c>
      <c r="AS751" s="1329">
        <f>IF(OR($L751=AS$635,$L751="",$D751=$AS$634),MAX(AS$637:AS750)+1,0)</f>
        <v>113</v>
      </c>
      <c r="AT751" s="5867"/>
      <c r="AU751" s="907" t="str">
        <f t="shared" si="157"/>
        <v/>
      </c>
      <c r="AV751" s="86" t="str">
        <f t="shared" si="158"/>
        <v/>
      </c>
      <c r="AW751" s="86" t="str">
        <f t="shared" si="159"/>
        <v>Sode Garami</v>
      </c>
      <c r="AX751" s="1327">
        <f>IF(OR($L751=AX$635,$L751="",$D751=$AZ$634),MAX(AX$637:AX750)+1,0)</f>
        <v>0</v>
      </c>
      <c r="AY751" s="1328">
        <f>IF(OR($L751=AY$635,$L751="",$D751=$AZ$634),MAX(AY$637:AY750)+1,0)</f>
        <v>0</v>
      </c>
      <c r="AZ751" s="1329">
        <f>IF(OR($L751=AZ$635,$L751="",$D751=$AZ$634),MAX(AZ$637:AZ750)+1,0)</f>
        <v>113</v>
      </c>
      <c r="BA751" s="5867"/>
      <c r="BB751" s="907" t="str">
        <f t="shared" si="160"/>
        <v/>
      </c>
      <c r="BC751" s="86" t="str">
        <f t="shared" si="161"/>
        <v/>
      </c>
      <c r="BD751" s="86" t="str">
        <f t="shared" si="162"/>
        <v>Sode Garami</v>
      </c>
      <c r="BE751" s="1327">
        <f>IF(OR($L751=BE$635,$L751="",$D751=$BG$634),MAX(BE$637:BE750)+1,0)</f>
        <v>0</v>
      </c>
      <c r="BF751" s="1328">
        <f>IF(OR($L751=BF$635,$L751="",$D751=$BG$634),MAX(BF$637:BF750)+1,0)</f>
        <v>0</v>
      </c>
      <c r="BG751" s="1329">
        <f>IF(OR($L751=BG$635,$L751="",$D751=$BG$634),MAX(BG$637:BG750)+1,0)</f>
        <v>113</v>
      </c>
      <c r="BH751" s="5867"/>
      <c r="BI751" s="907" t="str">
        <f t="shared" si="163"/>
        <v/>
      </c>
      <c r="BJ751" s="86" t="str">
        <f t="shared" si="164"/>
        <v/>
      </c>
      <c r="BK751" s="86" t="str">
        <f t="shared" si="165"/>
        <v>Sode Garami</v>
      </c>
      <c r="BL751" s="1327">
        <f>IF(OR($L751=BL$635,$L751="",$D751=$BN$634),MAX(BL$637:BL750)+1,0)</f>
        <v>0</v>
      </c>
      <c r="BM751" s="1328">
        <f>IF(OR($L751=BM$635,$L751="",$D751=$BN$634),MAX(BM$637:BM750)+1,0)</f>
        <v>0</v>
      </c>
      <c r="BN751" s="1329">
        <f>IF(OR($L751=BN$635,$L751="",$D751=$BN$634),MAX(BN$637:BN750)+1,0)</f>
        <v>113</v>
      </c>
      <c r="BO751" s="5867"/>
      <c r="BP751" s="907" t="str">
        <f t="shared" si="166"/>
        <v/>
      </c>
      <c r="BQ751" s="86" t="str">
        <f t="shared" si="167"/>
        <v/>
      </c>
      <c r="BR751" s="86" t="str">
        <f t="shared" si="168"/>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838"/>
      <c r="C752" s="1208"/>
      <c r="D752" s="2957" t="s">
        <v>7195</v>
      </c>
      <c r="E752" s="2961">
        <v>20</v>
      </c>
      <c r="F752" s="2956">
        <v>0</v>
      </c>
      <c r="G752" s="2956">
        <v>5</v>
      </c>
      <c r="H752" s="2956">
        <v>5</v>
      </c>
      <c r="I752" s="2956" t="s">
        <v>1501</v>
      </c>
      <c r="J752" s="2956" t="s">
        <v>1459</v>
      </c>
      <c r="K752" s="2947" t="s">
        <v>7455</v>
      </c>
      <c r="L752" s="2956" t="str">
        <f t="shared" si="169"/>
        <v>Distinta</v>
      </c>
      <c r="M752" s="2962">
        <v>13</v>
      </c>
      <c r="N752" s="2962">
        <v>2</v>
      </c>
      <c r="O752" s="2962">
        <v>20</v>
      </c>
      <c r="P752" s="2956"/>
      <c r="Q752" s="2956"/>
      <c r="R752" s="2956" t="s">
        <v>1459</v>
      </c>
      <c r="S752" s="2956" t="s">
        <v>1459</v>
      </c>
      <c r="T752" s="2956" t="s">
        <v>1459</v>
      </c>
      <c r="U752" s="2956"/>
      <c r="V752" s="2947" t="s">
        <v>7231</v>
      </c>
      <c r="W752" s="2947"/>
      <c r="X752" s="2945" t="str">
        <f t="shared" si="148"/>
        <v>Grande</v>
      </c>
      <c r="Y752" s="2886">
        <f t="shared" si="149"/>
        <v>0</v>
      </c>
      <c r="Z752" s="1326" t="str">
        <f t="shared" si="170"/>
        <v/>
      </c>
      <c r="AB752" s="597" t="s">
        <v>2236</v>
      </c>
      <c r="AC752" s="236"/>
      <c r="AD752" s="236"/>
      <c r="AE752" s="891"/>
      <c r="AG752" s="907" t="str">
        <f t="shared" si="151"/>
        <v/>
      </c>
      <c r="AH752" s="86" t="str">
        <f t="shared" si="152"/>
        <v/>
      </c>
      <c r="AI752" s="86" t="str">
        <f t="shared" si="153"/>
        <v>Tetsubo</v>
      </c>
      <c r="AJ752" s="1327">
        <f>IF(OR($L752=AJ$635,$L752="",$D752=$AL$634),MAX(AJ$637:AJ751)+1,0)</f>
        <v>0</v>
      </c>
      <c r="AK752" s="1328">
        <f>IF(OR($L752=AK$635,$L752="",$D752=$AL$634),MAX(AK$637:AK751)+1,0)</f>
        <v>0</v>
      </c>
      <c r="AL752" s="1329">
        <f>IF(OR($L752=AL$635,$L752="",$D752=$AL$634),MAX(AL$637:AL751)+1,0)</f>
        <v>114</v>
      </c>
      <c r="AM752" s="5867"/>
      <c r="AN752" s="907" t="str">
        <f t="shared" si="154"/>
        <v/>
      </c>
      <c r="AO752" s="86" t="str">
        <f t="shared" si="155"/>
        <v/>
      </c>
      <c r="AP752" s="86" t="str">
        <f t="shared" si="156"/>
        <v>Tetsubo</v>
      </c>
      <c r="AQ752" s="1327">
        <f>IF(OR($L752=AQ$635,$L752="",$D752=$AS$634),MAX(AQ$637:AQ751)+1,0)</f>
        <v>0</v>
      </c>
      <c r="AR752" s="1328">
        <f>IF(OR($L752=AR$635,$L752="",$D752=$AS$634),MAX(AR$637:AR751)+1,0)</f>
        <v>0</v>
      </c>
      <c r="AS752" s="1329">
        <f>IF(OR($L752=AS$635,$L752="",$D752=$AS$634),MAX(AS$637:AS751)+1,0)</f>
        <v>114</v>
      </c>
      <c r="AT752" s="5867"/>
      <c r="AU752" s="907" t="str">
        <f t="shared" si="157"/>
        <v/>
      </c>
      <c r="AV752" s="86" t="str">
        <f t="shared" si="158"/>
        <v/>
      </c>
      <c r="AW752" s="86" t="str">
        <f t="shared" si="159"/>
        <v>Tetsubo</v>
      </c>
      <c r="AX752" s="1327">
        <f>IF(OR($L752=AX$635,$L752="",$D752=$AZ$634),MAX(AX$637:AX751)+1,0)</f>
        <v>0</v>
      </c>
      <c r="AY752" s="1328">
        <f>IF(OR($L752=AY$635,$L752="",$D752=$AZ$634),MAX(AY$637:AY751)+1,0)</f>
        <v>0</v>
      </c>
      <c r="AZ752" s="1329">
        <f>IF(OR($L752=AZ$635,$L752="",$D752=$AZ$634),MAX(AZ$637:AZ751)+1,0)</f>
        <v>114</v>
      </c>
      <c r="BA752" s="5867"/>
      <c r="BB752" s="907" t="str">
        <f t="shared" si="160"/>
        <v/>
      </c>
      <c r="BC752" s="86" t="str">
        <f t="shared" si="161"/>
        <v/>
      </c>
      <c r="BD752" s="86" t="str">
        <f t="shared" si="162"/>
        <v>Tetsubo</v>
      </c>
      <c r="BE752" s="1327">
        <f>IF(OR($L752=BE$635,$L752="",$D752=$BG$634),MAX(BE$637:BE751)+1,0)</f>
        <v>0</v>
      </c>
      <c r="BF752" s="1328">
        <f>IF(OR($L752=BF$635,$L752="",$D752=$BG$634),MAX(BF$637:BF751)+1,0)</f>
        <v>0</v>
      </c>
      <c r="BG752" s="1329">
        <f>IF(OR($L752=BG$635,$L752="",$D752=$BG$634),MAX(BG$637:BG751)+1,0)</f>
        <v>114</v>
      </c>
      <c r="BH752" s="5867"/>
      <c r="BI752" s="907" t="str">
        <f t="shared" si="163"/>
        <v/>
      </c>
      <c r="BJ752" s="86" t="str">
        <f t="shared" si="164"/>
        <v/>
      </c>
      <c r="BK752" s="86" t="str">
        <f t="shared" si="165"/>
        <v>Tetsubo</v>
      </c>
      <c r="BL752" s="1327">
        <f>IF(OR($L752=BL$635,$L752="",$D752=$BN$634),MAX(BL$637:BL751)+1,0)</f>
        <v>0</v>
      </c>
      <c r="BM752" s="1328">
        <f>IF(OR($L752=BM$635,$L752="",$D752=$BN$634),MAX(BM$637:BM751)+1,0)</f>
        <v>0</v>
      </c>
      <c r="BN752" s="1329">
        <f>IF(OR($L752=BN$635,$L752="",$D752=$BN$634),MAX(BN$637:BN751)+1,0)</f>
        <v>114</v>
      </c>
      <c r="BO752" s="5867"/>
      <c r="BP752" s="907" t="str">
        <f t="shared" si="166"/>
        <v/>
      </c>
      <c r="BQ752" s="86" t="str">
        <f t="shared" si="167"/>
        <v/>
      </c>
      <c r="BR752" s="86" t="str">
        <f t="shared" si="168"/>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838"/>
      <c r="C753" s="1208"/>
      <c r="D753" s="2957" t="s">
        <v>7197</v>
      </c>
      <c r="E753" s="2961">
        <v>80</v>
      </c>
      <c r="F753" s="2956">
        <v>-50</v>
      </c>
      <c r="G753" s="2956">
        <v>10</v>
      </c>
      <c r="H753" s="2956">
        <v>8</v>
      </c>
      <c r="I753" s="2956" t="s">
        <v>1501</v>
      </c>
      <c r="J753" s="2956" t="s">
        <v>1459</v>
      </c>
      <c r="K753" s="2947" t="s">
        <v>7461</v>
      </c>
      <c r="L753" s="2956" t="str">
        <f t="shared" si="169"/>
        <v>Distinta</v>
      </c>
      <c r="M753" s="2962">
        <v>13</v>
      </c>
      <c r="N753" s="2962">
        <v>4</v>
      </c>
      <c r="O753" s="2962">
        <v>30</v>
      </c>
      <c r="P753" s="2956"/>
      <c r="Q753" s="2956"/>
      <c r="R753" s="2956" t="s">
        <v>1459</v>
      </c>
      <c r="S753" s="2956" t="s">
        <v>1459</v>
      </c>
      <c r="T753" s="2956" t="s">
        <v>1459</v>
      </c>
      <c r="U753" s="2956"/>
      <c r="V753" s="2947" t="s">
        <v>2137</v>
      </c>
      <c r="W753" s="2947"/>
      <c r="X753" s="2945" t="str">
        <f t="shared" si="148"/>
        <v>Mediana</v>
      </c>
      <c r="Y753" s="2886">
        <f t="shared" si="149"/>
        <v>0</v>
      </c>
      <c r="Z753" s="1326" t="str">
        <f t="shared" si="170"/>
        <v/>
      </c>
      <c r="AB753" s="597" t="s">
        <v>10284</v>
      </c>
      <c r="AC753" s="236"/>
      <c r="AD753" s="236"/>
      <c r="AE753" s="891"/>
      <c r="AG753" s="907" t="str">
        <f t="shared" si="151"/>
        <v/>
      </c>
      <c r="AH753" s="86" t="str">
        <f t="shared" si="152"/>
        <v/>
      </c>
      <c r="AI753" s="86" t="str">
        <f t="shared" si="153"/>
        <v>Uchi-ne</v>
      </c>
      <c r="AJ753" s="1327">
        <f>IF(OR($L753=AJ$635,$L753="",$D753=$AL$634),MAX(AJ$637:AJ752)+1,0)</f>
        <v>0</v>
      </c>
      <c r="AK753" s="1328">
        <f>IF(OR($L753=AK$635,$L753="",$D753=$AL$634),MAX(AK$637:AK752)+1,0)</f>
        <v>0</v>
      </c>
      <c r="AL753" s="1329">
        <f>IF(OR($L753=AL$635,$L753="",$D753=$AL$634),MAX(AL$637:AL752)+1,0)</f>
        <v>115</v>
      </c>
      <c r="AM753" s="5867"/>
      <c r="AN753" s="907" t="str">
        <f t="shared" si="154"/>
        <v/>
      </c>
      <c r="AO753" s="86" t="str">
        <f t="shared" si="155"/>
        <v/>
      </c>
      <c r="AP753" s="86" t="str">
        <f t="shared" si="156"/>
        <v>Uchi-ne</v>
      </c>
      <c r="AQ753" s="1327">
        <f>IF(OR($L753=AQ$635,$L753="",$D753=$AS$634),MAX(AQ$637:AQ752)+1,0)</f>
        <v>0</v>
      </c>
      <c r="AR753" s="1328">
        <f>IF(OR($L753=AR$635,$L753="",$D753=$AS$634),MAX(AR$637:AR752)+1,0)</f>
        <v>0</v>
      </c>
      <c r="AS753" s="1329">
        <f>IF(OR($L753=AS$635,$L753="",$D753=$AS$634),MAX(AS$637:AS752)+1,0)</f>
        <v>115</v>
      </c>
      <c r="AT753" s="5867"/>
      <c r="AU753" s="907" t="str">
        <f t="shared" si="157"/>
        <v/>
      </c>
      <c r="AV753" s="86" t="str">
        <f t="shared" si="158"/>
        <v/>
      </c>
      <c r="AW753" s="86" t="str">
        <f t="shared" si="159"/>
        <v>Uchi-ne</v>
      </c>
      <c r="AX753" s="1327">
        <f>IF(OR($L753=AX$635,$L753="",$D753=$AZ$634),MAX(AX$637:AX752)+1,0)</f>
        <v>0</v>
      </c>
      <c r="AY753" s="1328">
        <f>IF(OR($L753=AY$635,$L753="",$D753=$AZ$634),MAX(AY$637:AY752)+1,0)</f>
        <v>0</v>
      </c>
      <c r="AZ753" s="1329">
        <f>IF(OR($L753=AZ$635,$L753="",$D753=$AZ$634),MAX(AZ$637:AZ752)+1,0)</f>
        <v>115</v>
      </c>
      <c r="BA753" s="5867"/>
      <c r="BB753" s="907" t="str">
        <f t="shared" si="160"/>
        <v/>
      </c>
      <c r="BC753" s="86" t="str">
        <f t="shared" si="161"/>
        <v/>
      </c>
      <c r="BD753" s="86" t="str">
        <f t="shared" si="162"/>
        <v>Uchi-ne</v>
      </c>
      <c r="BE753" s="1327">
        <f>IF(OR($L753=BE$635,$L753="",$D753=$BG$634),MAX(BE$637:BE752)+1,0)</f>
        <v>0</v>
      </c>
      <c r="BF753" s="1328">
        <f>IF(OR($L753=BF$635,$L753="",$D753=$BG$634),MAX(BF$637:BF752)+1,0)</f>
        <v>0</v>
      </c>
      <c r="BG753" s="1329">
        <f>IF(OR($L753=BG$635,$L753="",$D753=$BG$634),MAX(BG$637:BG752)+1,0)</f>
        <v>115</v>
      </c>
      <c r="BH753" s="5867"/>
      <c r="BI753" s="907" t="str">
        <f t="shared" si="163"/>
        <v/>
      </c>
      <c r="BJ753" s="86" t="str">
        <f t="shared" si="164"/>
        <v/>
      </c>
      <c r="BK753" s="86" t="str">
        <f t="shared" si="165"/>
        <v>Uchi-ne</v>
      </c>
      <c r="BL753" s="1327">
        <f>IF(OR($L753=BL$635,$L753="",$D753=$BN$634),MAX(BL$637:BL752)+1,0)</f>
        <v>0</v>
      </c>
      <c r="BM753" s="1328">
        <f>IF(OR($L753=BM$635,$L753="",$D753=$BN$634),MAX(BM$637:BM752)+1,0)</f>
        <v>0</v>
      </c>
      <c r="BN753" s="1329">
        <f>IF(OR($L753=BN$635,$L753="",$D753=$BN$634),MAX(BN$637:BN752)+1,0)</f>
        <v>115</v>
      </c>
      <c r="BO753" s="5867"/>
      <c r="BP753" s="907" t="str">
        <f t="shared" si="166"/>
        <v/>
      </c>
      <c r="BQ753" s="86" t="str">
        <f t="shared" si="167"/>
        <v/>
      </c>
      <c r="BR753" s="86" t="str">
        <f t="shared" si="168"/>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838"/>
      <c r="C754" s="1208"/>
      <c r="D754" s="2957" t="s">
        <v>7216</v>
      </c>
      <c r="E754" s="2961">
        <v>25</v>
      </c>
      <c r="F754" s="2956">
        <v>10</v>
      </c>
      <c r="G754" s="2956">
        <v>4</v>
      </c>
      <c r="H754" s="2956">
        <v>4</v>
      </c>
      <c r="I754" s="2956" t="s">
        <v>1556</v>
      </c>
      <c r="J754" s="2956" t="s">
        <v>1459</v>
      </c>
      <c r="K754" s="2947" t="s">
        <v>7455</v>
      </c>
      <c r="L754" s="2956" t="str">
        <f t="shared" si="169"/>
        <v>Distinta</v>
      </c>
      <c r="M754" s="2962">
        <v>10</v>
      </c>
      <c r="N754" s="2962">
        <v>-2</v>
      </c>
      <c r="O754" s="2962">
        <v>20</v>
      </c>
      <c r="P754" s="2956"/>
      <c r="Q754" s="2956"/>
      <c r="R754" s="2956">
        <v>100</v>
      </c>
      <c r="S754" s="2956" t="s">
        <v>1459</v>
      </c>
      <c r="T754" s="2956">
        <v>30</v>
      </c>
      <c r="U754" s="2956"/>
      <c r="V754" s="2947" t="s">
        <v>8773</v>
      </c>
      <c r="W754" s="2947"/>
      <c r="X754" s="2945" t="str">
        <f t="shared" si="148"/>
        <v>Grande</v>
      </c>
      <c r="Y754" s="2886">
        <f t="shared" si="149"/>
        <v>0</v>
      </c>
      <c r="Z754" s="1326" t="str">
        <f t="shared" si="170"/>
        <v/>
      </c>
      <c r="AB754" s="597" t="s">
        <v>10285</v>
      </c>
      <c r="AC754" s="236"/>
      <c r="AD754" s="236"/>
      <c r="AE754" s="891"/>
      <c r="AG754" s="907" t="str">
        <f t="shared" si="151"/>
        <v/>
      </c>
      <c r="AH754" s="86" t="str">
        <f t="shared" si="152"/>
        <v/>
      </c>
      <c r="AI754" s="86" t="str">
        <f t="shared" si="153"/>
        <v>Wakizasi</v>
      </c>
      <c r="AJ754" s="1327">
        <f>IF(OR($L754=AJ$635,$L754="",$D754=$AL$634),MAX(AJ$637:AJ753)+1,0)</f>
        <v>0</v>
      </c>
      <c r="AK754" s="1328">
        <f>IF(OR($L754=AK$635,$L754="",$D754=$AL$634),MAX(AK$637:AK753)+1,0)</f>
        <v>0</v>
      </c>
      <c r="AL754" s="1329">
        <f>IF(OR($L754=AL$635,$L754="",$D754=$AL$634),MAX(AL$637:AL753)+1,0)</f>
        <v>116</v>
      </c>
      <c r="AM754" s="5867"/>
      <c r="AN754" s="907" t="str">
        <f t="shared" si="154"/>
        <v/>
      </c>
      <c r="AO754" s="86" t="str">
        <f t="shared" si="155"/>
        <v/>
      </c>
      <c r="AP754" s="86" t="str">
        <f t="shared" si="156"/>
        <v>Wakizasi</v>
      </c>
      <c r="AQ754" s="1327">
        <f>IF(OR($L754=AQ$635,$L754="",$D754=$AS$634),MAX(AQ$637:AQ753)+1,0)</f>
        <v>0</v>
      </c>
      <c r="AR754" s="1328">
        <f>IF(OR($L754=AR$635,$L754="",$D754=$AS$634),MAX(AR$637:AR753)+1,0)</f>
        <v>0</v>
      </c>
      <c r="AS754" s="1329">
        <f>IF(OR($L754=AS$635,$L754="",$D754=$AS$634),MAX(AS$637:AS753)+1,0)</f>
        <v>116</v>
      </c>
      <c r="AT754" s="5867"/>
      <c r="AU754" s="907" t="str">
        <f t="shared" si="157"/>
        <v/>
      </c>
      <c r="AV754" s="86" t="str">
        <f t="shared" si="158"/>
        <v/>
      </c>
      <c r="AW754" s="86" t="str">
        <f t="shared" si="159"/>
        <v>Wakizasi</v>
      </c>
      <c r="AX754" s="1327">
        <f>IF(OR($L754=AX$635,$L754="",$D754=$AZ$634),MAX(AX$637:AX753)+1,0)</f>
        <v>0</v>
      </c>
      <c r="AY754" s="1328">
        <f>IF(OR($L754=AY$635,$L754="",$D754=$AZ$634),MAX(AY$637:AY753)+1,0)</f>
        <v>0</v>
      </c>
      <c r="AZ754" s="1329">
        <f>IF(OR($L754=AZ$635,$L754="",$D754=$AZ$634),MAX(AZ$637:AZ753)+1,0)</f>
        <v>116</v>
      </c>
      <c r="BA754" s="5867"/>
      <c r="BB754" s="907" t="str">
        <f t="shared" si="160"/>
        <v/>
      </c>
      <c r="BC754" s="86" t="str">
        <f t="shared" si="161"/>
        <v/>
      </c>
      <c r="BD754" s="86" t="str">
        <f t="shared" si="162"/>
        <v>Wakizasi</v>
      </c>
      <c r="BE754" s="1327">
        <f>IF(OR($L754=BE$635,$L754="",$D754=$BG$634),MAX(BE$637:BE753)+1,0)</f>
        <v>0</v>
      </c>
      <c r="BF754" s="1328">
        <f>IF(OR($L754=BF$635,$L754="",$D754=$BG$634),MAX(BF$637:BF753)+1,0)</f>
        <v>0</v>
      </c>
      <c r="BG754" s="1329">
        <f>IF(OR($L754=BG$635,$L754="",$D754=$BG$634),MAX(BG$637:BG753)+1,0)</f>
        <v>116</v>
      </c>
      <c r="BH754" s="5867"/>
      <c r="BI754" s="907" t="str">
        <f t="shared" si="163"/>
        <v/>
      </c>
      <c r="BJ754" s="86" t="str">
        <f t="shared" si="164"/>
        <v/>
      </c>
      <c r="BK754" s="86" t="str">
        <f t="shared" si="165"/>
        <v>Wakizasi</v>
      </c>
      <c r="BL754" s="1327">
        <f>IF(OR($L754=BL$635,$L754="",$D754=$BN$634),MAX(BL$637:BL753)+1,0)</f>
        <v>0</v>
      </c>
      <c r="BM754" s="1328">
        <f>IF(OR($L754=BM$635,$L754="",$D754=$BN$634),MAX(BM$637:BM753)+1,0)</f>
        <v>0</v>
      </c>
      <c r="BN754" s="1329">
        <f>IF(OR($L754=BN$635,$L754="",$D754=$BN$634),MAX(BN$637:BN753)+1,0)</f>
        <v>116</v>
      </c>
      <c r="BO754" s="5867"/>
      <c r="BP754" s="907" t="str">
        <f t="shared" si="166"/>
        <v/>
      </c>
      <c r="BQ754" s="86" t="str">
        <f t="shared" si="167"/>
        <v/>
      </c>
      <c r="BR754" s="86" t="str">
        <f t="shared" si="168"/>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838"/>
      <c r="C755" s="1208"/>
      <c r="D755" s="2957" t="s">
        <v>7217</v>
      </c>
      <c r="E755" s="2961">
        <v>45</v>
      </c>
      <c r="F755" s="2956">
        <v>0</v>
      </c>
      <c r="G755" s="2956">
        <v>4</v>
      </c>
      <c r="H755" s="2956">
        <v>4</v>
      </c>
      <c r="I755" s="2956" t="s">
        <v>1555</v>
      </c>
      <c r="J755" s="2956" t="s">
        <v>1459</v>
      </c>
      <c r="K755" s="2947" t="s">
        <v>7458</v>
      </c>
      <c r="L755" s="2956" t="str">
        <f t="shared" si="169"/>
        <v>Distinta</v>
      </c>
      <c r="M755" s="2962">
        <v>11</v>
      </c>
      <c r="N755" s="2962">
        <v>3</v>
      </c>
      <c r="O755" s="2962">
        <v>40</v>
      </c>
      <c r="P755" s="2956"/>
      <c r="Q755" s="2956"/>
      <c r="R755" s="2956" t="s">
        <v>1459</v>
      </c>
      <c r="S755" s="2956" t="s">
        <v>1459</v>
      </c>
      <c r="T755" s="2956" t="s">
        <v>1459</v>
      </c>
      <c r="U755" s="2956"/>
      <c r="V755" s="2947" t="s">
        <v>1459</v>
      </c>
      <c r="W755" s="2947"/>
      <c r="X755" s="2945" t="str">
        <f t="shared" si="148"/>
        <v>Mediana</v>
      </c>
      <c r="Y755" s="2886">
        <f t="shared" si="149"/>
        <v>0</v>
      </c>
      <c r="Z755" s="1326" t="str">
        <f t="shared" si="170"/>
        <v/>
      </c>
      <c r="AB755" s="597" t="s">
        <v>10286</v>
      </c>
      <c r="AC755" s="236"/>
      <c r="AD755" s="236"/>
      <c r="AE755" s="891"/>
      <c r="AG755" s="907" t="str">
        <f t="shared" si="151"/>
        <v/>
      </c>
      <c r="AH755" s="86" t="str">
        <f t="shared" si="152"/>
        <v/>
      </c>
      <c r="AI755" s="86" t="str">
        <f t="shared" si="153"/>
        <v>&gt; A. DE PROYECTILES</v>
      </c>
      <c r="AJ755" s="1327">
        <f>IF(OR($L755=AJ$635,$L755="",$D755=$AL$634),MAX(AJ$637:AJ754)+1,0)</f>
        <v>0</v>
      </c>
      <c r="AK755" s="1328">
        <f>IF(OR($L755=AK$635,$L755="",$D755=$AL$634),MAX(AK$637:AK754)+1,0)</f>
        <v>0</v>
      </c>
      <c r="AL755" s="1329">
        <f>IF(OR($L755=AL$635,$L755="",$D755=$AL$634),MAX(AL$637:AL754)+1,0)</f>
        <v>117</v>
      </c>
      <c r="AM755" s="5867"/>
      <c r="AN755" s="907" t="str">
        <f t="shared" si="154"/>
        <v/>
      </c>
      <c r="AO755" s="86" t="str">
        <f t="shared" si="155"/>
        <v/>
      </c>
      <c r="AP755" s="86" t="str">
        <f t="shared" si="156"/>
        <v>&gt; A. DE PROYECTILES</v>
      </c>
      <c r="AQ755" s="1327">
        <f>IF(OR($L755=AQ$635,$L755="",$D755=$AS$634),MAX(AQ$637:AQ754)+1,0)</f>
        <v>0</v>
      </c>
      <c r="AR755" s="1328">
        <f>IF(OR($L755=AR$635,$L755="",$D755=$AS$634),MAX(AR$637:AR754)+1,0)</f>
        <v>0</v>
      </c>
      <c r="AS755" s="1329">
        <f>IF(OR($L755=AS$635,$L755="",$D755=$AS$634),MAX(AS$637:AS754)+1,0)</f>
        <v>117</v>
      </c>
      <c r="AT755" s="5867"/>
      <c r="AU755" s="907" t="str">
        <f t="shared" si="157"/>
        <v/>
      </c>
      <c r="AV755" s="86" t="str">
        <f t="shared" si="158"/>
        <v/>
      </c>
      <c r="AW755" s="86" t="str">
        <f t="shared" si="159"/>
        <v>&gt; A. DE PROYECTILES</v>
      </c>
      <c r="AX755" s="1327">
        <f>IF(OR($L755=AX$635,$L755="",$D755=$AZ$634),MAX(AX$637:AX754)+1,0)</f>
        <v>0</v>
      </c>
      <c r="AY755" s="1328">
        <f>IF(OR($L755=AY$635,$L755="",$D755=$AZ$634),MAX(AY$637:AY754)+1,0)</f>
        <v>0</v>
      </c>
      <c r="AZ755" s="1329">
        <f>IF(OR($L755=AZ$635,$L755="",$D755=$AZ$634),MAX(AZ$637:AZ754)+1,0)</f>
        <v>117</v>
      </c>
      <c r="BA755" s="5867"/>
      <c r="BB755" s="907" t="str">
        <f t="shared" si="160"/>
        <v/>
      </c>
      <c r="BC755" s="86" t="str">
        <f t="shared" si="161"/>
        <v/>
      </c>
      <c r="BD755" s="86" t="str">
        <f t="shared" si="162"/>
        <v>&gt; A. DE PROYECTILES</v>
      </c>
      <c r="BE755" s="1327">
        <f>IF(OR($L755=BE$635,$L755="",$D755=$BG$634),MAX(BE$637:BE754)+1,0)</f>
        <v>0</v>
      </c>
      <c r="BF755" s="1328">
        <f>IF(OR($L755=BF$635,$L755="",$D755=$BG$634),MAX(BF$637:BF754)+1,0)</f>
        <v>0</v>
      </c>
      <c r="BG755" s="1329">
        <f>IF(OR($L755=BG$635,$L755="",$D755=$BG$634),MAX(BG$637:BG754)+1,0)</f>
        <v>117</v>
      </c>
      <c r="BH755" s="5867"/>
      <c r="BI755" s="907" t="str">
        <f t="shared" si="163"/>
        <v/>
      </c>
      <c r="BJ755" s="86" t="str">
        <f t="shared" si="164"/>
        <v/>
      </c>
      <c r="BK755" s="86" t="str">
        <f t="shared" si="165"/>
        <v>&gt; A. DE PROYECTILES</v>
      </c>
      <c r="BL755" s="1327">
        <f>IF(OR($L755=BL$635,$L755="",$D755=$BN$634),MAX(BL$637:BL754)+1,0)</f>
        <v>0</v>
      </c>
      <c r="BM755" s="1328">
        <f>IF(OR($L755=BM$635,$L755="",$D755=$BN$634),MAX(BM$637:BM754)+1,0)</f>
        <v>0</v>
      </c>
      <c r="BN755" s="1329">
        <f>IF(OR($L755=BN$635,$L755="",$D755=$BN$634),MAX(BN$637:BN754)+1,0)</f>
        <v>117</v>
      </c>
      <c r="BO755" s="5867"/>
      <c r="BP755" s="907" t="str">
        <f t="shared" si="166"/>
        <v/>
      </c>
      <c r="BQ755" s="86" t="str">
        <f t="shared" si="167"/>
        <v/>
      </c>
      <c r="BR755" s="86" t="str">
        <f t="shared" si="168"/>
        <v>&gt; A. DE PROYECTILES</v>
      </c>
      <c r="BS755" s="1327">
        <f>IF(OR($L755=BS$635,$L755="",$D755=$BU$634),MAX(BS$637:BS754)+1,0)</f>
        <v>0</v>
      </c>
      <c r="BT755" s="1328">
        <f>IF(OR($L755=BT$635,$L755="",$D755=$BU$634),MAX(BT$637:BT754)+1,0)</f>
        <v>0</v>
      </c>
      <c r="BU755" s="1329">
        <f>IF(OR($L755=BU$635,$L755="",$D755=$BU$634),MAX(BU$637:BU754)+1,0)</f>
        <v>117</v>
      </c>
    </row>
    <row r="756" spans="1:73" ht="12.75" customHeight="1" thickBot="1" x14ac:dyDescent="0.25">
      <c r="A756" s="237">
        <v>756</v>
      </c>
      <c r="B756" s="5838"/>
      <c r="C756" s="1208"/>
      <c r="D756" s="2957" t="s">
        <v>2204</v>
      </c>
      <c r="E756" s="2952"/>
      <c r="F756" s="2952"/>
      <c r="G756" s="2952"/>
      <c r="H756" s="2952"/>
      <c r="I756" s="2952"/>
      <c r="J756" s="2952"/>
      <c r="K756" s="2946" t="s">
        <v>7453</v>
      </c>
      <c r="L756" s="2952"/>
      <c r="M756" s="2952"/>
      <c r="N756" s="2952"/>
      <c r="O756" s="2952"/>
      <c r="P756" s="2952"/>
      <c r="Q756" s="2952"/>
      <c r="R756" s="2952"/>
      <c r="S756" s="2952"/>
      <c r="T756" s="2952"/>
      <c r="U756" s="2952"/>
      <c r="V756" s="2946"/>
      <c r="W756" s="2946"/>
      <c r="X756" s="2948"/>
      <c r="Y756" s="1211"/>
      <c r="Z756" s="1326" t="str">
        <f t="shared" si="170"/>
        <v/>
      </c>
      <c r="AB756" s="1243" t="s">
        <v>10287</v>
      </c>
      <c r="AC756" s="1122"/>
      <c r="AD756" s="1122"/>
      <c r="AE756" s="1458"/>
      <c r="AG756" s="907" t="str">
        <f t="shared" si="151"/>
        <v/>
      </c>
      <c r="AH756" s="86" t="str">
        <f t="shared" si="152"/>
        <v/>
      </c>
      <c r="AI756" s="86" t="str">
        <f t="shared" si="153"/>
        <v>Arcabuz</v>
      </c>
      <c r="AJ756" s="1327">
        <f>IF(OR($L756=AJ$635,$L756="",$D756=$AL$634),MAX(AJ$637:AJ755)+1,0)</f>
        <v>4</v>
      </c>
      <c r="AK756" s="1328">
        <f>IF(OR($L756=AK$635,$L756="",$D756=$AL$634),MAX(AK$637:AK755)+1,0)</f>
        <v>4</v>
      </c>
      <c r="AL756" s="1329">
        <f>IF(OR($L756=AL$635,$L756="",$D756=$AL$634),MAX(AL$637:AL755)+1,0)</f>
        <v>118</v>
      </c>
      <c r="AM756" s="5867"/>
      <c r="AN756" s="907" t="str">
        <f t="shared" si="154"/>
        <v/>
      </c>
      <c r="AO756" s="86" t="str">
        <f t="shared" si="155"/>
        <v/>
      </c>
      <c r="AP756" s="86" t="str">
        <f t="shared" si="156"/>
        <v>Arcabuz</v>
      </c>
      <c r="AQ756" s="1327">
        <f>IF(OR($L756=AQ$635,$L756="",$D756=$AS$634),MAX(AQ$637:AQ755)+1,0)</f>
        <v>4</v>
      </c>
      <c r="AR756" s="1328">
        <f>IF(OR($L756=AR$635,$L756="",$D756=$AS$634),MAX(AR$637:AR755)+1,0)</f>
        <v>4</v>
      </c>
      <c r="AS756" s="1329">
        <f>IF(OR($L756=AS$635,$L756="",$D756=$AS$634),MAX(AS$637:AS755)+1,0)</f>
        <v>118</v>
      </c>
      <c r="AT756" s="5867"/>
      <c r="AU756" s="907" t="str">
        <f t="shared" si="157"/>
        <v/>
      </c>
      <c r="AV756" s="86" t="str">
        <f t="shared" si="158"/>
        <v/>
      </c>
      <c r="AW756" s="86" t="str">
        <f t="shared" si="159"/>
        <v>Arcabuz</v>
      </c>
      <c r="AX756" s="1327">
        <f>IF(OR($L756=AX$635,$L756="",$D756=$AZ$634),MAX(AX$637:AX755)+1,0)</f>
        <v>4</v>
      </c>
      <c r="AY756" s="1328">
        <f>IF(OR($L756=AY$635,$L756="",$D756=$AZ$634),MAX(AY$637:AY755)+1,0)</f>
        <v>4</v>
      </c>
      <c r="AZ756" s="1329">
        <f>IF(OR($L756=AZ$635,$L756="",$D756=$AZ$634),MAX(AZ$637:AZ755)+1,0)</f>
        <v>118</v>
      </c>
      <c r="BA756" s="5867"/>
      <c r="BB756" s="907" t="str">
        <f t="shared" si="160"/>
        <v/>
      </c>
      <c r="BC756" s="86" t="str">
        <f t="shared" si="161"/>
        <v/>
      </c>
      <c r="BD756" s="86" t="str">
        <f t="shared" si="162"/>
        <v>Arcabuz</v>
      </c>
      <c r="BE756" s="1327">
        <f>IF(OR($L756=BE$635,$L756="",$D756=$BG$634),MAX(BE$637:BE755)+1,0)</f>
        <v>4</v>
      </c>
      <c r="BF756" s="1328">
        <f>IF(OR($L756=BF$635,$L756="",$D756=$BG$634),MAX(BF$637:BF755)+1,0)</f>
        <v>4</v>
      </c>
      <c r="BG756" s="1329">
        <f>IF(OR($L756=BG$635,$L756="",$D756=$BG$634),MAX(BG$637:BG755)+1,0)</f>
        <v>118</v>
      </c>
      <c r="BH756" s="5867"/>
      <c r="BI756" s="907" t="str">
        <f t="shared" si="163"/>
        <v/>
      </c>
      <c r="BJ756" s="86" t="str">
        <f t="shared" si="164"/>
        <v/>
      </c>
      <c r="BK756" s="86" t="str">
        <f t="shared" si="165"/>
        <v>Arcabuz</v>
      </c>
      <c r="BL756" s="1327">
        <f>IF(OR($L756=BL$635,$L756="",$D756=$BN$634),MAX(BL$637:BL755)+1,0)</f>
        <v>4</v>
      </c>
      <c r="BM756" s="1328">
        <f>IF(OR($L756=BM$635,$L756="",$D756=$BN$634),MAX(BM$637:BM755)+1,0)</f>
        <v>4</v>
      </c>
      <c r="BN756" s="1329">
        <f>IF(OR($L756=BN$635,$L756="",$D756=$BN$634),MAX(BN$637:BN755)+1,0)</f>
        <v>118</v>
      </c>
      <c r="BO756" s="5867"/>
      <c r="BP756" s="907" t="str">
        <f t="shared" si="166"/>
        <v/>
      </c>
      <c r="BQ756" s="86" t="str">
        <f t="shared" si="167"/>
        <v/>
      </c>
      <c r="BR756" s="86" t="str">
        <f t="shared" si="168"/>
        <v>Arcabuz</v>
      </c>
      <c r="BS756" s="1327">
        <f>IF(OR($L756=BS$635,$L756="",$D756=$BU$634),MAX(BS$637:BS755)+1,0)</f>
        <v>4</v>
      </c>
      <c r="BT756" s="1328">
        <f>IF(OR($L756=BT$635,$L756="",$D756=$BU$634),MAX(BT$637:BT755)+1,0)</f>
        <v>4</v>
      </c>
      <c r="BU756" s="1329">
        <f>IF(OR($L756=BU$635,$L756="",$D756=$BU$634),MAX(BU$637:BU755)+1,0)</f>
        <v>118</v>
      </c>
    </row>
    <row r="757" spans="1:73" ht="12.75" customHeight="1" x14ac:dyDescent="0.2">
      <c r="A757" s="237">
        <v>757</v>
      </c>
      <c r="B757" s="5838"/>
      <c r="C757" s="1208"/>
      <c r="D757" s="2957" t="s">
        <v>8753</v>
      </c>
      <c r="E757" s="2956">
        <v>0</v>
      </c>
      <c r="F757" s="2956">
        <v>-20</v>
      </c>
      <c r="G757" s="2956">
        <v>6</v>
      </c>
      <c r="H757" s="2956">
        <v>6</v>
      </c>
      <c r="I757" s="2956" t="s">
        <v>1459</v>
      </c>
      <c r="J757" s="2956" t="s">
        <v>1459</v>
      </c>
      <c r="K757" s="2947" t="s">
        <v>7473</v>
      </c>
      <c r="L757" s="2956" t="str">
        <f t="shared" ref="L757:L762" si="171">IF(ISNUMBER(SEARCH($D757,Armas_Conocidas)),"Conocida",IF(OR(ISNUMBER(SEARCH(LEFT($K757,SEARCH("/",$K757)),Tipologías_Conocidas)),AND(NOT(ISNUMBER(SEARCH("/-",$K757))),ISNUMBER(SEARCH(MID($K757,SEARCH("/",$K757)+1,LEN($K757)),Tipologías_Conocidas)))),IF(ISNUMBER(SEARCH($K757,Tipologías_Conocidas)),"Similar","Mixta"),"Distinta"))</f>
        <v>Distinta</v>
      </c>
      <c r="M757" s="2962">
        <v>9</v>
      </c>
      <c r="N757" s="2962">
        <v>-3</v>
      </c>
      <c r="O757" s="2962">
        <v>20</v>
      </c>
      <c r="P757" s="2956"/>
      <c r="Q757" s="2956"/>
      <c r="R757" s="2956" t="s">
        <v>1459</v>
      </c>
      <c r="S757" s="2956">
        <v>4</v>
      </c>
      <c r="T757" s="2956">
        <v>80</v>
      </c>
      <c r="U757" s="2956">
        <v>11</v>
      </c>
      <c r="V757" s="2947" t="s">
        <v>2191</v>
      </c>
      <c r="W757" s="2947"/>
      <c r="X757" s="2945"/>
      <c r="Y757" s="2886">
        <v>0</v>
      </c>
      <c r="Z757" s="1326" t="str">
        <f t="shared" si="170"/>
        <v/>
      </c>
      <c r="AG757" s="907" t="str">
        <f t="shared" si="151"/>
        <v/>
      </c>
      <c r="AH757" s="86" t="str">
        <f t="shared" si="152"/>
        <v/>
      </c>
      <c r="AI757" s="86" t="str">
        <f t="shared" si="153"/>
        <v>Arco compuesto</v>
      </c>
      <c r="AJ757" s="1327">
        <f>IF(OR($L757=AJ$635,$L757="",$D757=$AL$634),MAX(AJ$637:AJ756)+1,0)</f>
        <v>0</v>
      </c>
      <c r="AK757" s="1328">
        <f>IF(OR($L757=AK$635,$L757="",$D757=$AL$634),MAX(AK$637:AK756)+1,0)</f>
        <v>0</v>
      </c>
      <c r="AL757" s="1329">
        <f>IF(OR($L757=AL$635,$L757="",$D757=$AL$634),MAX(AL$637:AL756)+1,0)</f>
        <v>119</v>
      </c>
      <c r="AM757" s="5867"/>
      <c r="AN757" s="907" t="str">
        <f t="shared" si="154"/>
        <v/>
      </c>
      <c r="AO757" s="86" t="str">
        <f t="shared" si="155"/>
        <v/>
      </c>
      <c r="AP757" s="86" t="str">
        <f t="shared" si="156"/>
        <v>Arco compuesto</v>
      </c>
      <c r="AQ757" s="1327">
        <f>IF(OR($L757=AQ$635,$L757="",$D757=$AS$634),MAX(AQ$637:AQ756)+1,0)</f>
        <v>0</v>
      </c>
      <c r="AR757" s="1328">
        <f>IF(OR($L757=AR$635,$L757="",$D757=$AS$634),MAX(AR$637:AR756)+1,0)</f>
        <v>0</v>
      </c>
      <c r="AS757" s="1329">
        <f>IF(OR($L757=AS$635,$L757="",$D757=$AS$634),MAX(AS$637:AS756)+1,0)</f>
        <v>119</v>
      </c>
      <c r="AT757" s="5867"/>
      <c r="AU757" s="907" t="str">
        <f t="shared" si="157"/>
        <v/>
      </c>
      <c r="AV757" s="86" t="str">
        <f t="shared" si="158"/>
        <v/>
      </c>
      <c r="AW757" s="86" t="str">
        <f t="shared" si="159"/>
        <v>Arco compuesto</v>
      </c>
      <c r="AX757" s="1327">
        <f>IF(OR($L757=AX$635,$L757="",$D757=$AZ$634),MAX(AX$637:AX756)+1,0)</f>
        <v>0</v>
      </c>
      <c r="AY757" s="1328">
        <f>IF(OR($L757=AY$635,$L757="",$D757=$AZ$634),MAX(AY$637:AY756)+1,0)</f>
        <v>0</v>
      </c>
      <c r="AZ757" s="1329">
        <f>IF(OR($L757=AZ$635,$L757="",$D757=$AZ$634),MAX(AZ$637:AZ756)+1,0)</f>
        <v>119</v>
      </c>
      <c r="BA757" s="5867"/>
      <c r="BB757" s="907" t="str">
        <f t="shared" si="160"/>
        <v/>
      </c>
      <c r="BC757" s="86" t="str">
        <f t="shared" si="161"/>
        <v/>
      </c>
      <c r="BD757" s="86" t="str">
        <f t="shared" si="162"/>
        <v>Arco compuesto</v>
      </c>
      <c r="BE757" s="1327">
        <f>IF(OR($L757=BE$635,$L757="",$D757=$BG$634),MAX(BE$637:BE756)+1,0)</f>
        <v>0</v>
      </c>
      <c r="BF757" s="1328">
        <f>IF(OR($L757=BF$635,$L757="",$D757=$BG$634),MAX(BF$637:BF756)+1,0)</f>
        <v>0</v>
      </c>
      <c r="BG757" s="1329">
        <f>IF(OR($L757=BG$635,$L757="",$D757=$BG$634),MAX(BG$637:BG756)+1,0)</f>
        <v>119</v>
      </c>
      <c r="BH757" s="5867"/>
      <c r="BI757" s="907" t="str">
        <f t="shared" si="163"/>
        <v/>
      </c>
      <c r="BJ757" s="86" t="str">
        <f t="shared" si="164"/>
        <v/>
      </c>
      <c r="BK757" s="86" t="str">
        <f t="shared" si="165"/>
        <v>Arco compuesto</v>
      </c>
      <c r="BL757" s="1327">
        <f>IF(OR($L757=BL$635,$L757="",$D757=$BN$634),MAX(BL$637:BL756)+1,0)</f>
        <v>0</v>
      </c>
      <c r="BM757" s="1328">
        <f>IF(OR($L757=BM$635,$L757="",$D757=$BN$634),MAX(BM$637:BM756)+1,0)</f>
        <v>0</v>
      </c>
      <c r="BN757" s="1329">
        <f>IF(OR($L757=BN$635,$L757="",$D757=$BN$634),MAX(BN$637:BN756)+1,0)</f>
        <v>119</v>
      </c>
      <c r="BO757" s="5867"/>
      <c r="BP757" s="907" t="str">
        <f t="shared" si="166"/>
        <v/>
      </c>
      <c r="BQ757" s="86" t="str">
        <f t="shared" si="167"/>
        <v/>
      </c>
      <c r="BR757" s="86" t="str">
        <f t="shared" si="168"/>
        <v>Arco compuesto</v>
      </c>
      <c r="BS757" s="1327">
        <f>IF(OR($L757=BS$635,$L757="",$D757=$BU$634),MAX(BS$637:BS756)+1,0)</f>
        <v>0</v>
      </c>
      <c r="BT757" s="1328">
        <f>IF(OR($L757=BT$635,$L757="",$D757=$BU$634),MAX(BT$637:BT756)+1,0)</f>
        <v>0</v>
      </c>
      <c r="BU757" s="1329">
        <f>IF(OR($L757=BU$635,$L757="",$D757=$BU$634),MAX(BU$637:BU756)+1,0)</f>
        <v>119</v>
      </c>
    </row>
    <row r="758" spans="1:73" ht="12.75" customHeight="1" thickBot="1" x14ac:dyDescent="0.25">
      <c r="A758" s="237">
        <v>758</v>
      </c>
      <c r="B758" s="5838"/>
      <c r="C758" s="1208"/>
      <c r="D758" s="2957" t="s">
        <v>2205</v>
      </c>
      <c r="E758" s="2956">
        <v>0</v>
      </c>
      <c r="F758" s="2956">
        <v>-30</v>
      </c>
      <c r="G758" s="2956">
        <v>7</v>
      </c>
      <c r="H758" s="2956">
        <v>7</v>
      </c>
      <c r="I758" s="2956" t="s">
        <v>1459</v>
      </c>
      <c r="J758" s="2956" t="s">
        <v>1459</v>
      </c>
      <c r="K758" s="2947" t="s">
        <v>7473</v>
      </c>
      <c r="L758" s="2956" t="str">
        <f t="shared" si="171"/>
        <v>Distinta</v>
      </c>
      <c r="M758" s="2962">
        <v>8</v>
      </c>
      <c r="N758" s="2962">
        <v>-2</v>
      </c>
      <c r="O758" s="2962">
        <v>25</v>
      </c>
      <c r="P758" s="2956"/>
      <c r="Q758" s="2956"/>
      <c r="R758" s="2956" t="s">
        <v>1459</v>
      </c>
      <c r="S758" s="2956">
        <v>1</v>
      </c>
      <c r="T758" s="2956">
        <v>90</v>
      </c>
      <c r="U758" s="2956"/>
      <c r="V758" s="2947" t="s">
        <v>1583</v>
      </c>
      <c r="W758" s="2947"/>
      <c r="X758" s="2945"/>
      <c r="Y758" s="2886">
        <v>0</v>
      </c>
      <c r="Z758" s="1326" t="str">
        <f t="shared" ref="Z758:Z763" si="172">IF(AND(K758&lt;&gt;"Natural/-",ISNUMBER(SEARCH(D758,Armas_Conocidas))),", "&amp;K758,"")</f>
        <v/>
      </c>
      <c r="AB758" s="5934" t="s">
        <v>10274</v>
      </c>
      <c r="AC758" s="5935"/>
      <c r="AD758" s="5935"/>
      <c r="AE758" s="5935"/>
      <c r="AG758" s="907" t="str">
        <f t="shared" si="151"/>
        <v/>
      </c>
      <c r="AH758" s="86" t="str">
        <f t="shared" si="152"/>
        <v/>
      </c>
      <c r="AI758" s="86" t="str">
        <f t="shared" si="153"/>
        <v>Arco corto</v>
      </c>
      <c r="AJ758" s="1327">
        <f>IF(OR($L758=AJ$635,$L758="",$D758=$AL$634),MAX(AJ$637:AJ757)+1,0)</f>
        <v>0</v>
      </c>
      <c r="AK758" s="1328">
        <f>IF(OR($L758=AK$635,$L758="",$D758=$AL$634),MAX(AK$637:AK757)+1,0)</f>
        <v>0</v>
      </c>
      <c r="AL758" s="1329">
        <f>IF(OR($L758=AL$635,$L758="",$D758=$AL$634),MAX(AL$637:AL757)+1,0)</f>
        <v>120</v>
      </c>
      <c r="AM758" s="5867"/>
      <c r="AN758" s="907" t="str">
        <f t="shared" si="154"/>
        <v/>
      </c>
      <c r="AO758" s="86" t="str">
        <f t="shared" si="155"/>
        <v/>
      </c>
      <c r="AP758" s="86" t="str">
        <f t="shared" si="156"/>
        <v>Arco corto</v>
      </c>
      <c r="AQ758" s="1327">
        <f>IF(OR($L758=AQ$635,$L758="",$D758=$AS$634),MAX(AQ$637:AQ757)+1,0)</f>
        <v>0</v>
      </c>
      <c r="AR758" s="1328">
        <f>IF(OR($L758=AR$635,$L758="",$D758=$AS$634),MAX(AR$637:AR757)+1,0)</f>
        <v>0</v>
      </c>
      <c r="AS758" s="1329">
        <f>IF(OR($L758=AS$635,$L758="",$D758=$AS$634),MAX(AS$637:AS757)+1,0)</f>
        <v>120</v>
      </c>
      <c r="AT758" s="5867"/>
      <c r="AU758" s="907" t="str">
        <f t="shared" si="157"/>
        <v/>
      </c>
      <c r="AV758" s="86" t="str">
        <f t="shared" si="158"/>
        <v/>
      </c>
      <c r="AW758" s="86" t="str">
        <f t="shared" si="159"/>
        <v>Arco corto</v>
      </c>
      <c r="AX758" s="1327">
        <f>IF(OR($L758=AX$635,$L758="",$D758=$AZ$634),MAX(AX$637:AX757)+1,0)</f>
        <v>0</v>
      </c>
      <c r="AY758" s="1328">
        <f>IF(OR($L758=AY$635,$L758="",$D758=$AZ$634),MAX(AY$637:AY757)+1,0)</f>
        <v>0</v>
      </c>
      <c r="AZ758" s="1329">
        <f>IF(OR($L758=AZ$635,$L758="",$D758=$AZ$634),MAX(AZ$637:AZ757)+1,0)</f>
        <v>120</v>
      </c>
      <c r="BA758" s="5867"/>
      <c r="BB758" s="907" t="str">
        <f t="shared" si="160"/>
        <v/>
      </c>
      <c r="BC758" s="86" t="str">
        <f t="shared" si="161"/>
        <v/>
      </c>
      <c r="BD758" s="86" t="str">
        <f t="shared" si="162"/>
        <v>Arco corto</v>
      </c>
      <c r="BE758" s="1327">
        <f>IF(OR($L758=BE$635,$L758="",$D758=$BG$634),MAX(BE$637:BE757)+1,0)</f>
        <v>0</v>
      </c>
      <c r="BF758" s="1328">
        <f>IF(OR($L758=BF$635,$L758="",$D758=$BG$634),MAX(BF$637:BF757)+1,0)</f>
        <v>0</v>
      </c>
      <c r="BG758" s="1329">
        <f>IF(OR($L758=BG$635,$L758="",$D758=$BG$634),MAX(BG$637:BG757)+1,0)</f>
        <v>120</v>
      </c>
      <c r="BH758" s="5867"/>
      <c r="BI758" s="907" t="str">
        <f t="shared" si="163"/>
        <v/>
      </c>
      <c r="BJ758" s="86" t="str">
        <f t="shared" si="164"/>
        <v/>
      </c>
      <c r="BK758" s="86" t="str">
        <f t="shared" si="165"/>
        <v>Arco corto</v>
      </c>
      <c r="BL758" s="1327">
        <f>IF(OR($L758=BL$635,$L758="",$D758=$BN$634),MAX(BL$637:BL757)+1,0)</f>
        <v>0</v>
      </c>
      <c r="BM758" s="1328">
        <f>IF(OR($L758=BM$635,$L758="",$D758=$BN$634),MAX(BM$637:BM757)+1,0)</f>
        <v>0</v>
      </c>
      <c r="BN758" s="1329">
        <f>IF(OR($L758=BN$635,$L758="",$D758=$BN$634),MAX(BN$637:BN757)+1,0)</f>
        <v>120</v>
      </c>
      <c r="BO758" s="5867"/>
      <c r="BP758" s="907" t="str">
        <f t="shared" si="166"/>
        <v/>
      </c>
      <c r="BQ758" s="86" t="str">
        <f t="shared" si="167"/>
        <v/>
      </c>
      <c r="BR758" s="86" t="str">
        <f t="shared" si="168"/>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838"/>
      <c r="C759" s="1208"/>
      <c r="D759" s="2957" t="s">
        <v>2207</v>
      </c>
      <c r="E759" s="2956">
        <v>0</v>
      </c>
      <c r="F759" s="2956">
        <v>-10</v>
      </c>
      <c r="G759" s="2956">
        <v>4</v>
      </c>
      <c r="H759" s="2956">
        <v>4</v>
      </c>
      <c r="I759" s="2956" t="s">
        <v>1459</v>
      </c>
      <c r="J759" s="2956" t="s">
        <v>1459</v>
      </c>
      <c r="K759" s="2947" t="s">
        <v>7473</v>
      </c>
      <c r="L759" s="2956" t="str">
        <f t="shared" si="171"/>
        <v>Distinta</v>
      </c>
      <c r="M759" s="2962">
        <v>7</v>
      </c>
      <c r="N759" s="2962">
        <v>-3</v>
      </c>
      <c r="O759" s="2962">
        <v>15</v>
      </c>
      <c r="P759" s="2956"/>
      <c r="Q759" s="2956"/>
      <c r="R759" s="2956" t="s">
        <v>1459</v>
      </c>
      <c r="S759" s="2956">
        <v>1</v>
      </c>
      <c r="T759" s="2956">
        <v>40</v>
      </c>
      <c r="U759" s="2956"/>
      <c r="V759" s="2947" t="s">
        <v>1583</v>
      </c>
      <c r="W759" s="2947"/>
      <c r="X759" s="2945"/>
      <c r="Y759" s="2886">
        <v>0</v>
      </c>
      <c r="Z759" s="1326" t="str">
        <f t="shared" si="172"/>
        <v/>
      </c>
      <c r="AB759" s="1491" t="str">
        <f>"Tablas!"&amp;ADDRESS(ROW(IF(AB$640&lt;&gt;"",AB$640,IF(AB641&lt;&gt;"",AB641,IF(AB642&lt;&gt;"",AB642,AB643)))),COLUMN(IF(AB$640&lt;&gt;"",AB640,IF(AB641&lt;&gt;"",AB641,IF(AB642&lt;&gt;"",AB642,AB643)))))&amp;":"&amp;ADDRESS(ROW(AB740),COLUMN(AB740))</f>
        <v>Tablas!$AB$640:$AB$740</v>
      </c>
      <c r="AC759" s="1492" t="str">
        <f>"Tablas!"&amp;ADDRESS(ROW(IF(AC$640&lt;&gt;"",AC$640,IF(AC641&lt;&gt;"",AC641,IF(AC642&lt;&gt;"",AC642,AC643)))),COLUMN(IF(AC$640&lt;&gt;"",AC640,IF(AC641&lt;&gt;"",AC641,IF(AC642&lt;&gt;"",AC642,AC643)))))&amp;":"&amp;ADDRESS(ROW(AC680),COLUMN(AC680))</f>
        <v>Tablas!$AC$640:$AC$680</v>
      </c>
      <c r="AD759" s="1492" t="str">
        <f>"Tablas!"&amp;ADDRESS(ROW(IF(AD$640&lt;&gt;"",AD$640,IF(AD641&lt;&gt;"",AD641,IF(AD642&lt;&gt;"",AD642,AD643)))),COLUMN(IF(AD$640&lt;&gt;"",AD640,IF(AD641&lt;&gt;"",AD641,IF(AD642&lt;&gt;"",AD642,AD643)))))&amp;":"&amp;ADDRESS(ROW(AD653),COLUMN(AD653))</f>
        <v>Tablas!$AD$643:$AD$653</v>
      </c>
      <c r="AE759" s="1493" t="str">
        <f>"Tablas!"&amp;ADDRESS(ROW(IF(AE$640&lt;&gt;"",AE$640,IF(AE641&lt;&gt;"",AE641,IF(AE642&lt;&gt;"",AE642,AE643)))),COLUMN(IF(AE$640&lt;&gt;"",AE640,IF(AE641&lt;&gt;"",AE641,IF(AE642&lt;&gt;"",AE642,AE643)))))&amp;":"&amp;ADDRESS(ROW(AE655),COLUMN(AE655))</f>
        <v>Tablas!$AE$643:$AE$655</v>
      </c>
      <c r="AG759" s="907" t="str">
        <f t="shared" si="151"/>
        <v/>
      </c>
      <c r="AH759" s="86" t="str">
        <f t="shared" si="152"/>
        <v/>
      </c>
      <c r="AI759" s="86" t="str">
        <f t="shared" si="153"/>
        <v>Arco de balas</v>
      </c>
      <c r="AJ759" s="1327">
        <f>IF(OR($L759=AJ$635,$L759="",$D759=$AL$634),MAX(AJ$637:AJ758)+1,0)</f>
        <v>0</v>
      </c>
      <c r="AK759" s="1328">
        <f>IF(OR($L759=AK$635,$L759="",$D759=$AL$634),MAX(AK$637:AK758)+1,0)</f>
        <v>0</v>
      </c>
      <c r="AL759" s="1329">
        <f>IF(OR($L759=AL$635,$L759="",$D759=$AL$634),MAX(AL$637:AL758)+1,0)</f>
        <v>121</v>
      </c>
      <c r="AM759" s="5867"/>
      <c r="AN759" s="907" t="str">
        <f t="shared" si="154"/>
        <v/>
      </c>
      <c r="AO759" s="86" t="str">
        <f t="shared" si="155"/>
        <v/>
      </c>
      <c r="AP759" s="86" t="str">
        <f t="shared" si="156"/>
        <v>Arco de balas</v>
      </c>
      <c r="AQ759" s="1327">
        <f>IF(OR($L759=AQ$635,$L759="",$D759=$AS$634),MAX(AQ$637:AQ758)+1,0)</f>
        <v>0</v>
      </c>
      <c r="AR759" s="1328">
        <f>IF(OR($L759=AR$635,$L759="",$D759=$AS$634),MAX(AR$637:AR758)+1,0)</f>
        <v>0</v>
      </c>
      <c r="AS759" s="1329">
        <f>IF(OR($L759=AS$635,$L759="",$D759=$AS$634),MAX(AS$637:AS758)+1,0)</f>
        <v>121</v>
      </c>
      <c r="AT759" s="5867"/>
      <c r="AU759" s="907" t="str">
        <f t="shared" si="157"/>
        <v/>
      </c>
      <c r="AV759" s="86" t="str">
        <f t="shared" si="158"/>
        <v/>
      </c>
      <c r="AW759" s="86" t="str">
        <f t="shared" si="159"/>
        <v>Arco de balas</v>
      </c>
      <c r="AX759" s="1327">
        <f>IF(OR($L759=AX$635,$L759="",$D759=$AZ$634),MAX(AX$637:AX758)+1,0)</f>
        <v>0</v>
      </c>
      <c r="AY759" s="1328">
        <f>IF(OR($L759=AY$635,$L759="",$D759=$AZ$634),MAX(AY$637:AY758)+1,0)</f>
        <v>0</v>
      </c>
      <c r="AZ759" s="1329">
        <f>IF(OR($L759=AZ$635,$L759="",$D759=$AZ$634),MAX(AZ$637:AZ758)+1,0)</f>
        <v>121</v>
      </c>
      <c r="BA759" s="5867"/>
      <c r="BB759" s="907" t="str">
        <f t="shared" si="160"/>
        <v/>
      </c>
      <c r="BC759" s="86" t="str">
        <f t="shared" si="161"/>
        <v/>
      </c>
      <c r="BD759" s="86" t="str">
        <f t="shared" si="162"/>
        <v>Arco de balas</v>
      </c>
      <c r="BE759" s="1327">
        <f>IF(OR($L759=BE$635,$L759="",$D759=$BG$634),MAX(BE$637:BE758)+1,0)</f>
        <v>0</v>
      </c>
      <c r="BF759" s="1328">
        <f>IF(OR($L759=BF$635,$L759="",$D759=$BG$634),MAX(BF$637:BF758)+1,0)</f>
        <v>0</v>
      </c>
      <c r="BG759" s="1329">
        <f>IF(OR($L759=BG$635,$L759="",$D759=$BG$634),MAX(BG$637:BG758)+1,0)</f>
        <v>121</v>
      </c>
      <c r="BH759" s="5867"/>
      <c r="BI759" s="907" t="str">
        <f t="shared" si="163"/>
        <v/>
      </c>
      <c r="BJ759" s="86" t="str">
        <f t="shared" si="164"/>
        <v/>
      </c>
      <c r="BK759" s="86" t="str">
        <f t="shared" si="165"/>
        <v>Arco de balas</v>
      </c>
      <c r="BL759" s="1327">
        <f>IF(OR($L759=BL$635,$L759="",$D759=$BN$634),MAX(BL$637:BL758)+1,0)</f>
        <v>0</v>
      </c>
      <c r="BM759" s="1328">
        <f>IF(OR($L759=BM$635,$L759="",$D759=$BN$634),MAX(BM$637:BM758)+1,0)</f>
        <v>0</v>
      </c>
      <c r="BN759" s="1329">
        <f>IF(OR($L759=BN$635,$L759="",$D759=$BN$634),MAX(BN$637:BN758)+1,0)</f>
        <v>121</v>
      </c>
      <c r="BO759" s="5867"/>
      <c r="BP759" s="907" t="str">
        <f t="shared" si="166"/>
        <v/>
      </c>
      <c r="BQ759" s="86" t="str">
        <f t="shared" si="167"/>
        <v/>
      </c>
      <c r="BR759" s="86" t="str">
        <f t="shared" si="168"/>
        <v>Arco de balas</v>
      </c>
      <c r="BS759" s="1327">
        <f>IF(OR($L759=BS$635,$L759="",$D759=$BU$634),MAX(BS$637:BS758)+1,0)</f>
        <v>0</v>
      </c>
      <c r="BT759" s="1328">
        <f>IF(OR($L759=BT$635,$L759="",$D759=$BU$634),MAX(BT$637:BT758)+1,0)</f>
        <v>0</v>
      </c>
      <c r="BU759" s="1329">
        <f>IF(OR($L759=BU$635,$L759="",$D759=$BU$634),MAX(BU$637:BU758)+1,0)</f>
        <v>121</v>
      </c>
    </row>
    <row r="760" spans="1:73" ht="12.75" customHeight="1" x14ac:dyDescent="0.2">
      <c r="A760" s="237">
        <v>760</v>
      </c>
      <c r="B760" s="5838"/>
      <c r="C760" s="1208"/>
      <c r="D760" s="2957" t="s">
        <v>7168</v>
      </c>
      <c r="E760" s="2956">
        <f>IF(FUE+2&lt;1,0,VLOOKUP(FUE+2,Tablas!$C$14:$D$33,2))-Bono_Fue</f>
        <v>-20</v>
      </c>
      <c r="F760" s="2956">
        <v>-10</v>
      </c>
      <c r="G760" s="2956">
        <v>4</v>
      </c>
      <c r="H760" s="2956">
        <v>4</v>
      </c>
      <c r="I760" s="2956" t="s">
        <v>1459</v>
      </c>
      <c r="J760" s="2956" t="s">
        <v>1459</v>
      </c>
      <c r="K760" s="2947" t="s">
        <v>7473</v>
      </c>
      <c r="L760" s="2956" t="str">
        <f t="shared" si="171"/>
        <v>Distinta</v>
      </c>
      <c r="M760" s="2962">
        <v>6</v>
      </c>
      <c r="N760" s="2962">
        <v>-3</v>
      </c>
      <c r="O760" s="2962">
        <v>15</v>
      </c>
      <c r="P760" s="2956"/>
      <c r="Q760" s="2956"/>
      <c r="R760" s="2956" t="s">
        <v>1459</v>
      </c>
      <c r="S760" s="2956">
        <v>1</v>
      </c>
      <c r="T760" s="2956">
        <v>40</v>
      </c>
      <c r="U760" s="2956"/>
      <c r="V760" s="2947" t="s">
        <v>7219</v>
      </c>
      <c r="W760" s="2947"/>
      <c r="X760" s="2945"/>
      <c r="Y760" s="2886">
        <v>0</v>
      </c>
      <c r="Z760" s="1326" t="str">
        <f t="shared" si="172"/>
        <v/>
      </c>
      <c r="AG760" s="907" t="str">
        <f t="shared" si="151"/>
        <v/>
      </c>
      <c r="AH760" s="86" t="str">
        <f t="shared" si="152"/>
        <v/>
      </c>
      <c r="AI760" s="86" t="str">
        <f t="shared" si="153"/>
        <v>Arco largo</v>
      </c>
      <c r="AJ760" s="1327">
        <f>IF(OR($L760=AJ$635,$L760="",$D760=$AL$634),MAX(AJ$637:AJ759)+1,0)</f>
        <v>0</v>
      </c>
      <c r="AK760" s="1328">
        <f>IF(OR($L760=AK$635,$L760="",$D760=$AL$634),MAX(AK$637:AK759)+1,0)</f>
        <v>0</v>
      </c>
      <c r="AL760" s="1329">
        <f>IF(OR($L760=AL$635,$L760="",$D760=$AL$634),MAX(AL$637:AL759)+1,0)</f>
        <v>122</v>
      </c>
      <c r="AM760" s="5867"/>
      <c r="AN760" s="907" t="str">
        <f t="shared" si="154"/>
        <v/>
      </c>
      <c r="AO760" s="86" t="str">
        <f t="shared" si="155"/>
        <v/>
      </c>
      <c r="AP760" s="86" t="str">
        <f t="shared" si="156"/>
        <v>Arco largo</v>
      </c>
      <c r="AQ760" s="1327">
        <f>IF(OR($L760=AQ$635,$L760="",$D760=$AS$634),MAX(AQ$637:AQ759)+1,0)</f>
        <v>0</v>
      </c>
      <c r="AR760" s="1328">
        <f>IF(OR($L760=AR$635,$L760="",$D760=$AS$634),MAX(AR$637:AR759)+1,0)</f>
        <v>0</v>
      </c>
      <c r="AS760" s="1329">
        <f>IF(OR($L760=AS$635,$L760="",$D760=$AS$634),MAX(AS$637:AS759)+1,0)</f>
        <v>122</v>
      </c>
      <c r="AT760" s="5867"/>
      <c r="AU760" s="907" t="str">
        <f t="shared" si="157"/>
        <v/>
      </c>
      <c r="AV760" s="86" t="str">
        <f t="shared" si="158"/>
        <v/>
      </c>
      <c r="AW760" s="86" t="str">
        <f t="shared" si="159"/>
        <v>Arco largo</v>
      </c>
      <c r="AX760" s="1327">
        <f>IF(OR($L760=AX$635,$L760="",$D760=$AZ$634),MAX(AX$637:AX759)+1,0)</f>
        <v>0</v>
      </c>
      <c r="AY760" s="1328">
        <f>IF(OR($L760=AY$635,$L760="",$D760=$AZ$634),MAX(AY$637:AY759)+1,0)</f>
        <v>0</v>
      </c>
      <c r="AZ760" s="1329">
        <f>IF(OR($L760=AZ$635,$L760="",$D760=$AZ$634),MAX(AZ$637:AZ759)+1,0)</f>
        <v>122</v>
      </c>
      <c r="BA760" s="5867"/>
      <c r="BB760" s="907" t="str">
        <f t="shared" si="160"/>
        <v/>
      </c>
      <c r="BC760" s="86" t="str">
        <f t="shared" si="161"/>
        <v/>
      </c>
      <c r="BD760" s="86" t="str">
        <f t="shared" si="162"/>
        <v>Arco largo</v>
      </c>
      <c r="BE760" s="1327">
        <f>IF(OR($L760=BE$635,$L760="",$D760=$BG$634),MAX(BE$637:BE759)+1,0)</f>
        <v>0</v>
      </c>
      <c r="BF760" s="1328">
        <f>IF(OR($L760=BF$635,$L760="",$D760=$BG$634),MAX(BF$637:BF759)+1,0)</f>
        <v>0</v>
      </c>
      <c r="BG760" s="1329">
        <f>IF(OR($L760=BG$635,$L760="",$D760=$BG$634),MAX(BG$637:BG759)+1,0)</f>
        <v>122</v>
      </c>
      <c r="BH760" s="5867"/>
      <c r="BI760" s="907" t="str">
        <f t="shared" si="163"/>
        <v/>
      </c>
      <c r="BJ760" s="86" t="str">
        <f t="shared" si="164"/>
        <v/>
      </c>
      <c r="BK760" s="86" t="str">
        <f t="shared" si="165"/>
        <v>Arco largo</v>
      </c>
      <c r="BL760" s="1327">
        <f>IF(OR($L760=BL$635,$L760="",$D760=$BN$634),MAX(BL$637:BL759)+1,0)</f>
        <v>0</v>
      </c>
      <c r="BM760" s="1328">
        <f>IF(OR($L760=BM$635,$L760="",$D760=$BN$634),MAX(BM$637:BM759)+1,0)</f>
        <v>0</v>
      </c>
      <c r="BN760" s="1329">
        <f>IF(OR($L760=BN$635,$L760="",$D760=$BN$634),MAX(BN$637:BN759)+1,0)</f>
        <v>122</v>
      </c>
      <c r="BO760" s="5867"/>
      <c r="BP760" s="907" t="str">
        <f t="shared" si="166"/>
        <v/>
      </c>
      <c r="BQ760" s="86" t="str">
        <f t="shared" si="167"/>
        <v/>
      </c>
      <c r="BR760" s="86" t="str">
        <f t="shared" si="168"/>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838"/>
      <c r="C761" s="1208"/>
      <c r="D761" s="2957" t="s">
        <v>2208</v>
      </c>
      <c r="E761" s="2956">
        <v>0</v>
      </c>
      <c r="F761" s="2956">
        <v>-30</v>
      </c>
      <c r="G761" s="2956">
        <v>7</v>
      </c>
      <c r="H761" s="2956">
        <v>7</v>
      </c>
      <c r="I761" s="2956" t="s">
        <v>1459</v>
      </c>
      <c r="J761" s="2956" t="s">
        <v>1459</v>
      </c>
      <c r="K761" s="2947" t="s">
        <v>7473</v>
      </c>
      <c r="L761" s="2956" t="str">
        <f t="shared" si="171"/>
        <v>Distinta</v>
      </c>
      <c r="M761" s="2962">
        <v>8</v>
      </c>
      <c r="N761" s="2962">
        <v>-2</v>
      </c>
      <c r="O761" s="2962">
        <v>20</v>
      </c>
      <c r="P761" s="2956"/>
      <c r="Q761" s="2956"/>
      <c r="R761" s="2956" t="s">
        <v>1459</v>
      </c>
      <c r="S761" s="2956">
        <v>1</v>
      </c>
      <c r="T761" s="2956">
        <v>60</v>
      </c>
      <c r="U761" s="2956"/>
      <c r="V761" s="2947" t="s">
        <v>1583</v>
      </c>
      <c r="W761" s="2947"/>
      <c r="X761" s="2945"/>
      <c r="Y761" s="2886">
        <v>0</v>
      </c>
      <c r="Z761" s="1326" t="str">
        <f t="shared" si="172"/>
        <v/>
      </c>
      <c r="AG761" s="907" t="str">
        <f t="shared" si="151"/>
        <v/>
      </c>
      <c r="AH761" s="86" t="str">
        <f t="shared" si="152"/>
        <v/>
      </c>
      <c r="AI761" s="86" t="str">
        <f t="shared" si="153"/>
        <v>Atlatl</v>
      </c>
      <c r="AJ761" s="1327">
        <f>IF(OR($L761=AJ$635,$L761="",$D761=$AL$634),MAX(AJ$637:AJ760)+1,0)</f>
        <v>0</v>
      </c>
      <c r="AK761" s="1328">
        <f>IF(OR($L761=AK$635,$L761="",$D761=$AL$634),MAX(AK$637:AK760)+1,0)</f>
        <v>0</v>
      </c>
      <c r="AL761" s="1329">
        <f>IF(OR($L761=AL$635,$L761="",$D761=$AL$634),MAX(AL$637:AL760)+1,0)</f>
        <v>123</v>
      </c>
      <c r="AM761" s="5867"/>
      <c r="AN761" s="907" t="str">
        <f t="shared" si="154"/>
        <v/>
      </c>
      <c r="AO761" s="86" t="str">
        <f t="shared" si="155"/>
        <v/>
      </c>
      <c r="AP761" s="86" t="str">
        <f t="shared" si="156"/>
        <v>Atlatl</v>
      </c>
      <c r="AQ761" s="1327">
        <f>IF(OR($L761=AQ$635,$L761="",$D761=$AS$634),MAX(AQ$637:AQ760)+1,0)</f>
        <v>0</v>
      </c>
      <c r="AR761" s="1328">
        <f>IF(OR($L761=AR$635,$L761="",$D761=$AS$634),MAX(AR$637:AR760)+1,0)</f>
        <v>0</v>
      </c>
      <c r="AS761" s="1329">
        <f>IF(OR($L761=AS$635,$L761="",$D761=$AS$634),MAX(AS$637:AS760)+1,0)</f>
        <v>123</v>
      </c>
      <c r="AT761" s="5867"/>
      <c r="AU761" s="907" t="str">
        <f t="shared" si="157"/>
        <v/>
      </c>
      <c r="AV761" s="86" t="str">
        <f t="shared" si="158"/>
        <v/>
      </c>
      <c r="AW761" s="86" t="str">
        <f t="shared" si="159"/>
        <v>Atlatl</v>
      </c>
      <c r="AX761" s="1327">
        <f>IF(OR($L761=AX$635,$L761="",$D761=$AZ$634),MAX(AX$637:AX760)+1,0)</f>
        <v>0</v>
      </c>
      <c r="AY761" s="1328">
        <f>IF(OR($L761=AY$635,$L761="",$D761=$AZ$634),MAX(AY$637:AY760)+1,0)</f>
        <v>0</v>
      </c>
      <c r="AZ761" s="1329">
        <f>IF(OR($L761=AZ$635,$L761="",$D761=$AZ$634),MAX(AZ$637:AZ760)+1,0)</f>
        <v>123</v>
      </c>
      <c r="BA761" s="5867"/>
      <c r="BB761" s="907" t="str">
        <f t="shared" si="160"/>
        <v/>
      </c>
      <c r="BC761" s="86" t="str">
        <f t="shared" si="161"/>
        <v/>
      </c>
      <c r="BD761" s="86" t="str">
        <f t="shared" si="162"/>
        <v>Atlatl</v>
      </c>
      <c r="BE761" s="1327">
        <f>IF(OR($L761=BE$635,$L761="",$D761=$BG$634),MAX(BE$637:BE760)+1,0)</f>
        <v>0</v>
      </c>
      <c r="BF761" s="1328">
        <f>IF(OR($L761=BF$635,$L761="",$D761=$BG$634),MAX(BF$637:BF760)+1,0)</f>
        <v>0</v>
      </c>
      <c r="BG761" s="1329">
        <f>IF(OR($L761=BG$635,$L761="",$D761=$BG$634),MAX(BG$637:BG760)+1,0)</f>
        <v>123</v>
      </c>
      <c r="BH761" s="5867"/>
      <c r="BI761" s="907" t="str">
        <f t="shared" si="163"/>
        <v/>
      </c>
      <c r="BJ761" s="86" t="str">
        <f t="shared" si="164"/>
        <v/>
      </c>
      <c r="BK761" s="86" t="str">
        <f t="shared" si="165"/>
        <v>Atlatl</v>
      </c>
      <c r="BL761" s="1327">
        <f>IF(OR($L761=BL$635,$L761="",$D761=$BN$634),MAX(BL$637:BL760)+1,0)</f>
        <v>0</v>
      </c>
      <c r="BM761" s="1328">
        <f>IF(OR($L761=BM$635,$L761="",$D761=$BN$634),MAX(BM$637:BM760)+1,0)</f>
        <v>0</v>
      </c>
      <c r="BN761" s="1329">
        <f>IF(OR($L761=BN$635,$L761="",$D761=$BN$634),MAX(BN$637:BN760)+1,0)</f>
        <v>123</v>
      </c>
      <c r="BO761" s="5867"/>
      <c r="BP761" s="907" t="str">
        <f t="shared" si="166"/>
        <v/>
      </c>
      <c r="BQ761" s="86" t="str">
        <f t="shared" si="167"/>
        <v/>
      </c>
      <c r="BR761" s="86" t="str">
        <f t="shared" si="168"/>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838"/>
      <c r="C762" s="1208"/>
      <c r="D762" s="2957" t="s">
        <v>7172</v>
      </c>
      <c r="E762" s="2956">
        <v>0</v>
      </c>
      <c r="F762" s="2956">
        <v>0</v>
      </c>
      <c r="G762" s="2956">
        <v>5</v>
      </c>
      <c r="H762" s="2956">
        <v>5</v>
      </c>
      <c r="I762" s="2956" t="s">
        <v>1459</v>
      </c>
      <c r="J762" s="2956" t="s">
        <v>1459</v>
      </c>
      <c r="K762" s="2947" t="s">
        <v>7473</v>
      </c>
      <c r="L762" s="2956" t="str">
        <f t="shared" si="171"/>
        <v>Distinta</v>
      </c>
      <c r="M762" s="2962">
        <v>8</v>
      </c>
      <c r="N762" s="2962">
        <v>-4</v>
      </c>
      <c r="O762" s="2962">
        <v>10</v>
      </c>
      <c r="P762" s="2956"/>
      <c r="Q762" s="2956"/>
      <c r="R762" s="2956" t="s">
        <v>1459</v>
      </c>
      <c r="S762" s="2956">
        <v>1</v>
      </c>
      <c r="T762" s="2956">
        <v>30</v>
      </c>
      <c r="U762" s="2956">
        <f>FUE+2</f>
        <v>2</v>
      </c>
      <c r="V762" s="2947" t="s">
        <v>2158</v>
      </c>
      <c r="W762" s="2947"/>
      <c r="X762" s="2945"/>
      <c r="Y762" s="2886">
        <v>0</v>
      </c>
      <c r="Z762" s="1326" t="str">
        <f t="shared" si="172"/>
        <v/>
      </c>
      <c r="AG762" s="907" t="str">
        <f t="shared" si="151"/>
        <v/>
      </c>
      <c r="AH762" s="86" t="str">
        <f t="shared" si="152"/>
        <v/>
      </c>
      <c r="AI762" s="86" t="str">
        <f t="shared" si="153"/>
        <v>Ballesta</v>
      </c>
      <c r="AJ762" s="1327">
        <f>IF(OR($L762=AJ$635,$L762="",$D762=$AL$634),MAX(AJ$637:AJ761)+1,0)</f>
        <v>0</v>
      </c>
      <c r="AK762" s="1328">
        <f>IF(OR($L762=AK$635,$L762="",$D762=$AL$634),MAX(AK$637:AK761)+1,0)</f>
        <v>0</v>
      </c>
      <c r="AL762" s="1329">
        <f>IF(OR($L762=AL$635,$L762="",$D762=$AL$634),MAX(AL$637:AL761)+1,0)</f>
        <v>124</v>
      </c>
      <c r="AM762" s="5867"/>
      <c r="AN762" s="907" t="str">
        <f t="shared" si="154"/>
        <v/>
      </c>
      <c r="AO762" s="86" t="str">
        <f t="shared" si="155"/>
        <v/>
      </c>
      <c r="AP762" s="86" t="str">
        <f t="shared" si="156"/>
        <v>Ballesta</v>
      </c>
      <c r="AQ762" s="1327">
        <f>IF(OR($L762=AQ$635,$L762="",$D762=$AS$634),MAX(AQ$637:AQ761)+1,0)</f>
        <v>0</v>
      </c>
      <c r="AR762" s="1328">
        <f>IF(OR($L762=AR$635,$L762="",$D762=$AS$634),MAX(AR$637:AR761)+1,0)</f>
        <v>0</v>
      </c>
      <c r="AS762" s="1329">
        <f>IF(OR($L762=AS$635,$L762="",$D762=$AS$634),MAX(AS$637:AS761)+1,0)</f>
        <v>124</v>
      </c>
      <c r="AT762" s="5867"/>
      <c r="AU762" s="907" t="str">
        <f t="shared" si="157"/>
        <v/>
      </c>
      <c r="AV762" s="86" t="str">
        <f t="shared" si="158"/>
        <v/>
      </c>
      <c r="AW762" s="86" t="str">
        <f t="shared" si="159"/>
        <v>Ballesta</v>
      </c>
      <c r="AX762" s="1327">
        <f>IF(OR($L762=AX$635,$L762="",$D762=$AZ$634),MAX(AX$637:AX761)+1,0)</f>
        <v>0</v>
      </c>
      <c r="AY762" s="1328">
        <f>IF(OR($L762=AY$635,$L762="",$D762=$AZ$634),MAX(AY$637:AY761)+1,0)</f>
        <v>0</v>
      </c>
      <c r="AZ762" s="1329">
        <f>IF(OR($L762=AZ$635,$L762="",$D762=$AZ$634),MAX(AZ$637:AZ761)+1,0)</f>
        <v>124</v>
      </c>
      <c r="BA762" s="5867"/>
      <c r="BB762" s="907" t="str">
        <f t="shared" si="160"/>
        <v/>
      </c>
      <c r="BC762" s="86" t="str">
        <f t="shared" si="161"/>
        <v/>
      </c>
      <c r="BD762" s="86" t="str">
        <f t="shared" si="162"/>
        <v>Ballesta</v>
      </c>
      <c r="BE762" s="1327">
        <f>IF(OR($L762=BE$635,$L762="",$D762=$BG$634),MAX(BE$637:BE761)+1,0)</f>
        <v>0</v>
      </c>
      <c r="BF762" s="1328">
        <f>IF(OR($L762=BF$635,$L762="",$D762=$BG$634),MAX(BF$637:BF761)+1,0)</f>
        <v>0</v>
      </c>
      <c r="BG762" s="1329">
        <f>IF(OR($L762=BG$635,$L762="",$D762=$BG$634),MAX(BG$637:BG761)+1,0)</f>
        <v>124</v>
      </c>
      <c r="BH762" s="5867"/>
      <c r="BI762" s="907" t="str">
        <f t="shared" si="163"/>
        <v/>
      </c>
      <c r="BJ762" s="86" t="str">
        <f t="shared" si="164"/>
        <v/>
      </c>
      <c r="BK762" s="86" t="str">
        <f t="shared" si="165"/>
        <v>Ballesta</v>
      </c>
      <c r="BL762" s="1327">
        <f>IF(OR($L762=BL$635,$L762="",$D762=$BN$634),MAX(BL$637:BL761)+1,0)</f>
        <v>0</v>
      </c>
      <c r="BM762" s="1328">
        <f>IF(OR($L762=BM$635,$L762="",$D762=$BN$634),MAX(BM$637:BM761)+1,0)</f>
        <v>0</v>
      </c>
      <c r="BN762" s="1329">
        <f>IF(OR($L762=BN$635,$L762="",$D762=$BN$634),MAX(BN$637:BN761)+1,0)</f>
        <v>124</v>
      </c>
      <c r="BO762" s="5867"/>
      <c r="BP762" s="907" t="str">
        <f t="shared" si="166"/>
        <v/>
      </c>
      <c r="BQ762" s="86" t="str">
        <f t="shared" si="167"/>
        <v/>
      </c>
      <c r="BR762" s="86" t="str">
        <f t="shared" si="168"/>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838"/>
      <c r="C763" s="1208"/>
      <c r="D763" s="2957" t="s">
        <v>2209</v>
      </c>
      <c r="E763" s="2956">
        <v>0</v>
      </c>
      <c r="F763" s="2956">
        <v>0</v>
      </c>
      <c r="G763" s="2956">
        <v>8</v>
      </c>
      <c r="H763" s="2956">
        <v>4</v>
      </c>
      <c r="I763" s="2956" t="s">
        <v>1459</v>
      </c>
      <c r="J763" s="2956" t="s">
        <v>1459</v>
      </c>
      <c r="K763" s="2947" t="s">
        <v>7473</v>
      </c>
      <c r="L763" s="2963"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2962">
        <v>8</v>
      </c>
      <c r="N763" s="2962">
        <v>-2</v>
      </c>
      <c r="O763" s="2962">
        <v>20</v>
      </c>
      <c r="P763" s="2956"/>
      <c r="Q763" s="2956"/>
      <c r="R763" s="2956" t="s">
        <v>1459</v>
      </c>
      <c r="S763" s="2956">
        <v>2</v>
      </c>
      <c r="T763" s="2956">
        <v>60</v>
      </c>
      <c r="U763" s="2956">
        <v>8</v>
      </c>
      <c r="V763" s="2947" t="s">
        <v>2210</v>
      </c>
      <c r="W763" s="2947"/>
      <c r="X763" s="2945"/>
      <c r="Y763" s="2886">
        <v>0</v>
      </c>
      <c r="Z763" s="1326" t="str">
        <f t="shared" si="172"/>
        <v/>
      </c>
      <c r="AG763" s="907" t="str">
        <f t="shared" si="151"/>
        <v/>
      </c>
      <c r="AH763" s="86" t="str">
        <f t="shared" si="152"/>
        <v/>
      </c>
      <c r="AI763" s="86" t="str">
        <f t="shared" si="153"/>
        <v>Ballesta de mano</v>
      </c>
      <c r="AJ763" s="1327">
        <f>IF(OR($L763=AJ$635,$L763="",$D763=$AL$634),MAX(AJ$637:AJ762)+1,0)</f>
        <v>0</v>
      </c>
      <c r="AK763" s="1328">
        <f>IF(OR($L763=AK$635,$L763="",$D763=$AL$634),MAX(AK$637:AK762)+1,0)</f>
        <v>0</v>
      </c>
      <c r="AL763" s="1329">
        <f>IF(OR($L763=AL$635,$L763="",$D763=$AL$634),MAX(AL$637:AL762)+1,0)</f>
        <v>125</v>
      </c>
      <c r="AM763" s="5867"/>
      <c r="AN763" s="907" t="str">
        <f t="shared" si="154"/>
        <v/>
      </c>
      <c r="AO763" s="86" t="str">
        <f t="shared" si="155"/>
        <v/>
      </c>
      <c r="AP763" s="86" t="str">
        <f t="shared" si="156"/>
        <v>Ballesta de mano</v>
      </c>
      <c r="AQ763" s="1327">
        <f>IF(OR($L763=AQ$635,$L763="",$D763=$AS$634),MAX(AQ$637:AQ762)+1,0)</f>
        <v>0</v>
      </c>
      <c r="AR763" s="1328">
        <f>IF(OR($L763=AR$635,$L763="",$D763=$AS$634),MAX(AR$637:AR762)+1,0)</f>
        <v>0</v>
      </c>
      <c r="AS763" s="1329">
        <f>IF(OR($L763=AS$635,$L763="",$D763=$AS$634),MAX(AS$637:AS762)+1,0)</f>
        <v>125</v>
      </c>
      <c r="AT763" s="5867"/>
      <c r="AU763" s="907" t="str">
        <f t="shared" si="157"/>
        <v/>
      </c>
      <c r="AV763" s="86" t="str">
        <f t="shared" si="158"/>
        <v/>
      </c>
      <c r="AW763" s="86" t="str">
        <f t="shared" si="159"/>
        <v>Ballesta de mano</v>
      </c>
      <c r="AX763" s="1327">
        <f>IF(OR($L763=AX$635,$L763="",$D763=$AZ$634),MAX(AX$637:AX762)+1,0)</f>
        <v>0</v>
      </c>
      <c r="AY763" s="1328">
        <f>IF(OR($L763=AY$635,$L763="",$D763=$AZ$634),MAX(AY$637:AY762)+1,0)</f>
        <v>0</v>
      </c>
      <c r="AZ763" s="1329">
        <f>IF(OR($L763=AZ$635,$L763="",$D763=$AZ$634),MAX(AZ$637:AZ762)+1,0)</f>
        <v>125</v>
      </c>
      <c r="BA763" s="5867"/>
      <c r="BB763" s="907" t="str">
        <f t="shared" si="160"/>
        <v/>
      </c>
      <c r="BC763" s="86" t="str">
        <f t="shared" si="161"/>
        <v/>
      </c>
      <c r="BD763" s="86" t="str">
        <f t="shared" si="162"/>
        <v>Ballesta de mano</v>
      </c>
      <c r="BE763" s="1327">
        <f>IF(OR($L763=BE$635,$L763="",$D763=$BG$634),MAX(BE$637:BE762)+1,0)</f>
        <v>0</v>
      </c>
      <c r="BF763" s="1328">
        <f>IF(OR($L763=BF$635,$L763="",$D763=$BG$634),MAX(BF$637:BF762)+1,0)</f>
        <v>0</v>
      </c>
      <c r="BG763" s="1329">
        <f>IF(OR($L763=BG$635,$L763="",$D763=$BG$634),MAX(BG$637:BG762)+1,0)</f>
        <v>125</v>
      </c>
      <c r="BH763" s="5867"/>
      <c r="BI763" s="907" t="str">
        <f t="shared" si="163"/>
        <v/>
      </c>
      <c r="BJ763" s="86" t="str">
        <f t="shared" si="164"/>
        <v/>
      </c>
      <c r="BK763" s="86" t="str">
        <f t="shared" si="165"/>
        <v>Ballesta de mano</v>
      </c>
      <c r="BL763" s="1327">
        <f>IF(OR($L763=BL$635,$L763="",$D763=$BN$634),MAX(BL$637:BL762)+1,0)</f>
        <v>0</v>
      </c>
      <c r="BM763" s="1328">
        <f>IF(OR($L763=BM$635,$L763="",$D763=$BN$634),MAX(BM$637:BM762)+1,0)</f>
        <v>0</v>
      </c>
      <c r="BN763" s="1329">
        <f>IF(OR($L763=BN$635,$L763="",$D763=$BN$634),MAX(BN$637:BN762)+1,0)</f>
        <v>125</v>
      </c>
      <c r="BO763" s="5867"/>
      <c r="BP763" s="907" t="str">
        <f t="shared" si="166"/>
        <v/>
      </c>
      <c r="BQ763" s="86" t="str">
        <f t="shared" si="167"/>
        <v/>
      </c>
      <c r="BR763" s="86" t="str">
        <f t="shared" si="168"/>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838"/>
      <c r="C764" s="1208"/>
      <c r="D764" s="2957" t="s">
        <v>2211</v>
      </c>
      <c r="E764" s="2956">
        <v>0</v>
      </c>
      <c r="F764" s="2956">
        <v>10</v>
      </c>
      <c r="G764" s="2956">
        <v>3</v>
      </c>
      <c r="H764" s="2956">
        <v>3</v>
      </c>
      <c r="I764" s="2956" t="s">
        <v>1459</v>
      </c>
      <c r="J764" s="2956" t="s">
        <v>1459</v>
      </c>
      <c r="K764" s="2947" t="s">
        <v>7473</v>
      </c>
      <c r="L764" s="2963" t="str">
        <f>$L$763</f>
        <v>Distinta</v>
      </c>
      <c r="M764" s="2962">
        <v>5</v>
      </c>
      <c r="N764" s="2962">
        <v>-4</v>
      </c>
      <c r="O764" s="2962">
        <v>15</v>
      </c>
      <c r="P764" s="2956"/>
      <c r="Q764" s="2956"/>
      <c r="R764" s="2956" t="s">
        <v>1459</v>
      </c>
      <c r="S764" s="2956">
        <v>2</v>
      </c>
      <c r="T764" s="2956">
        <v>30</v>
      </c>
      <c r="U764" s="2956">
        <v>5</v>
      </c>
      <c r="V764" s="2947" t="s">
        <v>2158</v>
      </c>
      <c r="W764" s="2947"/>
      <c r="X764" s="2945"/>
      <c r="Y764" s="2886">
        <v>0</v>
      </c>
      <c r="Z764" s="1330"/>
      <c r="AA764" s="237"/>
      <c r="AC764" s="237"/>
      <c r="AG764" s="907" t="str">
        <f t="shared" si="151"/>
        <v/>
      </c>
      <c r="AH764" s="86" t="str">
        <f t="shared" si="152"/>
        <v/>
      </c>
      <c r="AI764" s="86" t="str">
        <f t="shared" si="153"/>
        <v>Ballesta de repetición</v>
      </c>
      <c r="AJ764" s="1327">
        <f>IF(OR($L764=AJ$635,$L764="",$D764=$AL$634),MAX(AJ$637:AJ763)+1,0)</f>
        <v>0</v>
      </c>
      <c r="AK764" s="1328">
        <f>IF(OR($L764=AK$635,$L764="",$D764=$AL$634),MAX(AK$637:AK763)+1,0)</f>
        <v>0</v>
      </c>
      <c r="AL764" s="1329">
        <f>IF(OR($L764=AL$635,$L764="",$D764=$AL$634),MAX(AL$637:AL763)+1,0)</f>
        <v>126</v>
      </c>
      <c r="AM764" s="5867"/>
      <c r="AN764" s="907" t="str">
        <f t="shared" si="154"/>
        <v/>
      </c>
      <c r="AO764" s="86" t="str">
        <f t="shared" si="155"/>
        <v/>
      </c>
      <c r="AP764" s="86" t="str">
        <f t="shared" si="156"/>
        <v>Ballesta de repetición</v>
      </c>
      <c r="AQ764" s="1327">
        <f>IF(OR($L764=AQ$635,$L764="",$D764=$AS$634),MAX(AQ$637:AQ763)+1,0)</f>
        <v>0</v>
      </c>
      <c r="AR764" s="1328">
        <f>IF(OR($L764=AR$635,$L764="",$D764=$AS$634),MAX(AR$637:AR763)+1,0)</f>
        <v>0</v>
      </c>
      <c r="AS764" s="1329">
        <f>IF(OR($L764=AS$635,$L764="",$D764=$AS$634),MAX(AS$637:AS763)+1,0)</f>
        <v>126</v>
      </c>
      <c r="AT764" s="5867"/>
      <c r="AU764" s="907" t="str">
        <f t="shared" si="157"/>
        <v/>
      </c>
      <c r="AV764" s="86" t="str">
        <f t="shared" si="158"/>
        <v/>
      </c>
      <c r="AW764" s="86" t="str">
        <f t="shared" si="159"/>
        <v>Ballesta de repetición</v>
      </c>
      <c r="AX764" s="1327">
        <f>IF(OR($L764=AX$635,$L764="",$D764=$AZ$634),MAX(AX$637:AX763)+1,0)</f>
        <v>0</v>
      </c>
      <c r="AY764" s="1328">
        <f>IF(OR($L764=AY$635,$L764="",$D764=$AZ$634),MAX(AY$637:AY763)+1,0)</f>
        <v>0</v>
      </c>
      <c r="AZ764" s="1329">
        <f>IF(OR($L764=AZ$635,$L764="",$D764=$AZ$634),MAX(AZ$637:AZ763)+1,0)</f>
        <v>126</v>
      </c>
      <c r="BA764" s="5867"/>
      <c r="BB764" s="907" t="str">
        <f t="shared" si="160"/>
        <v/>
      </c>
      <c r="BC764" s="86" t="str">
        <f t="shared" si="161"/>
        <v/>
      </c>
      <c r="BD764" s="86" t="str">
        <f t="shared" si="162"/>
        <v>Ballesta de repetición</v>
      </c>
      <c r="BE764" s="1327">
        <f>IF(OR($L764=BE$635,$L764="",$D764=$BG$634),MAX(BE$637:BE763)+1,0)</f>
        <v>0</v>
      </c>
      <c r="BF764" s="1328">
        <f>IF(OR($L764=BF$635,$L764="",$D764=$BG$634),MAX(BF$637:BF763)+1,0)</f>
        <v>0</v>
      </c>
      <c r="BG764" s="1329">
        <f>IF(OR($L764=BG$635,$L764="",$D764=$BG$634),MAX(BG$637:BG763)+1,0)</f>
        <v>126</v>
      </c>
      <c r="BH764" s="5867"/>
      <c r="BI764" s="907" t="str">
        <f t="shared" si="163"/>
        <v/>
      </c>
      <c r="BJ764" s="86" t="str">
        <f t="shared" si="164"/>
        <v/>
      </c>
      <c r="BK764" s="86" t="str">
        <f t="shared" si="165"/>
        <v>Ballesta de repetición</v>
      </c>
      <c r="BL764" s="1327">
        <f>IF(OR($L764=BL$635,$L764="",$D764=$BN$634),MAX(BL$637:BL763)+1,0)</f>
        <v>0</v>
      </c>
      <c r="BM764" s="1328">
        <f>IF(OR($L764=BM$635,$L764="",$D764=$BN$634),MAX(BM$637:BM763)+1,0)</f>
        <v>0</v>
      </c>
      <c r="BN764" s="1329">
        <f>IF(OR($L764=BN$635,$L764="",$D764=$BN$634),MAX(BN$637:BN763)+1,0)</f>
        <v>126</v>
      </c>
      <c r="BO764" s="5867"/>
      <c r="BP764" s="907" t="str">
        <f t="shared" si="166"/>
        <v/>
      </c>
      <c r="BQ764" s="86" t="str">
        <f t="shared" si="167"/>
        <v/>
      </c>
      <c r="BR764" s="86" t="str">
        <f t="shared" si="168"/>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838"/>
      <c r="C765" s="1208"/>
      <c r="D765" s="2957" t="s">
        <v>2212</v>
      </c>
      <c r="E765" s="2956">
        <v>0</v>
      </c>
      <c r="F765" s="2956">
        <v>0</v>
      </c>
      <c r="G765" s="2956">
        <v>8</v>
      </c>
      <c r="H765" s="2956">
        <v>4</v>
      </c>
      <c r="I765" s="2956" t="s">
        <v>1459</v>
      </c>
      <c r="J765" s="2956" t="s">
        <v>1459</v>
      </c>
      <c r="K765" s="2947" t="s">
        <v>7473</v>
      </c>
      <c r="L765" s="2963" t="str">
        <f>$L$763</f>
        <v>Distinta</v>
      </c>
      <c r="M765" s="2962">
        <v>6</v>
      </c>
      <c r="N765" s="2962">
        <v>-2</v>
      </c>
      <c r="O765" s="2962">
        <v>20</v>
      </c>
      <c r="P765" s="2956"/>
      <c r="Q765" s="2956"/>
      <c r="R765" s="2956" t="s">
        <v>1459</v>
      </c>
      <c r="S765" s="2956">
        <v>3</v>
      </c>
      <c r="T765" s="2956">
        <v>60</v>
      </c>
      <c r="U765" s="2956">
        <v>8</v>
      </c>
      <c r="V765" s="2947" t="s">
        <v>2210</v>
      </c>
      <c r="W765" s="2947"/>
      <c r="X765" s="2945"/>
      <c r="Y765" s="2886">
        <v>0</v>
      </c>
      <c r="Z765" s="1330"/>
      <c r="AA765" s="237"/>
      <c r="AC765" s="237"/>
      <c r="AG765" s="907" t="str">
        <f t="shared" si="151"/>
        <v/>
      </c>
      <c r="AH765" s="86" t="str">
        <f t="shared" si="152"/>
        <v/>
      </c>
      <c r="AI765" s="86" t="str">
        <f t="shared" si="153"/>
        <v>Ballesta pesada</v>
      </c>
      <c r="AJ765" s="1327">
        <f>IF(OR($L765=AJ$635,$L765="",$D765=$AL$634),MAX(AJ$637:AJ764)+1,0)</f>
        <v>0</v>
      </c>
      <c r="AK765" s="1328">
        <f>IF(OR($L765=AK$635,$L765="",$D765=$AL$634),MAX(AK$637:AK764)+1,0)</f>
        <v>0</v>
      </c>
      <c r="AL765" s="1329">
        <f>IF(OR($L765=AL$635,$L765="",$D765=$AL$634),MAX(AL$637:AL764)+1,0)</f>
        <v>127</v>
      </c>
      <c r="AM765" s="5867"/>
      <c r="AN765" s="907" t="str">
        <f t="shared" si="154"/>
        <v/>
      </c>
      <c r="AO765" s="86" t="str">
        <f t="shared" si="155"/>
        <v/>
      </c>
      <c r="AP765" s="86" t="str">
        <f t="shared" si="156"/>
        <v>Ballesta pesada</v>
      </c>
      <c r="AQ765" s="1327">
        <f>IF(OR($L765=AQ$635,$L765="",$D765=$AS$634),MAX(AQ$637:AQ764)+1,0)</f>
        <v>0</v>
      </c>
      <c r="AR765" s="1328">
        <f>IF(OR($L765=AR$635,$L765="",$D765=$AS$634),MAX(AR$637:AR764)+1,0)</f>
        <v>0</v>
      </c>
      <c r="AS765" s="1329">
        <f>IF(OR($L765=AS$635,$L765="",$D765=$AS$634),MAX(AS$637:AS764)+1,0)</f>
        <v>127</v>
      </c>
      <c r="AT765" s="5867"/>
      <c r="AU765" s="907" t="str">
        <f t="shared" si="157"/>
        <v/>
      </c>
      <c r="AV765" s="86" t="str">
        <f t="shared" si="158"/>
        <v/>
      </c>
      <c r="AW765" s="86" t="str">
        <f t="shared" si="159"/>
        <v>Ballesta pesada</v>
      </c>
      <c r="AX765" s="1327">
        <f>IF(OR($L765=AX$635,$L765="",$D765=$AZ$634),MAX(AX$637:AX764)+1,0)</f>
        <v>0</v>
      </c>
      <c r="AY765" s="1328">
        <f>IF(OR($L765=AY$635,$L765="",$D765=$AZ$634),MAX(AY$637:AY764)+1,0)</f>
        <v>0</v>
      </c>
      <c r="AZ765" s="1329">
        <f>IF(OR($L765=AZ$635,$L765="",$D765=$AZ$634),MAX(AZ$637:AZ764)+1,0)</f>
        <v>127</v>
      </c>
      <c r="BA765" s="5867"/>
      <c r="BB765" s="907" t="str">
        <f t="shared" si="160"/>
        <v/>
      </c>
      <c r="BC765" s="86" t="str">
        <f t="shared" si="161"/>
        <v/>
      </c>
      <c r="BD765" s="86" t="str">
        <f t="shared" si="162"/>
        <v>Ballesta pesada</v>
      </c>
      <c r="BE765" s="1327">
        <f>IF(OR($L765=BE$635,$L765="",$D765=$BG$634),MAX(BE$637:BE764)+1,0)</f>
        <v>0</v>
      </c>
      <c r="BF765" s="1328">
        <f>IF(OR($L765=BF$635,$L765="",$D765=$BG$634),MAX(BF$637:BF764)+1,0)</f>
        <v>0</v>
      </c>
      <c r="BG765" s="1329">
        <f>IF(OR($L765=BG$635,$L765="",$D765=$BG$634),MAX(BG$637:BG764)+1,0)</f>
        <v>127</v>
      </c>
      <c r="BH765" s="5867"/>
      <c r="BI765" s="907" t="str">
        <f t="shared" si="163"/>
        <v/>
      </c>
      <c r="BJ765" s="86" t="str">
        <f t="shared" si="164"/>
        <v/>
      </c>
      <c r="BK765" s="86" t="str">
        <f t="shared" si="165"/>
        <v>Ballesta pesada</v>
      </c>
      <c r="BL765" s="1327">
        <f>IF(OR($L765=BL$635,$L765="",$D765=$BN$634),MAX(BL$637:BL764)+1,0)</f>
        <v>0</v>
      </c>
      <c r="BM765" s="1328">
        <f>IF(OR($L765=BM$635,$L765="",$D765=$BN$634),MAX(BM$637:BM764)+1,0)</f>
        <v>0</v>
      </c>
      <c r="BN765" s="1329">
        <f>IF(OR($L765=BN$635,$L765="",$D765=$BN$634),MAX(BN$637:BN764)+1,0)</f>
        <v>127</v>
      </c>
      <c r="BO765" s="5867"/>
      <c r="BP765" s="907" t="str">
        <f t="shared" si="166"/>
        <v/>
      </c>
      <c r="BQ765" s="86" t="str">
        <f t="shared" si="167"/>
        <v/>
      </c>
      <c r="BR765" s="86" t="str">
        <f t="shared" si="168"/>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838"/>
      <c r="C766" s="1208"/>
      <c r="D766" s="2957" t="s">
        <v>2213</v>
      </c>
      <c r="E766" s="2956">
        <v>0</v>
      </c>
      <c r="F766" s="2956">
        <v>-20</v>
      </c>
      <c r="G766" s="2956">
        <v>10</v>
      </c>
      <c r="H766" s="2956">
        <v>7</v>
      </c>
      <c r="I766" s="2956" t="s">
        <v>1459</v>
      </c>
      <c r="J766" s="2956" t="s">
        <v>1459</v>
      </c>
      <c r="K766" s="2947" t="s">
        <v>7473</v>
      </c>
      <c r="L766" s="2956" t="str">
        <f>IF(ISNUMBER(SEARCH($D766,Armas_Conocidas)),"Conocida",IF(OR(ISNUMBER(SEARCH(LEFT($K766,SEARCH("/",$K766)),Tipologías_Conocidas)),AND(NOT(ISNUMBER(SEARCH("/-",$K766))),ISNUMBER(SEARCH(MID($K766,SEARCH("/",$K766)+1,LEN($K766)),Tipologías_Conocidas)))),IF(ISNUMBER(SEARCH($K766,Tipologías_Conocidas)),"Similar","Mixta"),"Distinta"))</f>
        <v>Distinta</v>
      </c>
      <c r="M766" s="2962">
        <v>8</v>
      </c>
      <c r="N766" s="2962">
        <v>-1</v>
      </c>
      <c r="O766" s="2962">
        <v>20</v>
      </c>
      <c r="P766" s="2956"/>
      <c r="Q766" s="2956"/>
      <c r="R766" s="2956" t="s">
        <v>1459</v>
      </c>
      <c r="S766" s="2956">
        <v>2</v>
      </c>
      <c r="T766" s="2956">
        <v>80</v>
      </c>
      <c r="U766" s="2956">
        <v>10</v>
      </c>
      <c r="V766" s="2947" t="s">
        <v>2210</v>
      </c>
      <c r="W766" s="2947"/>
      <c r="X766" s="2945"/>
      <c r="Y766" s="2886">
        <v>0</v>
      </c>
      <c r="Z766" s="1326" t="str">
        <f>IF(AND(K766&lt;&gt;"Natural/-",ISNUMBER(SEARCH(D766,Armas_Conocidas))),", "&amp;K766,"")</f>
        <v/>
      </c>
      <c r="AA766" s="237"/>
      <c r="AC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867"/>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867"/>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867"/>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867"/>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867"/>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838"/>
      <c r="C767" s="1208"/>
      <c r="D767" s="2957" t="s">
        <v>2214</v>
      </c>
      <c r="E767" s="2956">
        <v>0</v>
      </c>
      <c r="F767" s="2956">
        <v>-10</v>
      </c>
      <c r="G767" s="2956">
        <v>4</v>
      </c>
      <c r="H767" s="2956">
        <v>4</v>
      </c>
      <c r="I767" s="2956" t="s">
        <v>1459</v>
      </c>
      <c r="J767" s="2956" t="s">
        <v>1459</v>
      </c>
      <c r="K767" s="2947" t="s">
        <v>7473</v>
      </c>
      <c r="L767" s="2956" t="str">
        <f>IF(ISNUMBER(SEARCH($D767,Armas_Conocidas)),"Conocida",IF(OR(ISNUMBER(SEARCH(LEFT($K767,SEARCH("/",$K767)),Tipologías_Conocidas)),AND(NOT(ISNUMBER(SEARCH("/-",$K767))),ISNUMBER(SEARCH(MID($K767,SEARCH("/",$K767)+1,LEN($K767)),Tipologías_Conocidas)))),IF(ISNUMBER(SEARCH($K767,Tipologías_Conocidas)),"Similar","Mixta"),"Distinta"))</f>
        <v>Distinta</v>
      </c>
      <c r="M767" s="2962">
        <v>3</v>
      </c>
      <c r="N767" s="2962">
        <v>-3</v>
      </c>
      <c r="O767" s="2962">
        <v>15</v>
      </c>
      <c r="P767" s="2956"/>
      <c r="Q767" s="2956"/>
      <c r="R767" s="2956" t="s">
        <v>1459</v>
      </c>
      <c r="S767" s="2956">
        <v>1</v>
      </c>
      <c r="T767" s="2956">
        <v>50</v>
      </c>
      <c r="U767" s="2956"/>
      <c r="V767" s="2947" t="s">
        <v>1459</v>
      </c>
      <c r="W767" s="2947"/>
      <c r="X767" s="2945"/>
      <c r="Y767" s="2886">
        <v>0</v>
      </c>
      <c r="Z767" s="1326" t="str">
        <f>IF(AND(K767&lt;&gt;"Natural/-",ISNUMBER(SEARCH(D767,Armas_Conocidas))),", "&amp;K767,"")</f>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867"/>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867"/>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867"/>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867"/>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867"/>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838"/>
      <c r="C768" s="1208"/>
      <c r="D768" s="2957" t="s">
        <v>7178</v>
      </c>
      <c r="E768" s="2956">
        <v>0</v>
      </c>
      <c r="F768" s="2956">
        <v>-30</v>
      </c>
      <c r="G768" s="2956">
        <v>7</v>
      </c>
      <c r="H768" s="2956">
        <v>7</v>
      </c>
      <c r="I768" s="2956" t="s">
        <v>1459</v>
      </c>
      <c r="J768" s="2956" t="s">
        <v>1459</v>
      </c>
      <c r="K768" s="2947" t="s">
        <v>7473</v>
      </c>
      <c r="L768" s="2956" t="str">
        <f>IF(ISNUMBER(SEARCH($D768,Armas_Conocidas)),"Conocida",IF(OR(ISNUMBER(SEARCH(LEFT($K768,SEARCH("/",$K768)),Tipologías_Conocidas)),AND(NOT(ISNUMBER(SEARCH("/-",$K768))),ISNUMBER(SEARCH(MID($K768,SEARCH("/",$K768)+1,LEN($K768)),Tipologías_Conocidas)))),IF(ISNUMBER(SEARCH($K768,Tipologías_Conocidas)),"Similar","Mixta"),"Distinta"))</f>
        <v>Distinta</v>
      </c>
      <c r="M768" s="2962">
        <v>8</v>
      </c>
      <c r="N768" s="2962">
        <v>-2</v>
      </c>
      <c r="O768" s="2962">
        <v>20</v>
      </c>
      <c r="P768" s="2956"/>
      <c r="Q768" s="2956"/>
      <c r="R768" s="2956" t="s">
        <v>1459</v>
      </c>
      <c r="S768" s="2956">
        <v>1</v>
      </c>
      <c r="T768" s="2956">
        <v>90</v>
      </c>
      <c r="U768" s="2956"/>
      <c r="V768" s="2947" t="s">
        <v>1583</v>
      </c>
      <c r="W768" s="2947"/>
      <c r="X768" s="2945"/>
      <c r="Y768" s="2886">
        <v>0</v>
      </c>
      <c r="Z768" s="1326" t="str">
        <f>IF(AND(K768&lt;&gt;"Natural/-",ISNUMBER(SEARCH(D768,Armas_Conocidas))),", "&amp;K768,"")</f>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867"/>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867"/>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867"/>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867"/>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867"/>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838"/>
      <c r="C769" s="1208"/>
      <c r="D769" s="2957" t="s">
        <v>2215</v>
      </c>
      <c r="E769" s="2956">
        <v>0</v>
      </c>
      <c r="F769" s="2956">
        <v>-40</v>
      </c>
      <c r="G769" s="2956">
        <v>4</v>
      </c>
      <c r="H769" s="2956">
        <v>4</v>
      </c>
      <c r="I769" s="2956" t="s">
        <v>1459</v>
      </c>
      <c r="J769" s="2956" t="s">
        <v>1459</v>
      </c>
      <c r="K769" s="2947" t="s">
        <v>7473</v>
      </c>
      <c r="L769" s="2956" t="str">
        <f t="shared" ref="L769:L770" si="191">IF(ISNUMBER(SEARCH($D769,Armas_Conocidas)),"Conocida",IF(OR(ISNUMBER(SEARCH(LEFT($K769,SEARCH("/",$K769)),Tipologías_Conocidas)),AND(NOT(ISNUMBER(SEARCH("/-",$K769))),ISNUMBER(SEARCH(MID($K769,SEARCH("/",$K769)+1,LEN($K769)),Tipologías_Conocidas)))),IF(ISNUMBER(SEARCH($K769,Tipologías_Conocidas)),"Similar","Mixta"),"Distinta"))</f>
        <v>Distinta</v>
      </c>
      <c r="M769" s="2962">
        <v>3</v>
      </c>
      <c r="N769" s="2962">
        <v>-6</v>
      </c>
      <c r="O769" s="2962">
        <v>10</v>
      </c>
      <c r="P769" s="2956"/>
      <c r="Q769" s="2956"/>
      <c r="R769" s="2956" t="s">
        <v>1459</v>
      </c>
      <c r="S769" s="2956">
        <v>1</v>
      </c>
      <c r="T769" s="2956">
        <v>50</v>
      </c>
      <c r="U769" s="2956"/>
      <c r="V769" s="2947" t="s">
        <v>1459</v>
      </c>
      <c r="W769" s="2947"/>
      <c r="X769" s="2945"/>
      <c r="Y769" s="2886">
        <v>0</v>
      </c>
      <c r="Z769" s="1326" t="str">
        <f t="shared" ref="Z769:Z792" si="192">IF(AND(K769&lt;&gt;"Natural/-",ISNUMBER(SEARCH(D769,Armas_Conocidas))),", "&amp;K769,"")</f>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867"/>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867"/>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867"/>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867"/>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867"/>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838"/>
      <c r="C770" s="1208"/>
      <c r="D770" s="2957" t="s">
        <v>2216</v>
      </c>
      <c r="E770" s="2956">
        <v>0</v>
      </c>
      <c r="F770" s="2956">
        <v>0</v>
      </c>
      <c r="G770" s="2956">
        <v>4</v>
      </c>
      <c r="H770" s="2956">
        <v>4</v>
      </c>
      <c r="I770" s="2956" t="s">
        <v>1459</v>
      </c>
      <c r="J770" s="2956" t="s">
        <v>1459</v>
      </c>
      <c r="K770" s="2947" t="s">
        <v>7473</v>
      </c>
      <c r="L770" s="2956" t="str">
        <f t="shared" si="191"/>
        <v>Distinta</v>
      </c>
      <c r="M770" s="2962">
        <v>8</v>
      </c>
      <c r="N770" s="2962">
        <v>-3</v>
      </c>
      <c r="O770" s="2962">
        <v>20</v>
      </c>
      <c r="P770" s="2956"/>
      <c r="Q770" s="2956"/>
      <c r="R770" s="2956" t="s">
        <v>1459</v>
      </c>
      <c r="S770" s="2956">
        <v>4</v>
      </c>
      <c r="T770" s="2956">
        <v>50</v>
      </c>
      <c r="U770" s="2956">
        <v>9</v>
      </c>
      <c r="V770" s="2947" t="s">
        <v>2191</v>
      </c>
      <c r="W770" s="2947"/>
      <c r="X770" s="2945"/>
      <c r="Y770" s="2886">
        <v>0</v>
      </c>
      <c r="Z770" s="1326" t="str">
        <f t="shared" si="19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867"/>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867"/>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867"/>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867"/>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867"/>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838"/>
      <c r="C771" s="1208"/>
      <c r="D771" s="2652" t="s">
        <v>8498</v>
      </c>
      <c r="E771" s="2947"/>
      <c r="F771" s="2947"/>
      <c r="G771" s="2947"/>
      <c r="H771" s="2947"/>
      <c r="I771" s="2947"/>
      <c r="J771" s="2947"/>
      <c r="K771" s="2947"/>
      <c r="L771" s="2947"/>
      <c r="M771" s="2947"/>
      <c r="N771" s="2947"/>
      <c r="O771" s="2947"/>
      <c r="P771" s="2947"/>
      <c r="Q771" s="2947"/>
      <c r="R771" s="2947"/>
      <c r="S771" s="2947"/>
      <c r="T771" s="2947"/>
      <c r="U771" s="2947"/>
      <c r="V771" s="2947"/>
      <c r="W771" s="2947"/>
      <c r="X771" s="2945"/>
      <c r="Y771" s="2886"/>
      <c r="Z771" s="1326" t="str">
        <f t="shared" si="19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867"/>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867"/>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867"/>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867"/>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867"/>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838"/>
      <c r="C772" s="1208"/>
      <c r="D772" s="2650" t="s">
        <v>8499</v>
      </c>
      <c r="E772" s="2956">
        <v>0</v>
      </c>
      <c r="F772" s="2956">
        <v>-80</v>
      </c>
      <c r="G772" s="2956">
        <v>0</v>
      </c>
      <c r="H772" s="2956">
        <v>0</v>
      </c>
      <c r="I772" s="2956" t="s">
        <v>1459</v>
      </c>
      <c r="J772" s="2956" t="s">
        <v>1459</v>
      </c>
      <c r="K772" s="2947" t="s">
        <v>7473</v>
      </c>
      <c r="L772" s="2956" t="str">
        <f>IF(ISNUMBER(SEARCH($D772,Armas_Conocidas)),"Conocida",IF(OR(ISNUMBER(SEARCH(LEFT($K772,SEARCH("/",$K772)),Tipologías_Conocidas)),AND(NOT(ISNUMBER(SEARCH("/-",$K772))),ISNUMBER(SEARCH(MID($K772,SEARCH("/",$K772)+1,LEN($K772)),Tipologías_Conocidas)))),IF(ISNUMBER(SEARCH($K772,Tipologías_Conocidas)),"Similar","Mixta"),"Distinta"))</f>
        <v>Distinta</v>
      </c>
      <c r="M772" s="2956">
        <v>18</v>
      </c>
      <c r="N772" s="2956" t="s">
        <v>1459</v>
      </c>
      <c r="O772" s="2956">
        <v>25</v>
      </c>
      <c r="P772" s="2956"/>
      <c r="Q772" s="2956"/>
      <c r="R772" s="2956" t="s">
        <v>1459</v>
      </c>
      <c r="S772" s="2956"/>
      <c r="T772" s="2956">
        <v>150</v>
      </c>
      <c r="U772" s="2956">
        <v>10</v>
      </c>
      <c r="V772" s="2947" t="s">
        <v>2158</v>
      </c>
      <c r="W772" s="2947"/>
      <c r="X772" s="2945"/>
      <c r="Y772" s="2886">
        <v>0</v>
      </c>
      <c r="Z772" s="1326" t="str">
        <f t="shared" si="19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867"/>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867"/>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867"/>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867"/>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867"/>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838"/>
      <c r="C773" s="1208"/>
      <c r="D773" s="2650" t="s">
        <v>8500</v>
      </c>
      <c r="E773" s="2956">
        <v>0</v>
      </c>
      <c r="F773" s="2956">
        <v>-100</v>
      </c>
      <c r="G773" s="2956">
        <v>0</v>
      </c>
      <c r="H773" s="2956">
        <v>0</v>
      </c>
      <c r="I773" s="2956" t="s">
        <v>1459</v>
      </c>
      <c r="J773" s="2956" t="s">
        <v>1459</v>
      </c>
      <c r="K773" s="2947" t="s">
        <v>7473</v>
      </c>
      <c r="L773" s="2956" t="str">
        <f>IF(ISNUMBER(SEARCH($D773,Armas_Conocidas)),"Conocida",IF(OR(ISNUMBER(SEARCH(LEFT($K773,SEARCH("/",$K773)),Tipologías_Conocidas)),AND(NOT(ISNUMBER(SEARCH("/-",$K773))),ISNUMBER(SEARCH(MID($K773,SEARCH("/",$K773)+1,LEN($K773)),Tipologías_Conocidas)))),IF(ISNUMBER(SEARCH($K773,Tipologías_Conocidas)),"Similar","Mixta"),"Distinta"))</f>
        <v>Distinta</v>
      </c>
      <c r="M773" s="2956">
        <v>20</v>
      </c>
      <c r="N773" s="2956" t="s">
        <v>1459</v>
      </c>
      <c r="O773" s="2956">
        <v>30</v>
      </c>
      <c r="P773" s="2956"/>
      <c r="Q773" s="2956"/>
      <c r="R773" s="2956" t="s">
        <v>1459</v>
      </c>
      <c r="S773" s="2956"/>
      <c r="T773" s="2956">
        <v>200</v>
      </c>
      <c r="U773" s="2956">
        <v>13</v>
      </c>
      <c r="V773" s="2947" t="s">
        <v>2158</v>
      </c>
      <c r="W773" s="2947"/>
      <c r="X773" s="2945"/>
      <c r="Y773" s="2886">
        <v>0</v>
      </c>
      <c r="Z773" s="1326" t="str">
        <f t="shared" si="19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867"/>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867"/>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867"/>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867"/>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867"/>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838"/>
      <c r="C774" s="1208"/>
      <c r="D774" s="2650" t="s">
        <v>8501</v>
      </c>
      <c r="E774" s="2956">
        <v>0</v>
      </c>
      <c r="F774" s="2956">
        <v>-100</v>
      </c>
      <c r="G774" s="2956">
        <v>0</v>
      </c>
      <c r="H774" s="2956">
        <v>0</v>
      </c>
      <c r="I774" s="2956" t="s">
        <v>1459</v>
      </c>
      <c r="J774" s="2956" t="s">
        <v>1459</v>
      </c>
      <c r="K774" s="2947" t="s">
        <v>7473</v>
      </c>
      <c r="L774" s="2956" t="str">
        <f>IF(ISNUMBER(SEARCH($D774,Armas_Conocidas)),"Conocida",IF(OR(ISNUMBER(SEARCH(LEFT($K774,SEARCH("/",$K774)),Tipologías_Conocidas)),AND(NOT(ISNUMBER(SEARCH("/-",$K774))),ISNUMBER(SEARCH(MID($K774,SEARCH("/",$K774)+1,LEN($K774)),Tipologías_Conocidas)))),IF(ISNUMBER(SEARCH($K774,Tipologías_Conocidas)),"Similar","Mixta"),"Distinta"))</f>
        <v>Distinta</v>
      </c>
      <c r="M774" s="2956">
        <v>24</v>
      </c>
      <c r="N774" s="2956" t="s">
        <v>1459</v>
      </c>
      <c r="O774" s="2956">
        <v>30</v>
      </c>
      <c r="P774" s="2956"/>
      <c r="Q774" s="2956"/>
      <c r="R774" s="2956" t="s">
        <v>1459</v>
      </c>
      <c r="S774" s="2956">
        <v>12</v>
      </c>
      <c r="T774" s="2956">
        <v>250</v>
      </c>
      <c r="U774" s="2956">
        <v>14</v>
      </c>
      <c r="V774" s="2947" t="s">
        <v>2158</v>
      </c>
      <c r="W774" s="2947"/>
      <c r="X774" s="2945"/>
      <c r="Y774" s="2886">
        <v>0</v>
      </c>
      <c r="Z774" s="1326" t="str">
        <f t="shared" si="19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867"/>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867"/>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867"/>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867"/>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867"/>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838"/>
      <c r="C775" s="1208"/>
      <c r="D775" s="2957" t="s">
        <v>2217</v>
      </c>
      <c r="E775" s="2952"/>
      <c r="F775" s="2952"/>
      <c r="G775" s="2952"/>
      <c r="H775" s="2952"/>
      <c r="I775" s="2952"/>
      <c r="J775" s="2952"/>
      <c r="K775" s="2946" t="s">
        <v>7453</v>
      </c>
      <c r="L775" s="2952"/>
      <c r="M775" s="2952"/>
      <c r="N775" s="2952"/>
      <c r="O775" s="2952"/>
      <c r="P775" s="2952"/>
      <c r="Q775" s="2952"/>
      <c r="R775" s="2952"/>
      <c r="S775" s="2952"/>
      <c r="T775" s="2952"/>
      <c r="U775" s="2952"/>
      <c r="V775" s="2946"/>
      <c r="W775" s="2946"/>
      <c r="X775" s="2948" t="str">
        <f t="shared" si="148"/>
        <v/>
      </c>
      <c r="Y775" s="1211"/>
      <c r="Z775" s="1326" t="str">
        <f t="shared" si="192"/>
        <v/>
      </c>
      <c r="AA775" s="237"/>
      <c r="AC775" s="237"/>
      <c r="AG775" s="1207" t="str">
        <f>""</f>
        <v/>
      </c>
      <c r="AH775" s="987" t="str">
        <f>""</f>
        <v/>
      </c>
      <c r="AI775" s="987" t="str">
        <f>""</f>
        <v/>
      </c>
      <c r="AJ775" s="1775"/>
      <c r="AK775" s="1332"/>
      <c r="AL775" s="1333"/>
      <c r="AM775" s="5867"/>
      <c r="AN775" s="1207" t="str">
        <f>""</f>
        <v/>
      </c>
      <c r="AO775" s="987" t="str">
        <f>""</f>
        <v/>
      </c>
      <c r="AP775" s="987" t="str">
        <f>""</f>
        <v/>
      </c>
      <c r="AQ775" s="1775"/>
      <c r="AR775" s="1332"/>
      <c r="AS775" s="1333"/>
      <c r="AT775" s="5867"/>
      <c r="AU775" s="1207" t="str">
        <f>""</f>
        <v/>
      </c>
      <c r="AV775" s="987" t="str">
        <f>""</f>
        <v/>
      </c>
      <c r="AW775" s="987" t="str">
        <f>""</f>
        <v/>
      </c>
      <c r="AX775" s="1775"/>
      <c r="AY775" s="1332"/>
      <c r="AZ775" s="1333"/>
      <c r="BA775" s="5867"/>
      <c r="BB775" s="1207" t="str">
        <f>""</f>
        <v/>
      </c>
      <c r="BC775" s="987" t="str">
        <f>""</f>
        <v/>
      </c>
      <c r="BD775" s="987" t="str">
        <f>""</f>
        <v/>
      </c>
      <c r="BE775" s="1775"/>
      <c r="BF775" s="1332"/>
      <c r="BG775" s="1333"/>
      <c r="BH775" s="5867"/>
      <c r="BI775" s="1207" t="str">
        <f>""</f>
        <v/>
      </c>
      <c r="BJ775" s="987" t="str">
        <f>""</f>
        <v/>
      </c>
      <c r="BK775" s="987" t="str">
        <f>""</f>
        <v/>
      </c>
      <c r="BL775" s="1775"/>
      <c r="BM775" s="1332"/>
      <c r="BN775" s="1333"/>
      <c r="BO775" s="5867"/>
      <c r="BP775" s="1207" t="str">
        <f>""</f>
        <v/>
      </c>
      <c r="BQ775" s="987" t="str">
        <f>""</f>
        <v/>
      </c>
      <c r="BR775" s="987" t="str">
        <f>""</f>
        <v/>
      </c>
      <c r="BS775" s="1775"/>
      <c r="BT775" s="1332"/>
      <c r="BU775" s="1333"/>
    </row>
    <row r="776" spans="1:73" ht="12.75" customHeight="1" thickBot="1" x14ac:dyDescent="0.25">
      <c r="A776" s="237">
        <v>776</v>
      </c>
      <c r="B776" s="5838"/>
      <c r="C776" s="1208"/>
      <c r="D776" s="2957" t="s">
        <v>2218</v>
      </c>
      <c r="E776" s="2956">
        <v>60</v>
      </c>
      <c r="F776" s="2956" t="s">
        <v>1459</v>
      </c>
      <c r="G776" s="2956">
        <v>0</v>
      </c>
      <c r="H776" s="2956">
        <v>0</v>
      </c>
      <c r="I776" s="2956" t="s">
        <v>1556</v>
      </c>
      <c r="J776" s="2956" t="s">
        <v>1459</v>
      </c>
      <c r="K776" s="2947" t="s">
        <v>7474</v>
      </c>
      <c r="L776" s="2956"/>
      <c r="M776" s="2962">
        <v>11</v>
      </c>
      <c r="N776" s="2962">
        <v>5</v>
      </c>
      <c r="O776" s="2962">
        <v>15</v>
      </c>
      <c r="P776" s="2956"/>
      <c r="Q776" s="2956"/>
      <c r="R776" s="2956" t="s">
        <v>1459</v>
      </c>
      <c r="S776" s="2956" t="s">
        <v>1459</v>
      </c>
      <c r="T776" s="2956" t="s">
        <v>1459</v>
      </c>
      <c r="U776" s="2956"/>
      <c r="V776" s="5857" t="s">
        <v>2219</v>
      </c>
      <c r="W776" s="5857"/>
      <c r="X776" s="5858"/>
      <c r="Y776" s="2886">
        <v>0</v>
      </c>
      <c r="Z776" s="1326" t="str">
        <f t="shared" si="192"/>
        <v/>
      </c>
      <c r="AA776" s="237"/>
      <c r="AC776" s="237"/>
    </row>
    <row r="777" spans="1:73" ht="12.75" customHeight="1" x14ac:dyDescent="0.2">
      <c r="A777" s="237">
        <v>777</v>
      </c>
      <c r="B777" s="5838"/>
      <c r="C777" s="1208"/>
      <c r="D777" s="2957" t="s">
        <v>8754</v>
      </c>
      <c r="E777" s="2956">
        <v>30</v>
      </c>
      <c r="F777" s="2956" t="s">
        <v>1459</v>
      </c>
      <c r="G777" s="2956">
        <v>0</v>
      </c>
      <c r="H777" s="2956">
        <v>0</v>
      </c>
      <c r="I777" s="2956" t="s">
        <v>1556</v>
      </c>
      <c r="J777" s="2956" t="s">
        <v>1459</v>
      </c>
      <c r="K777" s="2947" t="s">
        <v>7474</v>
      </c>
      <c r="L777" s="2956"/>
      <c r="M777" s="2962">
        <v>6</v>
      </c>
      <c r="N777" s="2962">
        <v>1</v>
      </c>
      <c r="O777" s="2962">
        <v>10</v>
      </c>
      <c r="P777" s="2956"/>
      <c r="Q777" s="2956"/>
      <c r="R777" s="2956" t="s">
        <v>1459</v>
      </c>
      <c r="S777" s="2956" t="s">
        <v>1459</v>
      </c>
      <c r="T777" s="2956" t="s">
        <v>1459</v>
      </c>
      <c r="U777" s="2956"/>
      <c r="V777" s="2947" t="s">
        <v>8762</v>
      </c>
      <c r="W777" s="2947"/>
      <c r="X777" s="2945"/>
      <c r="Y777" s="2886">
        <v>0</v>
      </c>
      <c r="Z777" s="1326" t="str">
        <f t="shared" si="192"/>
        <v/>
      </c>
      <c r="AA777" s="237"/>
      <c r="AB777" s="5860" t="s">
        <v>8752</v>
      </c>
      <c r="AC777" s="5861"/>
      <c r="AD777" s="5861"/>
      <c r="AE777" s="5861"/>
      <c r="AF777" s="5861"/>
      <c r="AG777" s="5861"/>
      <c r="AH777" s="5861"/>
      <c r="AI777" s="5861"/>
      <c r="AJ777" s="5861"/>
      <c r="AK777" s="5861"/>
      <c r="AL777" s="5861"/>
      <c r="AM777" s="5861"/>
      <c r="AN777" s="5861"/>
      <c r="AO777" s="5861"/>
      <c r="AP777" s="5861"/>
      <c r="AQ777" s="5861"/>
      <c r="AR777" s="5861"/>
      <c r="AS777" s="5861"/>
      <c r="AT777" s="5861"/>
      <c r="AU777" s="5862"/>
    </row>
    <row r="778" spans="1:73" ht="12.75" customHeight="1" x14ac:dyDescent="0.2">
      <c r="A778" s="237">
        <v>778</v>
      </c>
      <c r="B778" s="5838"/>
      <c r="C778" s="1208"/>
      <c r="D778" s="2957" t="s">
        <v>2220</v>
      </c>
      <c r="E778" s="2956">
        <v>150</v>
      </c>
      <c r="F778" s="2956" t="s">
        <v>1459</v>
      </c>
      <c r="G778" s="2956">
        <v>0</v>
      </c>
      <c r="H778" s="2956">
        <v>0</v>
      </c>
      <c r="I778" s="2956" t="s">
        <v>1501</v>
      </c>
      <c r="J778" s="2956" t="s">
        <v>1459</v>
      </c>
      <c r="K778" s="2947" t="s">
        <v>7474</v>
      </c>
      <c r="L778" s="2956"/>
      <c r="M778" s="2962">
        <v>20</v>
      </c>
      <c r="N778" s="2962">
        <v>14</v>
      </c>
      <c r="O778" s="2962">
        <v>15</v>
      </c>
      <c r="P778" s="2956"/>
      <c r="Q778" s="2956"/>
      <c r="R778" s="2956" t="s">
        <v>1459</v>
      </c>
      <c r="S778" s="2956" t="s">
        <v>1459</v>
      </c>
      <c r="T778" s="2956" t="s">
        <v>1459</v>
      </c>
      <c r="U778" s="2956"/>
      <c r="V778" s="5857" t="s">
        <v>2221</v>
      </c>
      <c r="W778" s="5857"/>
      <c r="X778" s="5858"/>
      <c r="Y778" s="2886">
        <v>0</v>
      </c>
      <c r="Z778" s="1326" t="str">
        <f t="shared" si="19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838"/>
      <c r="C779" s="1208"/>
      <c r="D779" s="2957" t="s">
        <v>8789</v>
      </c>
      <c r="E779" s="2956">
        <v>120</v>
      </c>
      <c r="F779" s="2956" t="s">
        <v>1459</v>
      </c>
      <c r="G779" s="2956">
        <v>0</v>
      </c>
      <c r="H779" s="2956">
        <v>0</v>
      </c>
      <c r="I779" s="2956" t="s">
        <v>1501</v>
      </c>
      <c r="J779" s="2956" t="s">
        <v>1459</v>
      </c>
      <c r="K779" s="2947" t="s">
        <v>7474</v>
      </c>
      <c r="L779" s="2956"/>
      <c r="M779" s="2962">
        <v>20</v>
      </c>
      <c r="N779" s="2962">
        <v>14</v>
      </c>
      <c r="O779" s="2962">
        <v>15</v>
      </c>
      <c r="P779" s="2956"/>
      <c r="Q779" s="2956"/>
      <c r="R779" s="2956" t="s">
        <v>1459</v>
      </c>
      <c r="S779" s="2956" t="s">
        <v>1459</v>
      </c>
      <c r="T779" s="2956" t="s">
        <v>1459</v>
      </c>
      <c r="U779" s="2956"/>
      <c r="V779" s="5857" t="s">
        <v>8790</v>
      </c>
      <c r="W779" s="5857"/>
      <c r="X779" s="5858"/>
      <c r="Y779" s="2886">
        <v>0</v>
      </c>
      <c r="Z779" s="1326" t="str">
        <f t="shared" si="192"/>
        <v/>
      </c>
      <c r="AA779" s="237"/>
      <c r="AB779" s="1439" t="s">
        <v>1444</v>
      </c>
      <c r="AC779" s="1440" t="s">
        <v>8759</v>
      </c>
      <c r="AD779" s="5855" t="s">
        <v>8760</v>
      </c>
      <c r="AE779" s="5855"/>
      <c r="AF779" s="5855"/>
      <c r="AG779" s="5855"/>
      <c r="AH779" s="5855"/>
      <c r="AI779" s="5855"/>
      <c r="AJ779" s="5855"/>
      <c r="AK779" s="5855"/>
      <c r="AL779" s="5855"/>
      <c r="AM779" s="5855"/>
      <c r="AN779" s="5855"/>
      <c r="AO779" s="5855"/>
      <c r="AP779" s="5855"/>
      <c r="AQ779" s="5855"/>
      <c r="AR779" s="5855"/>
      <c r="AS779" s="5855"/>
      <c r="AT779" s="5855"/>
      <c r="AU779" s="5856"/>
    </row>
    <row r="780" spans="1:73" ht="12.75" customHeight="1" x14ac:dyDescent="0.2">
      <c r="A780" s="237">
        <v>780</v>
      </c>
      <c r="B780" s="5838"/>
      <c r="C780" s="1208"/>
      <c r="D780" s="2957" t="s">
        <v>8783</v>
      </c>
      <c r="E780" s="2956">
        <v>50</v>
      </c>
      <c r="F780" s="2956" t="s">
        <v>1459</v>
      </c>
      <c r="G780" s="2956">
        <v>0</v>
      </c>
      <c r="H780" s="2956">
        <v>0</v>
      </c>
      <c r="I780" s="2956" t="s">
        <v>1556</v>
      </c>
      <c r="J780" s="2956" t="s">
        <v>1459</v>
      </c>
      <c r="K780" s="2947" t="s">
        <v>7474</v>
      </c>
      <c r="L780" s="2956"/>
      <c r="M780" s="2962">
        <v>11</v>
      </c>
      <c r="N780" s="2962">
        <v>5</v>
      </c>
      <c r="O780" s="2962">
        <v>15</v>
      </c>
      <c r="P780" s="2956"/>
      <c r="Q780" s="2956"/>
      <c r="R780" s="2956" t="s">
        <v>1459</v>
      </c>
      <c r="S780" s="2956" t="s">
        <v>1459</v>
      </c>
      <c r="T780" s="2956" t="s">
        <v>1459</v>
      </c>
      <c r="U780" s="2956"/>
      <c r="V780" s="2947" t="s">
        <v>8788</v>
      </c>
      <c r="W780" s="2947"/>
      <c r="X780" s="2945"/>
      <c r="Y780" s="2886">
        <v>0</v>
      </c>
      <c r="Z780" s="1326" t="str">
        <f t="shared" si="192"/>
        <v/>
      </c>
      <c r="AA780" s="237"/>
      <c r="AB780" s="1453" t="str">
        <f>IF(ISNUMBER(FIND("Proyectil",VLOOKUP($D640,Tabla_ArmasyEscudos,8,0))),$D640,"-")</f>
        <v>-</v>
      </c>
      <c r="AC780" s="1456" t="str">
        <f t="shared" ref="AC780:AC782" si="193">"Tablas!"&amp;ADDRESS(ROW(AD780),COLUMN(AD780))&amp;":"&amp;ADDRESS(ROW(AD780),COLUMN(AD780)+AU$778-AD$778-COUNTBLANK(AD780:AU780))</f>
        <v>Tablas!$AD$780:$AR$780</v>
      </c>
      <c r="AD780" s="1448" t="s">
        <v>2218</v>
      </c>
      <c r="AE780" s="1445" t="s">
        <v>8754</v>
      </c>
      <c r="AF780" s="1445" t="s">
        <v>2220</v>
      </c>
      <c r="AG780" s="1445" t="s">
        <v>2222</v>
      </c>
      <c r="AH780" s="1445" t="s">
        <v>2224</v>
      </c>
      <c r="AI780" s="1445" t="s">
        <v>2226</v>
      </c>
      <c r="AJ780" s="1445" t="s">
        <v>2227</v>
      </c>
      <c r="AK780" s="1445" t="s">
        <v>2155</v>
      </c>
      <c r="AL780" s="1445" t="s">
        <v>8756</v>
      </c>
      <c r="AM780" s="1445" t="s">
        <v>8755</v>
      </c>
      <c r="AN780" s="1445" t="s">
        <v>2229</v>
      </c>
      <c r="AO780" s="1445" t="s">
        <v>2231</v>
      </c>
      <c r="AP780" s="1445" t="s">
        <v>2233</v>
      </c>
      <c r="AQ780" s="1445" t="s">
        <v>8757</v>
      </c>
      <c r="AR780" s="1445" t="s">
        <v>8758</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838"/>
      <c r="C781" s="1208"/>
      <c r="D781" s="2957" t="s">
        <v>2222</v>
      </c>
      <c r="E781" s="2956">
        <v>5</v>
      </c>
      <c r="F781" s="2956" t="s">
        <v>1459</v>
      </c>
      <c r="G781" s="2956">
        <v>0</v>
      </c>
      <c r="H781" s="2956">
        <v>0</v>
      </c>
      <c r="I781" s="2956" t="s">
        <v>1556</v>
      </c>
      <c r="J781" s="2956" t="s">
        <v>1459</v>
      </c>
      <c r="K781" s="2947" t="s">
        <v>7474</v>
      </c>
      <c r="L781" s="2956"/>
      <c r="M781" s="2962">
        <v>2</v>
      </c>
      <c r="N781" s="2962">
        <v>-4</v>
      </c>
      <c r="O781" s="2962">
        <v>15</v>
      </c>
      <c r="P781" s="2956"/>
      <c r="Q781" s="2956"/>
      <c r="R781" s="2956" t="s">
        <v>1459</v>
      </c>
      <c r="S781" s="2956" t="s">
        <v>1459</v>
      </c>
      <c r="T781" s="2956" t="s">
        <v>1459</v>
      </c>
      <c r="U781" s="2956"/>
      <c r="V781" s="5857" t="s">
        <v>2223</v>
      </c>
      <c r="W781" s="5857"/>
      <c r="X781" s="5858"/>
      <c r="Y781" s="2886">
        <v>0</v>
      </c>
      <c r="Z781" s="1326" t="str">
        <f t="shared" si="192"/>
        <v/>
      </c>
      <c r="AA781" s="237"/>
      <c r="AB781" s="1453" t="str">
        <f>IF(ISNUMBER(FIND("Proyectil",VLOOKUP($D641,Tabla_ArmasyEscudos,8,0))),$D641,"-")</f>
        <v>-</v>
      </c>
      <c r="AC781" s="1456" t="str">
        <f t="shared" si="193"/>
        <v>Tablas!$AD$781:$AR$781</v>
      </c>
      <c r="AD781" s="1449" t="s">
        <v>2218</v>
      </c>
      <c r="AE781" s="1445" t="s">
        <v>8754</v>
      </c>
      <c r="AF781" s="1445" t="s">
        <v>2220</v>
      </c>
      <c r="AG781" s="1445" t="s">
        <v>2222</v>
      </c>
      <c r="AH781" s="1445" t="s">
        <v>2224</v>
      </c>
      <c r="AI781" s="1445" t="s">
        <v>2226</v>
      </c>
      <c r="AJ781" s="1445" t="s">
        <v>2227</v>
      </c>
      <c r="AK781" s="1445" t="s">
        <v>2155</v>
      </c>
      <c r="AL781" s="1445" t="s">
        <v>8756</v>
      </c>
      <c r="AM781" s="1445" t="s">
        <v>8755</v>
      </c>
      <c r="AN781" s="1445" t="s">
        <v>2229</v>
      </c>
      <c r="AO781" s="1445" t="s">
        <v>2231</v>
      </c>
      <c r="AP781" s="1445" t="s">
        <v>2233</v>
      </c>
      <c r="AQ781" s="1445" t="s">
        <v>8757</v>
      </c>
      <c r="AR781" s="1445" t="s">
        <v>8758</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838"/>
      <c r="C782" s="1208"/>
      <c r="D782" s="2957" t="s">
        <v>2224</v>
      </c>
      <c r="E782" s="2956">
        <v>40</v>
      </c>
      <c r="F782" s="2956" t="s">
        <v>1459</v>
      </c>
      <c r="G782" s="2956">
        <v>0</v>
      </c>
      <c r="H782" s="2956">
        <v>0</v>
      </c>
      <c r="I782" s="2956" t="s">
        <v>1556</v>
      </c>
      <c r="J782" s="2956" t="s">
        <v>1459</v>
      </c>
      <c r="K782" s="2947" t="s">
        <v>7474</v>
      </c>
      <c r="L782" s="2956"/>
      <c r="M782" s="2962">
        <v>4</v>
      </c>
      <c r="N782" s="2962">
        <v>1</v>
      </c>
      <c r="O782" s="2962">
        <v>20</v>
      </c>
      <c r="P782" s="2956"/>
      <c r="Q782" s="2956"/>
      <c r="R782" s="2956" t="s">
        <v>1459</v>
      </c>
      <c r="S782" s="2956" t="s">
        <v>1459</v>
      </c>
      <c r="T782" s="2956" t="s">
        <v>1459</v>
      </c>
      <c r="U782" s="2956"/>
      <c r="V782" s="5857" t="s">
        <v>2225</v>
      </c>
      <c r="W782" s="5857"/>
      <c r="X782" s="5858"/>
      <c r="Y782" s="2886">
        <v>0</v>
      </c>
      <c r="Z782" s="1326" t="str">
        <f t="shared" si="192"/>
        <v/>
      </c>
      <c r="AA782" s="237"/>
      <c r="AB782" s="1453" t="str">
        <f>IF(ISNUMBER(FIND("Proyectil",VLOOKUP($D642,Tabla_ArmasyEscudos,8,0))),$D642,"-")</f>
        <v>-</v>
      </c>
      <c r="AC782" s="1456" t="str">
        <f t="shared" si="193"/>
        <v>Tablas!$AD$782:$AR$782</v>
      </c>
      <c r="AD782" s="1449" t="s">
        <v>2218</v>
      </c>
      <c r="AE782" s="1445" t="s">
        <v>8754</v>
      </c>
      <c r="AF782" s="1445" t="s">
        <v>2220</v>
      </c>
      <c r="AG782" s="1445" t="s">
        <v>2222</v>
      </c>
      <c r="AH782" s="1445" t="s">
        <v>2224</v>
      </c>
      <c r="AI782" s="1445" t="s">
        <v>2226</v>
      </c>
      <c r="AJ782" s="1445" t="s">
        <v>2227</v>
      </c>
      <c r="AK782" s="1445" t="s">
        <v>2155</v>
      </c>
      <c r="AL782" s="1445" t="s">
        <v>8756</v>
      </c>
      <c r="AM782" s="1445" t="s">
        <v>8755</v>
      </c>
      <c r="AN782" s="1445" t="s">
        <v>2229</v>
      </c>
      <c r="AO782" s="1445" t="s">
        <v>2231</v>
      </c>
      <c r="AP782" s="1445" t="s">
        <v>2233</v>
      </c>
      <c r="AQ782" s="1445" t="s">
        <v>8757</v>
      </c>
      <c r="AR782" s="1445" t="s">
        <v>8758</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838"/>
      <c r="C783" s="1208"/>
      <c r="D783" s="2957" t="s">
        <v>2226</v>
      </c>
      <c r="E783" s="2956">
        <v>30</v>
      </c>
      <c r="F783" s="2956" t="s">
        <v>1459</v>
      </c>
      <c r="G783" s="2956">
        <v>0</v>
      </c>
      <c r="H783" s="2956">
        <v>0</v>
      </c>
      <c r="I783" s="2956" t="s">
        <v>1556</v>
      </c>
      <c r="J783" s="2956" t="s">
        <v>1459</v>
      </c>
      <c r="K783" s="2947" t="s">
        <v>7474</v>
      </c>
      <c r="L783" s="2956"/>
      <c r="M783" s="2962">
        <v>3</v>
      </c>
      <c r="N783" s="2962">
        <v>0</v>
      </c>
      <c r="O783" s="2962">
        <v>20</v>
      </c>
      <c r="P783" s="2956"/>
      <c r="Q783" s="2956"/>
      <c r="R783" s="2956" t="s">
        <v>1459</v>
      </c>
      <c r="S783" s="2956" t="s">
        <v>1459</v>
      </c>
      <c r="T783" s="2956" t="s">
        <v>1459</v>
      </c>
      <c r="U783" s="2956"/>
      <c r="V783" s="5886" t="s">
        <v>8765</v>
      </c>
      <c r="W783" s="5857"/>
      <c r="X783" s="5858"/>
      <c r="Y783" s="2886">
        <v>0</v>
      </c>
      <c r="Z783" s="1326" t="str">
        <f t="shared" si="192"/>
        <v/>
      </c>
      <c r="AA783" s="237"/>
      <c r="AB783" s="1453" t="s">
        <v>1922</v>
      </c>
      <c r="AC783" s="1456" t="str">
        <f t="shared" ref="AC783:AC803" si="194">"Tablas!"&amp;ADDRESS(ROW(AD783),COLUMN(AD783))&amp;":"&amp;ADDRESS(ROW(AD783),COLUMN(AD783)+AU$778-AD$778-COUNTBLANK(AD783:AU783))</f>
        <v>Tablas!$AD$783:$AD$783</v>
      </c>
      <c r="AD783" s="1449" t="s">
        <v>9000</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838"/>
      <c r="C784" s="1208"/>
      <c r="D784" s="2957" t="s">
        <v>2227</v>
      </c>
      <c r="E784" s="2956">
        <v>30</v>
      </c>
      <c r="F784" s="2956" t="s">
        <v>1459</v>
      </c>
      <c r="G784" s="2956">
        <v>0</v>
      </c>
      <c r="H784" s="2956">
        <v>0</v>
      </c>
      <c r="I784" s="2956" t="s">
        <v>1556</v>
      </c>
      <c r="J784" s="2956" t="s">
        <v>1459</v>
      </c>
      <c r="K784" s="2947" t="s">
        <v>7474</v>
      </c>
      <c r="L784" s="2956"/>
      <c r="M784" s="2962">
        <v>3</v>
      </c>
      <c r="N784" s="2962">
        <v>0</v>
      </c>
      <c r="O784" s="2962">
        <v>20</v>
      </c>
      <c r="P784" s="2956"/>
      <c r="Q784" s="2956"/>
      <c r="R784" s="2956" t="s">
        <v>1459</v>
      </c>
      <c r="S784" s="2956" t="s">
        <v>1459</v>
      </c>
      <c r="T784" s="2956" t="s">
        <v>1459</v>
      </c>
      <c r="U784" s="2956"/>
      <c r="V784" s="5886" t="s">
        <v>8766</v>
      </c>
      <c r="W784" s="5857"/>
      <c r="X784" s="5858"/>
      <c r="Y784" s="2886">
        <v>0</v>
      </c>
      <c r="Z784" s="1326" t="str">
        <f t="shared" si="192"/>
        <v/>
      </c>
      <c r="AA784" s="237"/>
      <c r="AB784" s="1453" t="s">
        <v>8753</v>
      </c>
      <c r="AC784" s="1456" t="str">
        <f t="shared" si="194"/>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838"/>
      <c r="C785" s="1208"/>
      <c r="D785" s="2957" t="s">
        <v>8782</v>
      </c>
      <c r="E785" s="2956">
        <v>35</v>
      </c>
      <c r="F785" s="2956" t="s">
        <v>1459</v>
      </c>
      <c r="G785" s="2956">
        <v>0</v>
      </c>
      <c r="H785" s="2956">
        <v>0</v>
      </c>
      <c r="I785" s="2956" t="s">
        <v>1556</v>
      </c>
      <c r="J785" s="2956" t="s">
        <v>1459</v>
      </c>
      <c r="K785" s="2947" t="s">
        <v>7474</v>
      </c>
      <c r="L785" s="2956"/>
      <c r="M785" s="2962">
        <v>10</v>
      </c>
      <c r="N785" s="2962">
        <v>-2</v>
      </c>
      <c r="O785" s="2962">
        <v>20</v>
      </c>
      <c r="P785" s="2956"/>
      <c r="Q785" s="2956"/>
      <c r="R785" s="2956" t="s">
        <v>1459</v>
      </c>
      <c r="S785" s="2956" t="s">
        <v>1459</v>
      </c>
      <c r="T785" s="2956" t="s">
        <v>1459</v>
      </c>
      <c r="U785" s="2956"/>
      <c r="V785" s="2947" t="s">
        <v>8761</v>
      </c>
      <c r="W785" s="2947"/>
      <c r="X785" s="2945"/>
      <c r="Y785" s="2886">
        <v>0</v>
      </c>
      <c r="Z785" s="1326" t="str">
        <f t="shared" si="192"/>
        <v/>
      </c>
      <c r="AA785" s="237"/>
      <c r="AB785" s="1453" t="s">
        <v>2205</v>
      </c>
      <c r="AC785" s="1456" t="str">
        <f t="shared" si="194"/>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838"/>
      <c r="C786" s="1208"/>
      <c r="D786" s="2957" t="s">
        <v>8756</v>
      </c>
      <c r="E786" s="2956">
        <v>20</v>
      </c>
      <c r="F786" s="2956" t="s">
        <v>1459</v>
      </c>
      <c r="G786" s="2956">
        <v>0</v>
      </c>
      <c r="H786" s="2956">
        <v>0</v>
      </c>
      <c r="I786" s="2956" t="s">
        <v>1501</v>
      </c>
      <c r="J786" s="2956" t="s">
        <v>1459</v>
      </c>
      <c r="K786" s="2947" t="s">
        <v>7474</v>
      </c>
      <c r="L786" s="2956"/>
      <c r="M786" s="2962">
        <v>5</v>
      </c>
      <c r="N786" s="2962">
        <v>0</v>
      </c>
      <c r="O786" s="2962">
        <v>5</v>
      </c>
      <c r="P786" s="2956"/>
      <c r="Q786" s="2956"/>
      <c r="R786" s="2956" t="s">
        <v>1459</v>
      </c>
      <c r="S786" s="2956" t="s">
        <v>1459</v>
      </c>
      <c r="T786" s="2956" t="s">
        <v>1459</v>
      </c>
      <c r="U786" s="2956"/>
      <c r="V786" s="2947" t="s">
        <v>8762</v>
      </c>
      <c r="W786" s="2947"/>
      <c r="X786" s="2945"/>
      <c r="Y786" s="2886">
        <v>0</v>
      </c>
      <c r="Z786" s="1326" t="str">
        <f t="shared" si="192"/>
        <v/>
      </c>
      <c r="AA786" s="237"/>
      <c r="AB786" s="1453" t="s">
        <v>2207</v>
      </c>
      <c r="AC786" s="1456" t="str">
        <f t="shared" si="194"/>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838"/>
      <c r="C787" s="1208"/>
      <c r="D787" s="2957" t="s">
        <v>8755</v>
      </c>
      <c r="E787" s="2956">
        <v>15</v>
      </c>
      <c r="F787" s="2956" t="s">
        <v>1459</v>
      </c>
      <c r="G787" s="2956">
        <v>0</v>
      </c>
      <c r="H787" s="2956">
        <v>0</v>
      </c>
      <c r="I787" s="2956" t="s">
        <v>1501</v>
      </c>
      <c r="J787" s="2956" t="s">
        <v>1459</v>
      </c>
      <c r="K787" s="2947" t="s">
        <v>7474</v>
      </c>
      <c r="L787" s="2956"/>
      <c r="M787" s="2962">
        <v>7</v>
      </c>
      <c r="N787" s="2962">
        <v>2</v>
      </c>
      <c r="O787" s="2962">
        <v>10</v>
      </c>
      <c r="P787" s="2956"/>
      <c r="Q787" s="2956"/>
      <c r="R787" s="2956" t="s">
        <v>1459</v>
      </c>
      <c r="S787" s="2956" t="s">
        <v>1459</v>
      </c>
      <c r="T787" s="2956" t="s">
        <v>1459</v>
      </c>
      <c r="U787" s="2956"/>
      <c r="V787" s="5857" t="s">
        <v>2228</v>
      </c>
      <c r="W787" s="5857"/>
      <c r="X787" s="5858"/>
      <c r="Y787" s="2886">
        <v>0</v>
      </c>
      <c r="Z787" s="1326" t="str">
        <f t="shared" si="192"/>
        <v/>
      </c>
      <c r="AA787" s="237"/>
      <c r="AB787" s="1453" t="s">
        <v>7168</v>
      </c>
      <c r="AC787" s="1456" t="str">
        <f t="shared" si="194"/>
        <v>Tablas!$AD$787:$AE$787</v>
      </c>
      <c r="AD787" s="1450" t="s">
        <v>8754</v>
      </c>
      <c r="AE787" s="1446" t="s">
        <v>8756</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838"/>
      <c r="C788" s="1208"/>
      <c r="D788" s="2957" t="s">
        <v>2229</v>
      </c>
      <c r="E788" s="2956">
        <v>40</v>
      </c>
      <c r="F788" s="2956" t="s">
        <v>1459</v>
      </c>
      <c r="G788" s="2956">
        <v>0</v>
      </c>
      <c r="H788" s="2956">
        <v>0</v>
      </c>
      <c r="I788" s="2956" t="s">
        <v>1556</v>
      </c>
      <c r="J788" s="2956" t="s">
        <v>1459</v>
      </c>
      <c r="K788" s="2947" t="s">
        <v>7474</v>
      </c>
      <c r="L788" s="2956"/>
      <c r="M788" s="2962">
        <v>3</v>
      </c>
      <c r="N788" s="2962">
        <v>0</v>
      </c>
      <c r="O788" s="2962">
        <v>15</v>
      </c>
      <c r="P788" s="2956"/>
      <c r="Q788" s="2956"/>
      <c r="R788" s="2956" t="s">
        <v>1459</v>
      </c>
      <c r="S788" s="2956" t="s">
        <v>1459</v>
      </c>
      <c r="T788" s="2956" t="s">
        <v>1459</v>
      </c>
      <c r="U788" s="2956"/>
      <c r="V788" s="5857" t="s">
        <v>2230</v>
      </c>
      <c r="W788" s="5857"/>
      <c r="X788" s="5858"/>
      <c r="Y788" s="2886">
        <v>0</v>
      </c>
      <c r="Z788" s="1326" t="str">
        <f t="shared" si="192"/>
        <v/>
      </c>
      <c r="AA788" s="237"/>
      <c r="AB788" s="1453" t="s">
        <v>2208</v>
      </c>
      <c r="AC788" s="1456" t="str">
        <f t="shared" si="194"/>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838"/>
      <c r="C789" s="1208"/>
      <c r="D789" s="2957" t="s">
        <v>2231</v>
      </c>
      <c r="E789" s="2956">
        <v>30</v>
      </c>
      <c r="F789" s="2956" t="s">
        <v>1459</v>
      </c>
      <c r="G789" s="2956">
        <v>0</v>
      </c>
      <c r="H789" s="2956">
        <v>0</v>
      </c>
      <c r="I789" s="2956" t="s">
        <v>1556</v>
      </c>
      <c r="J789" s="2956" t="s">
        <v>1459</v>
      </c>
      <c r="K789" s="2947" t="s">
        <v>7474</v>
      </c>
      <c r="L789" s="2956"/>
      <c r="M789" s="2962">
        <v>2</v>
      </c>
      <c r="N789" s="2962">
        <v>-1</v>
      </c>
      <c r="O789" s="2962">
        <v>15</v>
      </c>
      <c r="P789" s="2956"/>
      <c r="Q789" s="2956"/>
      <c r="R789" s="2956" t="s">
        <v>1459</v>
      </c>
      <c r="S789" s="2956" t="s">
        <v>1459</v>
      </c>
      <c r="T789" s="2956" t="s">
        <v>1459</v>
      </c>
      <c r="U789" s="2956"/>
      <c r="V789" s="5857" t="s">
        <v>2232</v>
      </c>
      <c r="W789" s="5857"/>
      <c r="X789" s="5858"/>
      <c r="Y789" s="2886">
        <v>0</v>
      </c>
      <c r="Z789" s="1326" t="str">
        <f t="shared" si="192"/>
        <v/>
      </c>
      <c r="AA789" s="237"/>
      <c r="AB789" s="1453" t="s">
        <v>7172</v>
      </c>
      <c r="AC789" s="1456" t="str">
        <f t="shared" si="194"/>
        <v>Tablas!$AD$789:$AD$789</v>
      </c>
      <c r="AD789" s="1450" t="s">
        <v>8782</v>
      </c>
      <c r="AE789" s="1445" t="str">
        <f t="shared" ref="AE789:AE794" si="195">IF(ISNUMBER(FIND("Munición",VLOOKUP($D$640,Tabla_ArmasyEscudos,8,0))),$D$640,IF(ISNUMBER(FIND("Munición",VLOOKUP($D$641,Tabla_ArmasyEscudos,8,0))),$D$641,IF(ISNUMBER(FIND("Munición",VLOOKUP($D$642,Tabla_ArmasyEscudos,8,0))),$D$642,"")))</f>
        <v/>
      </c>
      <c r="AF789" s="1445" t="str">
        <f t="shared" ref="AF789:AF794" si="196">IF(AE789&lt;&gt;"",IF(AND($D$641&lt;&gt;AE789,ISNUMBER(FIND("Munición",VLOOKUP($D$641,Tabla_ArmasyEscudos,8,0)))),$D$641,IF(AND($D$642&lt;&gt;AE789,ISNUMBER(FIND("Munición",VLOOKUP($D$642,Tabla_ArmasyEscudos,8,0)))),$D$642,"")),"")</f>
        <v/>
      </c>
      <c r="AG789" s="1445" t="str">
        <f t="shared" ref="AG789:AG794" si="197">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838"/>
      <c r="C790" s="1208"/>
      <c r="D790" s="2957" t="s">
        <v>2233</v>
      </c>
      <c r="E790" s="2956">
        <v>60</v>
      </c>
      <c r="F790" s="2956" t="s">
        <v>1459</v>
      </c>
      <c r="G790" s="2956">
        <v>0</v>
      </c>
      <c r="H790" s="2956">
        <v>0</v>
      </c>
      <c r="I790" s="2956" t="s">
        <v>1556</v>
      </c>
      <c r="J790" s="2956" t="s">
        <v>1459</v>
      </c>
      <c r="K790" s="2947" t="s">
        <v>7474</v>
      </c>
      <c r="L790" s="2956"/>
      <c r="M790" s="2962">
        <v>4</v>
      </c>
      <c r="N790" s="2962">
        <v>1</v>
      </c>
      <c r="O790" s="2962">
        <v>15</v>
      </c>
      <c r="P790" s="2956"/>
      <c r="Q790" s="2956"/>
      <c r="R790" s="2956" t="s">
        <v>1459</v>
      </c>
      <c r="S790" s="2956" t="s">
        <v>1459</v>
      </c>
      <c r="T790" s="2956" t="s">
        <v>1459</v>
      </c>
      <c r="U790" s="2956"/>
      <c r="V790" s="5857" t="s">
        <v>2234</v>
      </c>
      <c r="W790" s="5857"/>
      <c r="X790" s="5858"/>
      <c r="Y790" s="2886">
        <v>0</v>
      </c>
      <c r="Z790" s="1326" t="str">
        <f t="shared" si="192"/>
        <v/>
      </c>
      <c r="AA790" s="237"/>
      <c r="AB790" s="1453" t="s">
        <v>2209</v>
      </c>
      <c r="AC790" s="1456" t="str">
        <f t="shared" si="194"/>
        <v>Tablas!$AD$790:$AD$790</v>
      </c>
      <c r="AD790" s="1450" t="s">
        <v>2229</v>
      </c>
      <c r="AE790" s="1445" t="str">
        <f t="shared" si="195"/>
        <v/>
      </c>
      <c r="AF790" s="1445" t="str">
        <f t="shared" si="196"/>
        <v/>
      </c>
      <c r="AG790" s="1445" t="str">
        <f t="shared" si="197"/>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838"/>
      <c r="C791" s="1208"/>
      <c r="D791" s="2957" t="s">
        <v>8757</v>
      </c>
      <c r="E791" s="2956">
        <v>120</v>
      </c>
      <c r="F791" s="2956" t="s">
        <v>1459</v>
      </c>
      <c r="G791" s="2956">
        <v>0</v>
      </c>
      <c r="H791" s="2956">
        <v>0</v>
      </c>
      <c r="I791" s="2956" t="s">
        <v>1556</v>
      </c>
      <c r="J791" s="2956" t="s">
        <v>1459</v>
      </c>
      <c r="K791" s="2947" t="s">
        <v>7474</v>
      </c>
      <c r="L791" s="2956"/>
      <c r="M791" s="2962">
        <v>16</v>
      </c>
      <c r="N791" s="2962">
        <v>8</v>
      </c>
      <c r="O791" s="2962">
        <v>15</v>
      </c>
      <c r="P791" s="2956"/>
      <c r="Q791" s="2956"/>
      <c r="R791" s="2956" t="s">
        <v>1459</v>
      </c>
      <c r="S791" s="2956" t="s">
        <v>1459</v>
      </c>
      <c r="T791" s="2956" t="s">
        <v>1459</v>
      </c>
      <c r="U791" s="2956"/>
      <c r="V791" s="2947" t="s">
        <v>8763</v>
      </c>
      <c r="W791" s="2947"/>
      <c r="X791" s="2945"/>
      <c r="Y791" s="2886">
        <v>0</v>
      </c>
      <c r="Z791" s="1326" t="str">
        <f t="shared" si="192"/>
        <v/>
      </c>
      <c r="AA791" s="237"/>
      <c r="AB791" s="1453" t="s">
        <v>2211</v>
      </c>
      <c r="AC791" s="1456" t="str">
        <f t="shared" si="194"/>
        <v>Tablas!$AD$791:$AD$791</v>
      </c>
      <c r="AD791" s="1450" t="s">
        <v>2231</v>
      </c>
      <c r="AE791" s="1445" t="str">
        <f t="shared" si="195"/>
        <v/>
      </c>
      <c r="AF791" s="1445" t="str">
        <f t="shared" si="196"/>
        <v/>
      </c>
      <c r="AG791" s="1445" t="str">
        <f t="shared" si="197"/>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838"/>
      <c r="C792" s="1208"/>
      <c r="D792" s="2957" t="s">
        <v>8758</v>
      </c>
      <c r="E792" s="2956">
        <v>150</v>
      </c>
      <c r="F792" s="2956" t="s">
        <v>1459</v>
      </c>
      <c r="G792" s="2956">
        <v>0</v>
      </c>
      <c r="H792" s="2956">
        <v>0</v>
      </c>
      <c r="I792" s="2956" t="s">
        <v>1556</v>
      </c>
      <c r="J792" s="2956" t="s">
        <v>1459</v>
      </c>
      <c r="K792" s="2947" t="s">
        <v>7474</v>
      </c>
      <c r="L792" s="2956"/>
      <c r="M792" s="2962">
        <v>18</v>
      </c>
      <c r="N792" s="2962">
        <v>12</v>
      </c>
      <c r="O792" s="2962">
        <v>15</v>
      </c>
      <c r="P792" s="2956"/>
      <c r="Q792" s="2956"/>
      <c r="R792" s="2956" t="s">
        <v>1459</v>
      </c>
      <c r="S792" s="2956" t="s">
        <v>1459</v>
      </c>
      <c r="T792" s="2956" t="s">
        <v>1459</v>
      </c>
      <c r="U792" s="2956"/>
      <c r="V792" s="2947" t="s">
        <v>8764</v>
      </c>
      <c r="W792" s="2947"/>
      <c r="X792" s="2945"/>
      <c r="Y792" s="2886">
        <v>0</v>
      </c>
      <c r="Z792" s="1326" t="str">
        <f t="shared" si="192"/>
        <v/>
      </c>
      <c r="AA792" s="237"/>
      <c r="AB792" s="1453" t="s">
        <v>2212</v>
      </c>
      <c r="AC792" s="1456" t="str">
        <f t="shared" si="194"/>
        <v>Tablas!$AD$792:$AD$792</v>
      </c>
      <c r="AD792" s="1450" t="s">
        <v>2229</v>
      </c>
      <c r="AE792" s="1445" t="str">
        <f t="shared" si="195"/>
        <v/>
      </c>
      <c r="AF792" s="1445" t="str">
        <f t="shared" si="196"/>
        <v/>
      </c>
      <c r="AG792" s="1445" t="str">
        <f t="shared" si="197"/>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838"/>
      <c r="C793" s="1208"/>
      <c r="D793" s="2957" t="s">
        <v>9000</v>
      </c>
      <c r="E793" s="2956">
        <v>0</v>
      </c>
      <c r="F793" s="2956" t="s">
        <v>1459</v>
      </c>
      <c r="G793" s="2956">
        <v>0</v>
      </c>
      <c r="H793" s="2956">
        <v>0</v>
      </c>
      <c r="I793" s="2956" t="str">
        <f>I639</f>
        <v>-</v>
      </c>
      <c r="J793" s="2956" t="str">
        <f>J639</f>
        <v>-</v>
      </c>
      <c r="K793" s="2947" t="s">
        <v>7474</v>
      </c>
      <c r="L793" s="2956"/>
      <c r="M793" s="2962">
        <f>M639</f>
        <v>4</v>
      </c>
      <c r="N793" s="2956">
        <f t="shared" ref="N793" si="198">N639</f>
        <v>-4</v>
      </c>
      <c r="O793" s="2956"/>
      <c r="P793" s="2956"/>
      <c r="Q793" s="2956"/>
      <c r="R793" s="2956" t="s">
        <v>1459</v>
      </c>
      <c r="S793" s="2956" t="s">
        <v>1459</v>
      </c>
      <c r="T793" s="2956" t="s">
        <v>1459</v>
      </c>
      <c r="U793" s="2956"/>
      <c r="V793" s="2947" t="s">
        <v>8999</v>
      </c>
      <c r="W793" s="2947"/>
      <c r="X793" s="2945"/>
      <c r="Y793" s="2886">
        <v>0</v>
      </c>
      <c r="Z793" s="1326" t="str">
        <f>IF(AND(K794&lt;&gt;"Natural/-",ISNUMBER(SEARCH(D794,Armas_Conocidas))),", "&amp;K794,"")</f>
        <v/>
      </c>
      <c r="AA793" s="237"/>
      <c r="AB793" s="1453" t="s">
        <v>2213</v>
      </c>
      <c r="AC793" s="1456" t="str">
        <f t="shared" si="194"/>
        <v>Tablas!$AD$793:$AD$793</v>
      </c>
      <c r="AD793" s="1450" t="s">
        <v>2233</v>
      </c>
      <c r="AE793" s="1445" t="str">
        <f t="shared" si="195"/>
        <v/>
      </c>
      <c r="AF793" s="1445" t="str">
        <f t="shared" si="196"/>
        <v/>
      </c>
      <c r="AG793" s="1445" t="str">
        <f t="shared" si="197"/>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838"/>
      <c r="C794" s="1208"/>
      <c r="D794" s="2957" t="s">
        <v>2235</v>
      </c>
      <c r="E794" s="2956"/>
      <c r="F794" s="2956"/>
      <c r="G794" s="2956"/>
      <c r="H794" s="2956"/>
      <c r="I794" s="2956"/>
      <c r="J794" s="2956"/>
      <c r="K794" s="2947" t="s">
        <v>7453</v>
      </c>
      <c r="L794" s="2956"/>
      <c r="M794" s="2962"/>
      <c r="N794" s="2962"/>
      <c r="O794" s="2962"/>
      <c r="P794" s="2956"/>
      <c r="Q794" s="2956"/>
      <c r="R794" s="2956"/>
      <c r="S794" s="2956"/>
      <c r="T794" s="2956"/>
      <c r="U794" s="2956"/>
      <c r="V794" s="2947"/>
      <c r="W794" s="2947"/>
      <c r="X794" s="2945"/>
      <c r="Y794" s="1211"/>
      <c r="Z794" s="1330"/>
      <c r="AA794" s="237"/>
      <c r="AB794" s="1453" t="s">
        <v>2214</v>
      </c>
      <c r="AC794" s="1456" t="str">
        <f t="shared" si="194"/>
        <v>Tablas!$AD$794:$AD$794</v>
      </c>
      <c r="AD794" s="1450" t="s">
        <v>2222</v>
      </c>
      <c r="AE794" s="1445" t="str">
        <f t="shared" si="195"/>
        <v/>
      </c>
      <c r="AF794" s="1445" t="str">
        <f t="shared" si="196"/>
        <v/>
      </c>
      <c r="AG794" s="1445" t="str">
        <f t="shared" si="197"/>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838"/>
      <c r="C795" s="1208"/>
      <c r="D795" s="2957" t="s">
        <v>2236</v>
      </c>
      <c r="E795" s="2956">
        <f>Presencia_final</f>
        <v>20</v>
      </c>
      <c r="F795" s="2956">
        <v>20</v>
      </c>
      <c r="G795" s="2956">
        <v>0</v>
      </c>
      <c r="H795" s="2956">
        <v>0</v>
      </c>
      <c r="I795" s="2956" t="s">
        <v>2237</v>
      </c>
      <c r="J795" s="2956" t="s">
        <v>1459</v>
      </c>
      <c r="K795" s="2947" t="s">
        <v>7475</v>
      </c>
      <c r="L795" s="2965" t="str">
        <f>IF(SUMPRODUCT(--ISNUMBER(SEARCH($D795,INDEX(Tabla_ArsMagnus,,1))),INDEX(Tabla_ArsMagnus,,4))&gt;0,"Conocida","Distinta")</f>
        <v>Distinta</v>
      </c>
      <c r="M795" s="2962" t="s">
        <v>1459</v>
      </c>
      <c r="N795" s="2962">
        <f>POD</f>
        <v>0</v>
      </c>
      <c r="O795" s="2962">
        <f>Presencia_final</f>
        <v>20</v>
      </c>
      <c r="P795" s="2956"/>
      <c r="Q795" s="2956"/>
      <c r="R795" s="2956"/>
      <c r="S795" s="2956"/>
      <c r="T795" s="2956"/>
      <c r="U795" s="2956"/>
      <c r="V795" s="2947" t="s">
        <v>2238</v>
      </c>
      <c r="W795" s="2947"/>
      <c r="X795" s="2945"/>
      <c r="Y795" s="2886">
        <f>Bono_Pod</f>
        <v>0</v>
      </c>
      <c r="Z795" s="1326" t="str">
        <f>IF(AND(K796&lt;&gt;"Natural/-",ISNUMBER(SEARCH(D796,Armas_Conocidas))),", "&amp;K796,"")</f>
        <v/>
      </c>
      <c r="AA795" s="237"/>
      <c r="AB795" s="1453" t="s">
        <v>7178</v>
      </c>
      <c r="AC795" s="1456" t="str">
        <f t="shared" si="194"/>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838"/>
      <c r="C796" s="1208"/>
      <c r="D796" s="2957" t="s">
        <v>2239</v>
      </c>
      <c r="E796" s="2952"/>
      <c r="F796" s="2952"/>
      <c r="G796" s="2952"/>
      <c r="H796" s="2952"/>
      <c r="I796" s="2952"/>
      <c r="J796" s="2952"/>
      <c r="K796" s="2946" t="s">
        <v>7453</v>
      </c>
      <c r="L796" s="2952"/>
      <c r="M796" s="2952"/>
      <c r="N796" s="2952"/>
      <c r="O796" s="2952"/>
      <c r="P796" s="2952"/>
      <c r="Q796" s="2952"/>
      <c r="R796" s="2952"/>
      <c r="S796" s="2952"/>
      <c r="T796" s="2952"/>
      <c r="U796" s="2952"/>
      <c r="V796" s="2946"/>
      <c r="W796" s="2946"/>
      <c r="X796" s="2948"/>
      <c r="Y796" s="1211"/>
      <c r="Z796" s="1330"/>
      <c r="AA796" s="237"/>
      <c r="AB796" s="1453" t="s">
        <v>2215</v>
      </c>
      <c r="AC796" s="1456" t="str">
        <f t="shared" si="194"/>
        <v>Tablas!$AD$796:$AD$796</v>
      </c>
      <c r="AD796" s="886" t="s">
        <v>8755</v>
      </c>
      <c r="AE796" s="1445" t="str">
        <f t="shared" ref="AE796:AE803" si="199">IF(ISNUMBER(FIND("Munición",VLOOKUP($D$640,Tabla_ArmasyEscudos,8,0))),$D$640,IF(ISNUMBER(FIND("Munición",VLOOKUP($D$641,Tabla_ArmasyEscudos,8,0))),$D$641,IF(ISNUMBER(FIND("Munición",VLOOKUP($D$642,Tabla_ArmasyEscudos,8,0))),$D$642,"")))</f>
        <v/>
      </c>
      <c r="AF796" s="1445" t="str">
        <f t="shared" ref="AF796:AF803" si="200">IF(AE796&lt;&gt;"",IF(AND($D$641&lt;&gt;AE796,ISNUMBER(FIND("Munición",VLOOKUP($D$641,Tabla_ArmasyEscudos,8,0)))),$D$641,IF(AND($D$642&lt;&gt;AE796,ISNUMBER(FIND("Munición",VLOOKUP($D$642,Tabla_ArmasyEscudos,8,0)))),$D$642,"")),"")</f>
        <v/>
      </c>
      <c r="AG796" s="1445" t="str">
        <f t="shared" ref="AG796:AG803" si="201">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838"/>
      <c r="C797" s="1208"/>
      <c r="D797" s="2957" t="s">
        <v>2240</v>
      </c>
      <c r="E797" s="2961">
        <f>100-Bono_Fue</f>
        <v>100</v>
      </c>
      <c r="F797" s="2956">
        <v>-20</v>
      </c>
      <c r="G797" s="2956">
        <v>0</v>
      </c>
      <c r="H797" s="2956">
        <v>0</v>
      </c>
      <c r="I797" s="2956" t="s">
        <v>1556</v>
      </c>
      <c r="J797" s="2956" t="s">
        <v>1555</v>
      </c>
      <c r="K797" s="2947" t="s">
        <v>7453</v>
      </c>
      <c r="L797" s="2965" t="str">
        <f>IF(H991&gt;0,"Conocida","Distinta")</f>
        <v>Distinta</v>
      </c>
      <c r="M797" s="2962">
        <v>16</v>
      </c>
      <c r="N797" s="2962">
        <v>6</v>
      </c>
      <c r="O797" s="2962">
        <v>30</v>
      </c>
      <c r="P797" s="2956"/>
      <c r="Q797" s="2956"/>
      <c r="R797" s="2956" t="s">
        <v>1459</v>
      </c>
      <c r="S797" s="2956" t="s">
        <v>1459</v>
      </c>
      <c r="T797" s="2956" t="s">
        <v>1459</v>
      </c>
      <c r="U797" s="2956"/>
      <c r="V797" s="2947" t="s">
        <v>2241</v>
      </c>
      <c r="W797" s="2952"/>
      <c r="X797" s="2953"/>
      <c r="Y797" s="2886">
        <f>Bono_Fue</f>
        <v>0</v>
      </c>
      <c r="Z797" s="1330"/>
      <c r="AA797" s="237"/>
      <c r="AB797" s="1453" t="s">
        <v>2216</v>
      </c>
      <c r="AC797" s="1456" t="str">
        <f t="shared" si="194"/>
        <v>Tablas!$AD$797:$AD$797</v>
      </c>
      <c r="AD797" s="1450" t="s">
        <v>2218</v>
      </c>
      <c r="AE797" s="1445" t="str">
        <f t="shared" si="199"/>
        <v/>
      </c>
      <c r="AF797" s="1445" t="str">
        <f t="shared" si="200"/>
        <v/>
      </c>
      <c r="AG797" s="1445" t="str">
        <f t="shared" si="201"/>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838"/>
      <c r="C798" s="1208"/>
      <c r="D798" s="2957" t="s">
        <v>2242</v>
      </c>
      <c r="E798" s="2961">
        <v>120</v>
      </c>
      <c r="F798" s="2956">
        <v>-80</v>
      </c>
      <c r="G798" s="2956">
        <v>12</v>
      </c>
      <c r="H798" s="2956">
        <v>10</v>
      </c>
      <c r="I798" s="2956" t="s">
        <v>1555</v>
      </c>
      <c r="J798" s="2956" t="s">
        <v>1501</v>
      </c>
      <c r="K798" s="2947" t="s">
        <v>7453</v>
      </c>
      <c r="L798" s="2965" t="str">
        <f>IF(AND(H992&gt;0,OR(L664="Conocida",L681="Conocida",L701="Conocida")),"Conocida","Distinta")</f>
        <v>Distinta</v>
      </c>
      <c r="M798" s="2962">
        <v>16</v>
      </c>
      <c r="N798" s="2962">
        <v>8</v>
      </c>
      <c r="O798" s="2962">
        <v>25</v>
      </c>
      <c r="P798" s="2956"/>
      <c r="Q798" s="2956"/>
      <c r="R798" s="2956" t="s">
        <v>1459</v>
      </c>
      <c r="S798" s="2956" t="s">
        <v>1459</v>
      </c>
      <c r="T798" s="2956" t="s">
        <v>1459</v>
      </c>
      <c r="U798" s="2956"/>
      <c r="V798" s="2947" t="s">
        <v>2243</v>
      </c>
      <c r="W798" s="2952"/>
      <c r="X798" s="2953"/>
      <c r="Y798" s="1211">
        <f>Bono_Fue</f>
        <v>0</v>
      </c>
      <c r="Z798" s="1330"/>
      <c r="AA798" s="237"/>
      <c r="AB798" s="1091" t="s">
        <v>8499</v>
      </c>
      <c r="AC798" s="1456" t="str">
        <f t="shared" si="194"/>
        <v>Tablas!$AD$798:$AD$798</v>
      </c>
      <c r="AD798" s="1450" t="s">
        <v>8757</v>
      </c>
      <c r="AE798" s="1445" t="str">
        <f t="shared" si="199"/>
        <v/>
      </c>
      <c r="AF798" s="1445" t="str">
        <f t="shared" si="200"/>
        <v/>
      </c>
      <c r="AG798" s="1445" t="str">
        <f t="shared" si="201"/>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838"/>
      <c r="C799" s="1208"/>
      <c r="D799" s="2957" t="s">
        <v>2244</v>
      </c>
      <c r="E799" s="2961">
        <f>50+20*U612</f>
        <v>50</v>
      </c>
      <c r="F799" s="2956">
        <v>15</v>
      </c>
      <c r="G799" s="2956">
        <v>4</v>
      </c>
      <c r="H799" s="2956">
        <v>4</v>
      </c>
      <c r="I799" s="2956" t="s">
        <v>1555</v>
      </c>
      <c r="J799" s="2956" t="s">
        <v>1556</v>
      </c>
      <c r="K799" s="2947" t="s">
        <v>7453</v>
      </c>
      <c r="L799" s="2965" t="str">
        <f>IF(OR(H994&gt;0,H995&gt;0),"Conocida","Distinta")</f>
        <v>Distinta</v>
      </c>
      <c r="M799" s="2962">
        <v>10</v>
      </c>
      <c r="N799" s="2962">
        <v>0</v>
      </c>
      <c r="O799" s="2962">
        <v>30</v>
      </c>
      <c r="P799" s="2956"/>
      <c r="Q799" s="2956"/>
      <c r="R799" s="2956" t="s">
        <v>1459</v>
      </c>
      <c r="S799" s="2956" t="s">
        <v>1459</v>
      </c>
      <c r="T799" s="2956" t="s">
        <v>1459</v>
      </c>
      <c r="U799" s="2956"/>
      <c r="V799" s="2947"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952"/>
      <c r="X799" s="2953"/>
      <c r="Y799" s="1211">
        <v>0</v>
      </c>
      <c r="Z799" s="1330"/>
      <c r="AA799" s="237"/>
      <c r="AB799" s="1091" t="s">
        <v>8500</v>
      </c>
      <c r="AC799" s="1456" t="str">
        <f t="shared" si="194"/>
        <v>Tablas!$AD$799:$AD$799</v>
      </c>
      <c r="AD799" s="1450" t="s">
        <v>8758</v>
      </c>
      <c r="AE799" s="1445" t="str">
        <f t="shared" si="199"/>
        <v/>
      </c>
      <c r="AF799" s="1445" t="str">
        <f t="shared" si="200"/>
        <v/>
      </c>
      <c r="AG799" s="1445" t="str">
        <f t="shared" si="201"/>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838"/>
      <c r="C800" s="1208"/>
      <c r="D800" s="2957" t="s">
        <v>2245</v>
      </c>
      <c r="E800" s="2961">
        <v>70</v>
      </c>
      <c r="F800" s="2956">
        <v>-30</v>
      </c>
      <c r="G800" s="2956">
        <v>8</v>
      </c>
      <c r="H800" s="2956">
        <v>6</v>
      </c>
      <c r="I800" s="2956" t="s">
        <v>1555</v>
      </c>
      <c r="J800" s="2956" t="s">
        <v>1501</v>
      </c>
      <c r="K800" s="2947" t="s">
        <v>7453</v>
      </c>
      <c r="L800" s="2965" t="str">
        <f>IF(AND(H996&gt;0,L770="Conocida",OR(L651="Conocida",L656="Conocida",L665="Conocida",L668="Conocida",L670="Conocida",L688="Conocida",L707="Conocida",L708="Conocida",L709="Conocida",L725="Conocida",L726="Conocida",L737="Conocida",L749="Conocida",L755="Conocida")),"Conocida","Distinta")</f>
        <v>Distinta</v>
      </c>
      <c r="M800" s="2962">
        <v>13</v>
      </c>
      <c r="N800" s="2962">
        <v>4</v>
      </c>
      <c r="O800" s="2962">
        <v>35</v>
      </c>
      <c r="P800" s="2956"/>
      <c r="Q800" s="2956"/>
      <c r="R800" s="2956" t="s">
        <v>1459</v>
      </c>
      <c r="S800" s="2956" t="s">
        <v>1459</v>
      </c>
      <c r="T800" s="2956" t="s">
        <v>1459</v>
      </c>
      <c r="U800" s="2956"/>
      <c r="V800" s="2947" t="s">
        <v>2246</v>
      </c>
      <c r="W800" s="2952"/>
      <c r="X800" s="2953"/>
      <c r="Y800" s="1211">
        <f>Bono_Fue</f>
        <v>0</v>
      </c>
      <c r="Z800" s="1330"/>
      <c r="AA800" s="237"/>
      <c r="AB800" s="1091" t="s">
        <v>8501</v>
      </c>
      <c r="AC800" s="1456" t="str">
        <f t="shared" si="194"/>
        <v>Tablas!$AD$800:$AD$800</v>
      </c>
      <c r="AD800" s="1450" t="s">
        <v>2220</v>
      </c>
      <c r="AE800" s="1445" t="str">
        <f t="shared" si="199"/>
        <v/>
      </c>
      <c r="AF800" s="1445" t="str">
        <f t="shared" si="200"/>
        <v/>
      </c>
      <c r="AG800" s="1445" t="str">
        <f t="shared" si="201"/>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838"/>
      <c r="C801" s="1208"/>
      <c r="D801" s="2957" t="s">
        <v>8785</v>
      </c>
      <c r="E801" s="2956">
        <v>0</v>
      </c>
      <c r="F801" s="2956">
        <v>0</v>
      </c>
      <c r="G801" s="2956">
        <v>8</v>
      </c>
      <c r="H801" s="2956">
        <v>6</v>
      </c>
      <c r="I801" s="2956" t="s">
        <v>1556</v>
      </c>
      <c r="J801" s="2956" t="s">
        <v>1459</v>
      </c>
      <c r="K801" s="2947" t="s">
        <v>7453</v>
      </c>
      <c r="L801" s="2965" t="str">
        <f>L800</f>
        <v>Distinta</v>
      </c>
      <c r="M801" s="2962">
        <v>13</v>
      </c>
      <c r="N801" s="2962">
        <v>4</v>
      </c>
      <c r="O801" s="2962">
        <v>35</v>
      </c>
      <c r="P801" s="2956"/>
      <c r="Q801" s="2956"/>
      <c r="R801" s="2956" t="s">
        <v>1459</v>
      </c>
      <c r="S801" s="2956">
        <v>2</v>
      </c>
      <c r="T801" s="2956">
        <v>50</v>
      </c>
      <c r="U801" s="2956">
        <v>10</v>
      </c>
      <c r="V801" s="2947" t="s">
        <v>2246</v>
      </c>
      <c r="W801" s="2952"/>
      <c r="X801" s="2953"/>
      <c r="Y801" s="1211">
        <v>0</v>
      </c>
      <c r="Z801" s="1330"/>
      <c r="AA801" s="237"/>
      <c r="AB801" s="1091" t="s">
        <v>8785</v>
      </c>
      <c r="AC801" s="1456" t="str">
        <f t="shared" si="194"/>
        <v>Tablas!$AD$801:$AD$801</v>
      </c>
      <c r="AD801" s="1450" t="s">
        <v>8783</v>
      </c>
      <c r="AE801" s="1445" t="str">
        <f t="shared" si="199"/>
        <v/>
      </c>
      <c r="AF801" s="1445" t="str">
        <f t="shared" si="200"/>
        <v/>
      </c>
      <c r="AG801" s="1445" t="str">
        <f t="shared" si="201"/>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838"/>
      <c r="C802" s="1208"/>
      <c r="D802" s="2957" t="s">
        <v>2247</v>
      </c>
      <c r="E802" s="2956">
        <v>40</v>
      </c>
      <c r="F802" s="2956">
        <v>5</v>
      </c>
      <c r="G802" s="2956">
        <v>5</v>
      </c>
      <c r="H802" s="2956">
        <v>3</v>
      </c>
      <c r="I802" s="2956" t="s">
        <v>1556</v>
      </c>
      <c r="J802" s="2956" t="s">
        <v>1459</v>
      </c>
      <c r="K802" s="2947" t="s">
        <v>7453</v>
      </c>
      <c r="L802" s="2965" t="str">
        <f>IF(AND(H996&gt;0,L757="Conocida",L690="Conocida"),"Conocida","Distinta")</f>
        <v>Distinta</v>
      </c>
      <c r="M802" s="2962">
        <v>12</v>
      </c>
      <c r="N802" s="2962">
        <v>2</v>
      </c>
      <c r="O802" s="2962">
        <v>35</v>
      </c>
      <c r="P802" s="2956"/>
      <c r="Q802" s="2956"/>
      <c r="R802" s="2956" t="s">
        <v>1459</v>
      </c>
      <c r="S802" s="2956" t="s">
        <v>1459</v>
      </c>
      <c r="T802" s="2956" t="s">
        <v>1459</v>
      </c>
      <c r="U802" s="2956"/>
      <c r="V802" s="2947" t="s">
        <v>2246</v>
      </c>
      <c r="W802" s="2952"/>
      <c r="X802" s="2953"/>
      <c r="Y802" s="1211">
        <f>Bono_Fue</f>
        <v>0</v>
      </c>
      <c r="Z802" s="1330"/>
      <c r="AA802" s="237"/>
      <c r="AB802" s="1091" t="s">
        <v>8786</v>
      </c>
      <c r="AC802" s="1456" t="str">
        <f t="shared" si="194"/>
        <v>Tablas!$AD$802:$AD$802</v>
      </c>
      <c r="AD802" s="1450" t="s">
        <v>8783</v>
      </c>
      <c r="AE802" s="1445" t="str">
        <f t="shared" si="199"/>
        <v/>
      </c>
      <c r="AF802" s="1445" t="str">
        <f t="shared" si="200"/>
        <v/>
      </c>
      <c r="AG802" s="1445" t="str">
        <f t="shared" si="201"/>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838"/>
      <c r="C803" s="1208"/>
      <c r="D803" s="2957" t="s">
        <v>8786</v>
      </c>
      <c r="E803" s="2956">
        <v>0</v>
      </c>
      <c r="F803" s="2956">
        <v>0</v>
      </c>
      <c r="G803" s="2956">
        <v>5</v>
      </c>
      <c r="H803" s="2956">
        <v>3</v>
      </c>
      <c r="I803" s="2956" t="s">
        <v>1556</v>
      </c>
      <c r="J803" s="2956" t="s">
        <v>1459</v>
      </c>
      <c r="K803" s="2947" t="s">
        <v>7453</v>
      </c>
      <c r="L803" s="2965" t="str">
        <f>L802</f>
        <v>Distinta</v>
      </c>
      <c r="M803" s="2962">
        <v>12</v>
      </c>
      <c r="N803" s="2962">
        <v>2</v>
      </c>
      <c r="O803" s="2962">
        <v>35</v>
      </c>
      <c r="P803" s="2956"/>
      <c r="Q803" s="2956"/>
      <c r="R803" s="2956" t="s">
        <v>1459</v>
      </c>
      <c r="S803" s="2956">
        <v>2</v>
      </c>
      <c r="T803" s="2956">
        <v>80</v>
      </c>
      <c r="U803" s="2956">
        <v>11</v>
      </c>
      <c r="V803" s="2947" t="s">
        <v>2246</v>
      </c>
      <c r="W803" s="2952"/>
      <c r="X803" s="2953"/>
      <c r="Y803" s="1211">
        <v>0</v>
      </c>
      <c r="Z803" s="1330"/>
      <c r="AA803" s="237"/>
      <c r="AB803" s="1454" t="s">
        <v>8787</v>
      </c>
      <c r="AC803" s="1457" t="str">
        <f t="shared" si="194"/>
        <v>Tablas!$AD$803:$AD$803</v>
      </c>
      <c r="AD803" s="1451" t="s">
        <v>8789</v>
      </c>
      <c r="AE803" s="1455" t="str">
        <f t="shared" si="199"/>
        <v/>
      </c>
      <c r="AF803" s="1455" t="str">
        <f t="shared" si="200"/>
        <v/>
      </c>
      <c r="AG803" s="1455" t="str">
        <f t="shared" si="201"/>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838"/>
      <c r="C804" s="1208"/>
      <c r="D804" s="2957" t="s">
        <v>8787</v>
      </c>
      <c r="E804" s="2956">
        <v>0</v>
      </c>
      <c r="F804" s="2956">
        <v>-40</v>
      </c>
      <c r="G804" s="2956" t="s">
        <v>1459</v>
      </c>
      <c r="H804" s="2956">
        <v>7</v>
      </c>
      <c r="I804" s="2956" t="s">
        <v>1501</v>
      </c>
      <c r="J804" s="2956" t="s">
        <v>1459</v>
      </c>
      <c r="K804" s="2947" t="s">
        <v>7453</v>
      </c>
      <c r="L804" s="2965" t="str">
        <f>IF(AND(H996&gt;0,L774="Conocida",OR(L699="Conocida",L700="Conocida",L701="Conocida")),"Conocida","Distinta")</f>
        <v>Distinta</v>
      </c>
      <c r="M804" s="2962">
        <v>15</v>
      </c>
      <c r="N804" s="2962">
        <v>5</v>
      </c>
      <c r="O804" s="2962">
        <v>35</v>
      </c>
      <c r="P804" s="2956"/>
      <c r="Q804" s="2956"/>
      <c r="R804" s="2956" t="s">
        <v>1459</v>
      </c>
      <c r="S804" s="2956">
        <v>10</v>
      </c>
      <c r="T804" s="2956">
        <v>250</v>
      </c>
      <c r="U804" s="2956">
        <v>12</v>
      </c>
      <c r="V804" s="2947" t="s">
        <v>2249</v>
      </c>
      <c r="W804" s="2952"/>
      <c r="X804" s="2953"/>
      <c r="Y804" s="1211">
        <v>0</v>
      </c>
      <c r="Z804" s="1330"/>
      <c r="AA804" s="237"/>
      <c r="AC804" s="237"/>
    </row>
    <row r="805" spans="1:47" ht="12.75" customHeight="1" x14ac:dyDescent="0.2">
      <c r="A805" s="237">
        <v>805</v>
      </c>
      <c r="B805" s="5838"/>
      <c r="C805" s="1208"/>
      <c r="D805" s="2957" t="s">
        <v>2248</v>
      </c>
      <c r="E805" s="2956">
        <v>60</v>
      </c>
      <c r="F805" s="2956">
        <v>-15</v>
      </c>
      <c r="G805" s="2956" t="s">
        <v>1459</v>
      </c>
      <c r="H805" s="2956">
        <v>7</v>
      </c>
      <c r="I805" s="2956" t="s">
        <v>1501</v>
      </c>
      <c r="J805" s="2956" t="s">
        <v>1459</v>
      </c>
      <c r="K805" s="2947" t="s">
        <v>7453</v>
      </c>
      <c r="L805" s="2965" t="str">
        <f>L804</f>
        <v>Distinta</v>
      </c>
      <c r="M805" s="2962">
        <v>15</v>
      </c>
      <c r="N805" s="2962">
        <v>5</v>
      </c>
      <c r="O805" s="2962">
        <v>35</v>
      </c>
      <c r="P805" s="2956"/>
      <c r="Q805" s="2956"/>
      <c r="R805" s="2956" t="s">
        <v>1459</v>
      </c>
      <c r="S805" s="2956" t="s">
        <v>1459</v>
      </c>
      <c r="T805" s="2956" t="s">
        <v>1459</v>
      </c>
      <c r="U805" s="2956"/>
      <c r="V805" s="2947" t="s">
        <v>2249</v>
      </c>
      <c r="W805" s="2952"/>
      <c r="X805" s="2953"/>
      <c r="Y805" s="1211">
        <f>Bono_Fue</f>
        <v>0</v>
      </c>
      <c r="Z805" s="1330"/>
      <c r="AA805" s="237"/>
      <c r="AC805" s="237"/>
    </row>
    <row r="806" spans="1:47" ht="12.75" customHeight="1" x14ac:dyDescent="0.2">
      <c r="A806" s="237">
        <v>806</v>
      </c>
      <c r="B806" s="5838"/>
      <c r="C806" s="1208"/>
      <c r="D806" s="2957" t="s">
        <v>10284</v>
      </c>
      <c r="E806" s="2956">
        <f>60-10</f>
        <v>50</v>
      </c>
      <c r="F806" s="2956">
        <v>-10</v>
      </c>
      <c r="G806" s="2956">
        <v>0</v>
      </c>
      <c r="H806" s="2956">
        <v>0</v>
      </c>
      <c r="I806" s="2956" t="s">
        <v>1501</v>
      </c>
      <c r="J806" s="2956" t="s">
        <v>1459</v>
      </c>
      <c r="K806" s="2947" t="s">
        <v>7453</v>
      </c>
      <c r="L806" s="2965" t="str">
        <f>IF($H$997&gt;0,"Conocida","Distinta")</f>
        <v>Distinta</v>
      </c>
      <c r="M806" s="2962">
        <v>0</v>
      </c>
      <c r="N806" s="2962">
        <v>2</v>
      </c>
      <c r="O806" s="2962">
        <f>Presencia_final</f>
        <v>20</v>
      </c>
      <c r="P806" s="2956"/>
      <c r="Q806" s="2956"/>
      <c r="R806" s="2956" t="s">
        <v>1459</v>
      </c>
      <c r="S806" s="2956" t="s">
        <v>1459</v>
      </c>
      <c r="T806" s="2956">
        <f>2*Principal!K52</f>
        <v>0</v>
      </c>
      <c r="U806" s="2956"/>
      <c r="V806" s="2947" t="str">
        <f>"Alcance "&amp;2*Presencia_final&amp;"m, Fascinación, Ver"</f>
        <v>Alcance 40m, Fascinación, Ver</v>
      </c>
      <c r="W806" s="2952"/>
      <c r="X806" s="2953"/>
      <c r="Y806" s="1211">
        <v>0</v>
      </c>
      <c r="Z806" s="1330"/>
      <c r="AA806" s="237"/>
      <c r="AC806" s="237"/>
    </row>
    <row r="807" spans="1:47" ht="12.75" customHeight="1" x14ac:dyDescent="0.2">
      <c r="A807" s="237">
        <v>807</v>
      </c>
      <c r="B807" s="5838"/>
      <c r="C807" s="1208"/>
      <c r="D807" s="2957" t="s">
        <v>10285</v>
      </c>
      <c r="E807" s="2956">
        <f>80-10</f>
        <v>70</v>
      </c>
      <c r="F807" s="2956">
        <v>-10</v>
      </c>
      <c r="G807" s="2956">
        <v>0</v>
      </c>
      <c r="H807" s="2956">
        <v>0</v>
      </c>
      <c r="I807" s="2956" t="s">
        <v>1501</v>
      </c>
      <c r="J807" s="2956" t="s">
        <v>1459</v>
      </c>
      <c r="K807" s="2951" t="s">
        <v>7453</v>
      </c>
      <c r="L807" s="2965" t="str">
        <f>IF($H$998&gt;0,"Conocida","Distinta")</f>
        <v>Distinta</v>
      </c>
      <c r="M807" s="2962">
        <v>0</v>
      </c>
      <c r="N807" s="2962">
        <v>2</v>
      </c>
      <c r="O807" s="2962">
        <f>Presencia_final</f>
        <v>20</v>
      </c>
      <c r="P807" s="2956"/>
      <c r="Q807" s="2956"/>
      <c r="R807" s="2956" t="s">
        <v>1459</v>
      </c>
      <c r="S807" s="2956" t="s">
        <v>1459</v>
      </c>
      <c r="T807" s="2956">
        <f>2*Principal!K53</f>
        <v>0</v>
      </c>
      <c r="U807" s="2956"/>
      <c r="V807" s="2951" t="str">
        <f>"Alcance "&amp;2*Presencia_final&amp;"m, Ver"</f>
        <v>Alcance 40m, Ver</v>
      </c>
      <c r="W807" s="2952"/>
      <c r="X807" s="2953"/>
      <c r="Y807" s="1211">
        <v>0</v>
      </c>
      <c r="Z807" s="1330"/>
      <c r="AA807" s="237"/>
      <c r="AB807" s="2943"/>
      <c r="AC807" s="237"/>
      <c r="AD807" s="2943"/>
      <c r="AE807" s="2943"/>
      <c r="AF807" s="2943"/>
      <c r="AG807" s="2943"/>
      <c r="AH807" s="2943"/>
      <c r="AI807" s="2943"/>
      <c r="AJ807" s="2943"/>
      <c r="AK807" s="2943"/>
      <c r="AL807" s="2943"/>
      <c r="AM807" s="2943"/>
      <c r="AN807" s="2943"/>
      <c r="AO807" s="2943"/>
    </row>
    <row r="808" spans="1:47" ht="12.75" customHeight="1" x14ac:dyDescent="0.2">
      <c r="A808" s="237">
        <v>808</v>
      </c>
      <c r="B808" s="5838"/>
      <c r="C808" s="1208"/>
      <c r="D808" s="2957" t="s">
        <v>10286</v>
      </c>
      <c r="E808" s="2956">
        <f>60-10</f>
        <v>50</v>
      </c>
      <c r="F808" s="2956">
        <v>-10</v>
      </c>
      <c r="G808" s="2956">
        <v>0</v>
      </c>
      <c r="H808" s="2956">
        <v>0</v>
      </c>
      <c r="I808" s="2956" t="s">
        <v>1501</v>
      </c>
      <c r="J808" s="2956" t="s">
        <v>1459</v>
      </c>
      <c r="K808" s="2951" t="s">
        <v>7453</v>
      </c>
      <c r="L808" s="2965" t="str">
        <f>IF($H$999&gt;0,"Conocida","Distinta")</f>
        <v>Distinta</v>
      </c>
      <c r="M808" s="2962">
        <v>0</v>
      </c>
      <c r="N808" s="2962">
        <v>2</v>
      </c>
      <c r="O808" s="2962">
        <f>Presencia_final</f>
        <v>20</v>
      </c>
      <c r="P808" s="2956"/>
      <c r="Q808" s="2956"/>
      <c r="R808" s="2956" t="s">
        <v>1459</v>
      </c>
      <c r="S808" s="2956" t="s">
        <v>1459</v>
      </c>
      <c r="T808" s="2956">
        <f>2*Principal!K54</f>
        <v>0</v>
      </c>
      <c r="U808" s="2956"/>
      <c r="V808" s="2951" t="str">
        <f>"Alcance "&amp;2*Presencia_final&amp;"m, Resonancia mejorada, Ver"</f>
        <v>Alcance 40m, Resonancia mejorada, Ver</v>
      </c>
      <c r="W808" s="2952"/>
      <c r="X808" s="2953"/>
      <c r="Y808" s="1211">
        <v>0</v>
      </c>
      <c r="Z808" s="1330"/>
      <c r="AA808" s="237"/>
      <c r="AB808" s="2943"/>
      <c r="AC808" s="237"/>
      <c r="AD808" s="2943"/>
      <c r="AE808" s="2943"/>
      <c r="AF808" s="2943"/>
      <c r="AG808" s="2943"/>
      <c r="AH808" s="2943"/>
      <c r="AI808" s="2943"/>
      <c r="AJ808" s="2943"/>
      <c r="AK808" s="2943"/>
      <c r="AL808" s="2943"/>
      <c r="AM808" s="2943"/>
      <c r="AN808" s="2943"/>
      <c r="AO808" s="2943"/>
    </row>
    <row r="809" spans="1:47" ht="12.75" customHeight="1" x14ac:dyDescent="0.2">
      <c r="A809" s="237">
        <v>809</v>
      </c>
      <c r="B809" s="5838"/>
      <c r="C809" s="1208"/>
      <c r="D809" s="2957" t="s">
        <v>10287</v>
      </c>
      <c r="E809" s="2956">
        <f>60-10</f>
        <v>50</v>
      </c>
      <c r="F809" s="2956">
        <v>-10</v>
      </c>
      <c r="G809" s="2956">
        <v>0</v>
      </c>
      <c r="H809" s="2956">
        <v>0</v>
      </c>
      <c r="I809" s="2956" t="s">
        <v>1501</v>
      </c>
      <c r="J809" s="2956" t="s">
        <v>1459</v>
      </c>
      <c r="K809" s="2951" t="s">
        <v>7453</v>
      </c>
      <c r="L809" s="2965" t="str">
        <f>IF($H$1000&gt;0,"Conocida","Distinta")</f>
        <v>Distinta</v>
      </c>
      <c r="M809" s="2962">
        <v>0</v>
      </c>
      <c r="N809" s="2962">
        <v>2</v>
      </c>
      <c r="O809" s="2962">
        <f>Presencia_final</f>
        <v>20</v>
      </c>
      <c r="P809" s="2956"/>
      <c r="Q809" s="2956"/>
      <c r="R809" s="2956" t="s">
        <v>1459</v>
      </c>
      <c r="S809" s="2956" t="s">
        <v>1459</v>
      </c>
      <c r="T809" s="2956">
        <f>2*Principal!K55</f>
        <v>0</v>
      </c>
      <c r="U809" s="2956"/>
      <c r="V809" s="2951" t="str">
        <f>"Alcance "&amp;2*Presencia_final&amp;"m, Impacto FUE 12, Ver"</f>
        <v>Alcance 40m, Impacto FUE 12, Ver</v>
      </c>
      <c r="W809" s="2952"/>
      <c r="X809" s="2953"/>
      <c r="Y809" s="1211">
        <v>0</v>
      </c>
      <c r="Z809" s="1330"/>
      <c r="AA809" s="237"/>
      <c r="AB809" s="2943"/>
      <c r="AC809" s="237"/>
      <c r="AD809" s="2943"/>
      <c r="AE809" s="2943"/>
      <c r="AF809" s="2943"/>
      <c r="AG809" s="2943"/>
      <c r="AH809" s="2943"/>
      <c r="AI809" s="2943"/>
      <c r="AJ809" s="2943"/>
      <c r="AK809" s="2943"/>
      <c r="AL809" s="2943"/>
      <c r="AM809" s="2943"/>
      <c r="AN809" s="2943"/>
      <c r="AO809" s="2943"/>
    </row>
    <row r="810" spans="1:47" ht="12.75" customHeight="1" x14ac:dyDescent="0.2">
      <c r="A810" s="237">
        <v>810</v>
      </c>
      <c r="B810" s="5838"/>
      <c r="C810" s="1208"/>
      <c r="D810" s="2957" t="s">
        <v>2250</v>
      </c>
      <c r="E810" s="2956">
        <f>60-10</f>
        <v>50</v>
      </c>
      <c r="F810" s="2956">
        <v>0</v>
      </c>
      <c r="G810" s="2956">
        <v>5</v>
      </c>
      <c r="H810" s="2956">
        <v>5</v>
      </c>
      <c r="I810" s="2956" t="s">
        <v>2251</v>
      </c>
      <c r="J810" s="2956" t="s">
        <v>1459</v>
      </c>
      <c r="K810" s="2947" t="s">
        <v>7453</v>
      </c>
      <c r="L810" s="2965" t="str">
        <f>IF(SUMPRODUCT(--ISNUMBER(SEARCH($D810,INDEX(Tabla_ArsMagnus,,1))),INDEX(Tabla_ArsMagnus,,4))&gt;0,"Conocida","Distinta")</f>
        <v>Distinta</v>
      </c>
      <c r="M810" s="2962">
        <v>15</v>
      </c>
      <c r="N810" s="2962">
        <v>2</v>
      </c>
      <c r="O810" s="2962">
        <f>Presencia_final</f>
        <v>20</v>
      </c>
      <c r="P810" s="2956"/>
      <c r="Q810" s="2956"/>
      <c r="R810" s="2956" t="s">
        <v>1459</v>
      </c>
      <c r="S810" s="2956" t="s">
        <v>1459</v>
      </c>
      <c r="T810" s="2956" t="s">
        <v>1459</v>
      </c>
      <c r="U810" s="2956"/>
      <c r="V810" s="2947" t="s">
        <v>2252</v>
      </c>
      <c r="W810" s="2952"/>
      <c r="X810" s="2953"/>
      <c r="Y810" s="1211">
        <f>Bono_Fue</f>
        <v>0</v>
      </c>
      <c r="Z810" s="1330"/>
      <c r="AA810" s="237"/>
      <c r="AC810" s="237"/>
    </row>
    <row r="811" spans="1:47" ht="12.75" customHeight="1" x14ac:dyDescent="0.2">
      <c r="A811" s="237">
        <v>811</v>
      </c>
      <c r="B811" s="5838"/>
      <c r="C811" s="1208"/>
      <c r="D811" s="2957" t="s">
        <v>7274</v>
      </c>
      <c r="E811" s="2956">
        <v>50</v>
      </c>
      <c r="F811" s="2956">
        <v>0</v>
      </c>
      <c r="G811" s="2956">
        <v>5</v>
      </c>
      <c r="H811" s="2956">
        <v>5</v>
      </c>
      <c r="I811" s="2956" t="s">
        <v>1555</v>
      </c>
      <c r="J811" s="2956" t="s">
        <v>1556</v>
      </c>
      <c r="K811" s="2947" t="s">
        <v>7453</v>
      </c>
      <c r="L811" s="2965" t="str">
        <f>IF(AND(H1002&gt;0,OR(L668="Conocida",L707="Conocida"),L692="Conocida"),"Conocida","Distinta")</f>
        <v>Distinta</v>
      </c>
      <c r="M811" s="2962">
        <v>13</v>
      </c>
      <c r="N811" s="2962">
        <v>2</v>
      </c>
      <c r="O811" s="2962">
        <v>35</v>
      </c>
      <c r="P811" s="2956"/>
      <c r="Q811" s="2956"/>
      <c r="R811" s="2956" t="s">
        <v>1459</v>
      </c>
      <c r="S811" s="2956" t="s">
        <v>1459</v>
      </c>
      <c r="T811" s="2956" t="s">
        <v>1459</v>
      </c>
      <c r="U811" s="2956"/>
      <c r="V811" s="2947" t="s">
        <v>1459</v>
      </c>
      <c r="W811" s="2952"/>
      <c r="X811" s="2953"/>
      <c r="Y811" s="1211">
        <f>Bono_Fue</f>
        <v>0</v>
      </c>
      <c r="Z811" s="1330"/>
      <c r="AA811" s="237"/>
      <c r="AC811" s="237"/>
    </row>
    <row r="812" spans="1:47" ht="12.75" customHeight="1" x14ac:dyDescent="0.2">
      <c r="A812" s="237">
        <v>812</v>
      </c>
      <c r="B812" s="5838"/>
      <c r="C812" s="1208"/>
      <c r="D812" s="2957" t="s">
        <v>7275</v>
      </c>
      <c r="E812" s="2956">
        <v>40</v>
      </c>
      <c r="F812" s="2956">
        <v>-10</v>
      </c>
      <c r="G812" s="2956">
        <v>5</v>
      </c>
      <c r="H812" s="2956">
        <v>5</v>
      </c>
      <c r="I812" s="2956" t="s">
        <v>1555</v>
      </c>
      <c r="J812" s="2956" t="s">
        <v>1556</v>
      </c>
      <c r="K812" s="2947" t="s">
        <v>7453</v>
      </c>
      <c r="L812" s="2965" t="str">
        <f>L811</f>
        <v>Distinta</v>
      </c>
      <c r="M812" s="2962">
        <v>13</v>
      </c>
      <c r="N812" s="2962">
        <v>2</v>
      </c>
      <c r="O812" s="2962">
        <v>35</v>
      </c>
      <c r="P812" s="2956"/>
      <c r="Q812" s="2956"/>
      <c r="R812" s="2956" t="s">
        <v>1459</v>
      </c>
      <c r="S812" s="2956" t="s">
        <v>1459</v>
      </c>
      <c r="T812" s="2956" t="s">
        <v>1459</v>
      </c>
      <c r="U812" s="2956"/>
      <c r="V812" s="2947" t="s">
        <v>8863</v>
      </c>
      <c r="W812" s="2952"/>
      <c r="X812" s="2953"/>
      <c r="Y812" s="1211">
        <f>Bono_Fue</f>
        <v>0</v>
      </c>
      <c r="Z812" s="1330"/>
      <c r="AA812" s="237"/>
      <c r="AC812" s="237"/>
    </row>
    <row r="813" spans="1:47" ht="12.75" customHeight="1" x14ac:dyDescent="0.2">
      <c r="A813" s="237">
        <v>813</v>
      </c>
      <c r="B813" s="5838"/>
      <c r="C813" s="1208"/>
      <c r="D813" s="2957" t="s">
        <v>2253</v>
      </c>
      <c r="E813" s="2956">
        <f>50-10-IF(Ki!Q38&gt;0,10,0)+50*V601</f>
        <v>40</v>
      </c>
      <c r="F813" s="2956">
        <v>10</v>
      </c>
      <c r="G813" s="2956">
        <v>4</v>
      </c>
      <c r="H813" s="2956">
        <v>4</v>
      </c>
      <c r="I813" s="2956" t="s">
        <v>1556</v>
      </c>
      <c r="J813" s="2956" t="s">
        <v>1501</v>
      </c>
      <c r="K813" s="2947" t="s">
        <v>7453</v>
      </c>
      <c r="L813" s="2965" t="str">
        <f>IF(OR(H1004&gt;0,H1003&gt;0),"Conocida","Distinta")</f>
        <v>Distinta</v>
      </c>
      <c r="M813" s="2962">
        <v>0</v>
      </c>
      <c r="N813" s="2962">
        <v>0</v>
      </c>
      <c r="O813" s="2962" t="s">
        <v>8814</v>
      </c>
      <c r="P813" s="2956"/>
      <c r="Q813" s="2956"/>
      <c r="R813" s="2956">
        <v>100</v>
      </c>
      <c r="S813" s="2956" t="s">
        <v>1459</v>
      </c>
      <c r="T813" s="2956">
        <v>10</v>
      </c>
      <c r="U813" s="2956"/>
      <c r="V813" s="2947" t="str">
        <f>"Lanzable (100/XXXm)"&amp;IF(V602&gt;0,", Penetrante","")&amp;IF(V603&gt;0,", Área "&amp;5+MAX(0,5*TRUNC((HA_final-200)/50))&amp;"m","")&amp;IF(V604&gt;0,", Precisión absoluta","")&amp;IF(V605&gt;0,", +40 nivel de crítico","")&amp;IF(V606&gt;0,", Quebrantador de escudos","")</f>
        <v>Lanzable (100/XXXm)</v>
      </c>
      <c r="W813" s="2952"/>
      <c r="X813" s="2953"/>
      <c r="Y813" s="1211">
        <v>0</v>
      </c>
      <c r="Z813" s="1330"/>
      <c r="AA813" s="237"/>
      <c r="AC813" s="237"/>
    </row>
    <row r="814" spans="1:47" ht="12.75" customHeight="1" x14ac:dyDescent="0.2">
      <c r="A814" s="237">
        <v>814</v>
      </c>
      <c r="B814" s="5838"/>
      <c r="C814" s="1208"/>
      <c r="D814" s="2957" t="s">
        <v>2254</v>
      </c>
      <c r="E814" s="2956">
        <f>100</f>
        <v>100</v>
      </c>
      <c r="F814" s="2956">
        <v>20</v>
      </c>
      <c r="G814" s="2956">
        <v>3</v>
      </c>
      <c r="H814" s="2956">
        <v>3</v>
      </c>
      <c r="I814" s="2956" t="s">
        <v>1556</v>
      </c>
      <c r="J814" s="2956" t="s">
        <v>1459</v>
      </c>
      <c r="K814" s="2947" t="s">
        <v>7453</v>
      </c>
      <c r="L814" s="2965" t="str">
        <f>IF(H1005&gt;0,"Conocida","Distinta")</f>
        <v>Distinta</v>
      </c>
      <c r="M814" s="2962">
        <v>8</v>
      </c>
      <c r="N814" s="2962">
        <v>-5</v>
      </c>
      <c r="O814" s="2962">
        <v>20</v>
      </c>
      <c r="P814" s="2956"/>
      <c r="Q814" s="2956"/>
      <c r="R814" s="2956">
        <v>30</v>
      </c>
      <c r="S814" s="2956" t="s">
        <v>1459</v>
      </c>
      <c r="T814" s="2956">
        <v>10</v>
      </c>
      <c r="U814" s="2956"/>
      <c r="V814" s="2947" t="s">
        <v>8864</v>
      </c>
      <c r="W814" s="2952"/>
      <c r="X814" s="2953"/>
      <c r="Y814" s="1211">
        <f>Bono_Des</f>
        <v>0</v>
      </c>
      <c r="Z814" s="1330"/>
    </row>
    <row r="815" spans="1:47" ht="12.75" customHeight="1" x14ac:dyDescent="0.2">
      <c r="A815" s="237">
        <v>815</v>
      </c>
      <c r="B815" s="5838"/>
      <c r="C815" s="1208"/>
      <c r="D815" s="2957" t="s">
        <v>2255</v>
      </c>
      <c r="E815" s="2956">
        <f>70-10</f>
        <v>60</v>
      </c>
      <c r="F815" s="2956">
        <v>10</v>
      </c>
      <c r="G815" s="2956">
        <v>3</v>
      </c>
      <c r="H815" s="2956">
        <v>3</v>
      </c>
      <c r="I815" s="2956" t="s">
        <v>1555</v>
      </c>
      <c r="J815" s="2956" t="s">
        <v>1501</v>
      </c>
      <c r="K815" s="2947" t="s">
        <v>7453</v>
      </c>
      <c r="L815" s="2965" t="str">
        <f>IF(H1006&gt;0,"Conocida","Distinta")</f>
        <v>Distinta</v>
      </c>
      <c r="M815" s="2962">
        <v>20</v>
      </c>
      <c r="N815" s="2962">
        <v>5</v>
      </c>
      <c r="O815" s="2962">
        <v>30</v>
      </c>
      <c r="P815" s="2956"/>
      <c r="Q815" s="2956"/>
      <c r="R815" s="2956" t="s">
        <v>1459</v>
      </c>
      <c r="S815" s="2956" t="s">
        <v>1459</v>
      </c>
      <c r="T815" s="2956" t="s">
        <v>1459</v>
      </c>
      <c r="U815" s="2956"/>
      <c r="V815" s="2947" t="s">
        <v>7232</v>
      </c>
      <c r="W815" s="2952"/>
      <c r="X815" s="2953"/>
      <c r="Y815" s="1211">
        <v>0</v>
      </c>
      <c r="Z815" s="1330"/>
    </row>
    <row r="816" spans="1:47" ht="12.75" customHeight="1" x14ac:dyDescent="0.2">
      <c r="A816" s="237">
        <v>816</v>
      </c>
      <c r="B816" s="5838"/>
      <c r="C816" s="1208"/>
      <c r="D816" s="2957" t="s">
        <v>2256</v>
      </c>
      <c r="E816" s="2956">
        <f>30</f>
        <v>30</v>
      </c>
      <c r="F816" s="2956">
        <v>20</v>
      </c>
      <c r="G816" s="2956">
        <v>0</v>
      </c>
      <c r="H816" s="2956">
        <v>0</v>
      </c>
      <c r="I816" s="2956" t="s">
        <v>1501</v>
      </c>
      <c r="J816" s="2956" t="s">
        <v>1459</v>
      </c>
      <c r="K816" s="2947" t="s">
        <v>7453</v>
      </c>
      <c r="L816" s="2965" t="str">
        <f>IF(H1007&gt;0,"Conocida","Distinta")</f>
        <v>Distinta</v>
      </c>
      <c r="M816" s="2962">
        <v>8</v>
      </c>
      <c r="N816" s="2962">
        <v>-2</v>
      </c>
      <c r="O816" s="2962">
        <v>20</v>
      </c>
      <c r="P816" s="2956"/>
      <c r="Q816" s="2956"/>
      <c r="R816" s="2956" t="s">
        <v>1459</v>
      </c>
      <c r="S816" s="2956" t="s">
        <v>1459</v>
      </c>
      <c r="T816" s="2956" t="s">
        <v>1459</v>
      </c>
      <c r="U816" s="2956"/>
      <c r="V816" s="2947" t="s">
        <v>2257</v>
      </c>
      <c r="W816" s="2952"/>
      <c r="X816" s="2953"/>
      <c r="Y816" s="1211">
        <f>Bono_Des</f>
        <v>0</v>
      </c>
      <c r="Z816" s="1330"/>
    </row>
    <row r="817" spans="1:64" ht="12.75" customHeight="1" thickBot="1" x14ac:dyDescent="0.25">
      <c r="A817" s="237">
        <v>817</v>
      </c>
      <c r="B817" s="5838"/>
      <c r="C817" s="1212"/>
      <c r="D817" s="1213" t="s">
        <v>2258</v>
      </c>
      <c r="E817" s="1214">
        <f>60-10</f>
        <v>50</v>
      </c>
      <c r="F817" s="1214">
        <v>0</v>
      </c>
      <c r="G817" s="1214">
        <v>0</v>
      </c>
      <c r="H817" s="1214">
        <v>0</v>
      </c>
      <c r="I817" s="1214" t="s">
        <v>1555</v>
      </c>
      <c r="J817" s="1214" t="s">
        <v>1556</v>
      </c>
      <c r="K817" s="1127" t="s">
        <v>7453</v>
      </c>
      <c r="L817" s="1215" t="str">
        <f>IF(AND(H1008&gt;0,AA612&gt;0),"Conocida","Distinta")</f>
        <v>Distinta</v>
      </c>
      <c r="M817" s="1216">
        <v>10</v>
      </c>
      <c r="N817" s="1216">
        <v>11</v>
      </c>
      <c r="O817" s="1216">
        <f>Presencia_final*2</f>
        <v>40</v>
      </c>
      <c r="P817" s="1214"/>
      <c r="Q817" s="1214"/>
      <c r="R817" s="1214" t="s">
        <v>1459</v>
      </c>
      <c r="S817" s="1214" t="s">
        <v>1459</v>
      </c>
      <c r="T817" s="1214" t="s">
        <v>1459</v>
      </c>
      <c r="U817" s="1214"/>
      <c r="V817" s="1127" t="s">
        <v>10259</v>
      </c>
      <c r="W817" s="1217"/>
      <c r="X817" s="2954"/>
      <c r="Y817" s="2971">
        <v>0</v>
      </c>
      <c r="Z817" s="1334"/>
    </row>
    <row r="818" spans="1:64" ht="12.75" customHeight="1" x14ac:dyDescent="0.2">
      <c r="A818" s="237">
        <v>818</v>
      </c>
      <c r="B818" s="5838"/>
      <c r="H818"/>
      <c r="I818" s="592"/>
      <c r="N818"/>
      <c r="O818" s="592"/>
    </row>
    <row r="819" spans="1:64" ht="12.75" customHeight="1" x14ac:dyDescent="0.2">
      <c r="A819" s="237">
        <v>819</v>
      </c>
      <c r="B819" s="5838"/>
      <c r="C819" s="5812" t="s">
        <v>7506</v>
      </c>
      <c r="D819" s="5812"/>
      <c r="E819" s="5812"/>
      <c r="F819" s="5812"/>
      <c r="G819" s="5812"/>
      <c r="H819" s="5812"/>
      <c r="I819" s="5812"/>
      <c r="J819" s="5812"/>
      <c r="K819" s="5812"/>
      <c r="L819" s="5812"/>
      <c r="M819" s="5812"/>
      <c r="N819" s="5812"/>
      <c r="O819" s="5812"/>
      <c r="P819" s="5812"/>
      <c r="Q819" s="5812"/>
      <c r="R819" s="5812"/>
      <c r="S819" s="5812"/>
      <c r="T819" s="5812"/>
      <c r="U819" s="5812"/>
      <c r="V819" s="5812"/>
      <c r="W819" s="5812"/>
      <c r="X819" s="5812"/>
      <c r="Y819" s="5812"/>
      <c r="Z819" s="5812"/>
      <c r="AA819" s="5812"/>
      <c r="AB819" s="5812"/>
      <c r="AC819" s="5812"/>
      <c r="AD819" s="5812"/>
      <c r="AE819" s="5812"/>
      <c r="AF819" s="5812"/>
      <c r="AG819" s="5812"/>
      <c r="AH819" s="5812"/>
      <c r="AI819" s="5812"/>
      <c r="AJ819" s="5812"/>
      <c r="AK819" s="5812"/>
      <c r="AL819" s="5812"/>
      <c r="AM819" s="5812"/>
      <c r="AN819" s="5812"/>
      <c r="AO819" s="5812"/>
      <c r="AP819" s="5812"/>
      <c r="AQ819" s="5812"/>
      <c r="AR819" s="5812"/>
      <c r="AS819" s="5812"/>
      <c r="AT819" s="5812"/>
      <c r="AU819" s="5812"/>
      <c r="AV819" s="5812"/>
      <c r="AW819" s="5812"/>
      <c r="AX819" s="5812"/>
      <c r="AY819" s="5812"/>
      <c r="AZ819" s="5812"/>
      <c r="BA819" s="5812"/>
      <c r="BB819" s="5812"/>
      <c r="BC819" s="5812"/>
      <c r="BD819" s="5812"/>
      <c r="BE819" s="5812"/>
      <c r="BF819" s="5812"/>
      <c r="BG819" s="5812"/>
      <c r="BH819" s="5812"/>
      <c r="BI819" s="5812"/>
      <c r="BJ819" s="5812"/>
      <c r="BK819" s="5812"/>
      <c r="BL819" s="5812"/>
    </row>
    <row r="820" spans="1:64" ht="12.75" customHeight="1" x14ac:dyDescent="0.2">
      <c r="A820" s="237">
        <v>820</v>
      </c>
      <c r="B820" s="5838"/>
      <c r="C820" s="5812"/>
      <c r="D820" s="5812"/>
      <c r="E820" s="5812"/>
      <c r="F820" s="5812"/>
      <c r="G820" s="5812"/>
      <c r="H820" s="5812"/>
      <c r="I820" s="5812"/>
      <c r="J820" s="5812"/>
      <c r="K820" s="5812"/>
      <c r="L820" s="5812"/>
      <c r="M820" s="5812"/>
      <c r="N820" s="5812"/>
      <c r="O820" s="5812"/>
      <c r="P820" s="5812"/>
      <c r="Q820" s="5812"/>
      <c r="R820" s="5812"/>
      <c r="S820" s="5812"/>
      <c r="T820" s="5812"/>
      <c r="U820" s="5812"/>
      <c r="V820" s="5812"/>
      <c r="W820" s="5812"/>
      <c r="X820" s="5812"/>
      <c r="Y820" s="5812"/>
      <c r="Z820" s="5812"/>
      <c r="AA820" s="5812"/>
      <c r="AB820" s="5812"/>
      <c r="AC820" s="5812"/>
      <c r="AD820" s="5812"/>
      <c r="AE820" s="5812"/>
      <c r="AF820" s="5812"/>
      <c r="AG820" s="5812"/>
      <c r="AH820" s="5812"/>
      <c r="AI820" s="5812"/>
      <c r="AJ820" s="5812"/>
      <c r="AK820" s="5812"/>
      <c r="AL820" s="5812"/>
      <c r="AM820" s="5812"/>
      <c r="AN820" s="5812"/>
      <c r="AO820" s="5812"/>
      <c r="AP820" s="5812"/>
      <c r="AQ820" s="5812"/>
      <c r="AR820" s="5812"/>
      <c r="AS820" s="5812"/>
      <c r="AT820" s="5812"/>
      <c r="AU820" s="5812"/>
      <c r="AV820" s="5812"/>
      <c r="AW820" s="5812"/>
      <c r="AX820" s="5812"/>
      <c r="AY820" s="5812"/>
      <c r="AZ820" s="5812"/>
      <c r="BA820" s="5812"/>
      <c r="BB820" s="5812"/>
      <c r="BC820" s="5812"/>
      <c r="BD820" s="5812"/>
      <c r="BE820" s="5812"/>
      <c r="BF820" s="5812"/>
      <c r="BG820" s="5812"/>
      <c r="BH820" s="5812"/>
      <c r="BI820" s="5812"/>
      <c r="BJ820" s="5812"/>
      <c r="BK820" s="5812"/>
      <c r="BL820" s="5812"/>
    </row>
    <row r="821" spans="1:64" ht="12.75" customHeight="1" x14ac:dyDescent="0.2">
      <c r="A821" s="237">
        <v>821</v>
      </c>
      <c r="B821" s="5838"/>
      <c r="C821" s="5812"/>
      <c r="D821" s="5812"/>
      <c r="E821" s="5812"/>
      <c r="F821" s="5812"/>
      <c r="G821" s="5812"/>
      <c r="H821" s="5812"/>
      <c r="I821" s="5812"/>
      <c r="J821" s="5812"/>
      <c r="K821" s="5812"/>
      <c r="L821" s="5812"/>
      <c r="M821" s="5812"/>
      <c r="N821" s="5812"/>
      <c r="O821" s="5812"/>
      <c r="P821" s="5812"/>
      <c r="Q821" s="5812"/>
      <c r="R821" s="5812"/>
      <c r="S821" s="5812"/>
      <c r="T821" s="5812"/>
      <c r="U821" s="5812"/>
      <c r="V821" s="5812"/>
      <c r="W821" s="5812"/>
      <c r="X821" s="5812"/>
      <c r="Y821" s="5812"/>
      <c r="Z821" s="5812"/>
      <c r="AA821" s="5812"/>
      <c r="AB821" s="5812"/>
      <c r="AC821" s="5812"/>
      <c r="AD821" s="5812"/>
      <c r="AE821" s="5812"/>
      <c r="AF821" s="5812"/>
      <c r="AG821" s="5812"/>
      <c r="AH821" s="5812"/>
      <c r="AI821" s="5812"/>
      <c r="AJ821" s="5812"/>
      <c r="AK821" s="5812"/>
      <c r="AL821" s="5812"/>
      <c r="AM821" s="5812"/>
      <c r="AN821" s="5812"/>
      <c r="AO821" s="5812"/>
      <c r="AP821" s="5812"/>
      <c r="AQ821" s="5812"/>
      <c r="AR821" s="5812"/>
      <c r="AS821" s="5812"/>
      <c r="AT821" s="5812"/>
      <c r="AU821" s="5812"/>
      <c r="AV821" s="5812"/>
      <c r="AW821" s="5812"/>
      <c r="AX821" s="5812"/>
      <c r="AY821" s="5812"/>
      <c r="AZ821" s="5812"/>
      <c r="BA821" s="5812"/>
      <c r="BB821" s="5812"/>
      <c r="BC821" s="5812"/>
      <c r="BD821" s="5812"/>
      <c r="BE821" s="5812"/>
      <c r="BF821" s="5812"/>
      <c r="BG821" s="5812"/>
      <c r="BH821" s="5812"/>
      <c r="BI821" s="5812"/>
      <c r="BJ821" s="5812"/>
      <c r="BK821" s="5812"/>
      <c r="BL821" s="5812"/>
    </row>
    <row r="822" spans="1:64" ht="12.75" customHeight="1" thickBot="1" x14ac:dyDescent="0.25">
      <c r="A822" s="237">
        <v>822</v>
      </c>
      <c r="B822" s="5838"/>
      <c r="C822" s="742"/>
      <c r="H822"/>
      <c r="N822"/>
    </row>
    <row r="823" spans="1:64" ht="12.75" customHeight="1" thickBot="1" x14ac:dyDescent="0.25">
      <c r="A823" s="237">
        <v>823</v>
      </c>
      <c r="B823" s="5838"/>
      <c r="C823" s="5922" t="s">
        <v>857</v>
      </c>
      <c r="D823" s="5923"/>
      <c r="E823" s="5923"/>
      <c r="F823" s="5923"/>
      <c r="G823" s="5923"/>
      <c r="H823" s="5923"/>
      <c r="I823" s="5923"/>
      <c r="J823" s="5923"/>
      <c r="K823" s="5923"/>
      <c r="L823" s="5923"/>
      <c r="M823" s="5923"/>
      <c r="N823" s="5923"/>
      <c r="O823" s="5923"/>
      <c r="P823" s="5923"/>
      <c r="Q823" s="5923"/>
      <c r="R823" s="5923"/>
      <c r="S823" s="5923"/>
      <c r="T823" s="5923"/>
      <c r="U823" s="5923"/>
      <c r="V823" s="5923"/>
      <c r="W823" s="5923"/>
      <c r="X823" s="5923"/>
      <c r="Y823" s="5923"/>
      <c r="Z823" s="5923"/>
      <c r="AA823" s="5923"/>
      <c r="AB823" s="5923"/>
      <c r="AC823" s="5924"/>
      <c r="AD823" s="2646"/>
      <c r="AE823" s="5749" t="s">
        <v>8947</v>
      </c>
      <c r="AF823" s="5750"/>
      <c r="AG823" s="5751"/>
      <c r="AI823" s="5749" t="s">
        <v>8959</v>
      </c>
      <c r="AJ823" s="5750"/>
      <c r="AK823" s="5750"/>
      <c r="AL823" s="5750"/>
      <c r="AM823" s="5750"/>
      <c r="AN823" s="5750"/>
      <c r="AO823" s="5750"/>
      <c r="AP823" s="5750"/>
      <c r="AQ823" s="5750"/>
      <c r="AR823" s="5750"/>
      <c r="AS823" s="5750"/>
      <c r="AT823" s="5750"/>
      <c r="AU823" s="5750"/>
      <c r="AV823" s="5750"/>
      <c r="AW823" s="5750"/>
      <c r="AX823" s="5750"/>
      <c r="AY823" s="5750"/>
      <c r="AZ823" s="5750"/>
      <c r="BA823" s="5750"/>
      <c r="BB823" s="5750"/>
      <c r="BC823" s="5750"/>
      <c r="BD823" s="5750"/>
      <c r="BE823" s="5750"/>
      <c r="BF823" s="5750"/>
      <c r="BG823" s="5750"/>
      <c r="BH823" s="5750"/>
      <c r="BI823" s="5750"/>
      <c r="BJ823" s="5750"/>
      <c r="BK823" s="5750"/>
      <c r="BL823" s="5751"/>
    </row>
    <row r="824" spans="1:64" ht="12.75" customHeight="1" thickBot="1" x14ac:dyDescent="0.25">
      <c r="A824" s="237">
        <v>824</v>
      </c>
      <c r="B824" s="5838"/>
      <c r="C824" s="5925"/>
      <c r="D824" s="5926"/>
      <c r="E824" s="5926"/>
      <c r="F824" s="5926"/>
      <c r="G824" s="5926"/>
      <c r="H824" s="5926"/>
      <c r="I824" s="5926"/>
      <c r="J824" s="5926"/>
      <c r="K824" s="5926"/>
      <c r="L824" s="5926"/>
      <c r="M824" s="5926"/>
      <c r="N824" s="5926"/>
      <c r="O824" s="5926"/>
      <c r="P824" s="5926"/>
      <c r="Q824" s="5926"/>
      <c r="R824" s="5926"/>
      <c r="S824" s="5926"/>
      <c r="T824" s="5926"/>
      <c r="U824" s="5926"/>
      <c r="V824" s="5926"/>
      <c r="W824" s="5926"/>
      <c r="X824" s="5926"/>
      <c r="Y824" s="5926"/>
      <c r="Z824" s="5926"/>
      <c r="AA824" s="5926"/>
      <c r="AB824" s="5926"/>
      <c r="AC824" s="5927"/>
      <c r="AD824" s="2646"/>
      <c r="AE824" s="1975" t="s">
        <v>6330</v>
      </c>
      <c r="AF824" s="1973" t="s">
        <v>2063</v>
      </c>
      <c r="AG824" s="1974" t="s">
        <v>8948</v>
      </c>
      <c r="AI824" s="5755" t="s">
        <v>8960</v>
      </c>
      <c r="AJ824" s="5757"/>
      <c r="AK824" s="5761" t="b">
        <f>Arma_Desarrollada="Desarmado"</f>
        <v>1</v>
      </c>
      <c r="AL824" s="5762"/>
      <c r="AM824" s="5752" t="str">
        <f>IF(Categoría_1="","",Categoría_1)</f>
        <v/>
      </c>
      <c r="AN824" s="5753"/>
      <c r="AO824" s="5753"/>
      <c r="AP824" s="5753"/>
      <c r="AQ824" s="5754"/>
      <c r="AR824" s="5755" t="str">
        <f>IF(Categoría_2="","",Categoría_2)</f>
        <v/>
      </c>
      <c r="AS824" s="5756"/>
      <c r="AT824" s="5756"/>
      <c r="AU824" s="5756"/>
      <c r="AV824" s="5757"/>
      <c r="AW824" s="5755" t="str">
        <f>IF(Categoría_3="","",Categoría_3)</f>
        <v/>
      </c>
      <c r="AX824" s="5756"/>
      <c r="AY824" s="5756"/>
      <c r="AZ824" s="5756"/>
      <c r="BA824" s="5757"/>
      <c r="BB824" s="5755" t="str">
        <f>IF(Categoría_4="","",Categoría_4)</f>
        <v/>
      </c>
      <c r="BC824" s="5756"/>
      <c r="BD824" s="5756"/>
      <c r="BE824" s="5756"/>
      <c r="BF824" s="5757"/>
      <c r="BG824" s="5755" t="str">
        <f>IF(Categoría_5="","",Categoría_5)</f>
        <v/>
      </c>
      <c r="BH824" s="5756"/>
      <c r="BI824" s="5756"/>
      <c r="BJ824" s="5756"/>
      <c r="BK824" s="5757"/>
      <c r="BL824" s="5758" t="s">
        <v>8961</v>
      </c>
    </row>
    <row r="825" spans="1:64" ht="12.75" customHeight="1" thickBot="1" x14ac:dyDescent="0.25">
      <c r="A825" s="237">
        <v>825</v>
      </c>
      <c r="B825" s="5838"/>
      <c r="C825" s="5743">
        <v>1</v>
      </c>
      <c r="D825" s="5744"/>
      <c r="E825" s="2654">
        <v>2</v>
      </c>
      <c r="F825" s="2654">
        <v>3</v>
      </c>
      <c r="G825" s="2654">
        <v>4</v>
      </c>
      <c r="H825" s="2654">
        <v>5</v>
      </c>
      <c r="I825" s="2654">
        <v>6</v>
      </c>
      <c r="J825" s="2654">
        <v>7</v>
      </c>
      <c r="K825" s="2654">
        <v>8</v>
      </c>
      <c r="L825" s="2654">
        <v>9</v>
      </c>
      <c r="M825" s="2654">
        <v>10</v>
      </c>
      <c r="N825" s="2654">
        <v>11</v>
      </c>
      <c r="O825" s="2654">
        <v>12</v>
      </c>
      <c r="P825" s="2654">
        <v>13</v>
      </c>
      <c r="Q825" s="2654">
        <v>14</v>
      </c>
      <c r="R825" s="2654">
        <v>15</v>
      </c>
      <c r="S825" s="2654">
        <v>16</v>
      </c>
      <c r="T825" s="2654">
        <v>17</v>
      </c>
      <c r="U825" s="2654">
        <v>18</v>
      </c>
      <c r="V825" s="2654">
        <v>19</v>
      </c>
      <c r="W825" s="2654">
        <v>20</v>
      </c>
      <c r="X825" s="2654">
        <v>21</v>
      </c>
      <c r="Y825" s="2654">
        <v>22</v>
      </c>
      <c r="Z825" s="2654">
        <v>23</v>
      </c>
      <c r="AA825" s="5920" t="s">
        <v>8965</v>
      </c>
      <c r="AB825" s="5920"/>
      <c r="AC825" s="5921"/>
      <c r="AE825" s="1976" t="s">
        <v>8949</v>
      </c>
      <c r="AF825" s="314">
        <v>10</v>
      </c>
      <c r="AG825" s="989">
        <v>20</v>
      </c>
      <c r="AI825" s="5747" t="s">
        <v>8966</v>
      </c>
      <c r="AJ825" s="5748"/>
      <c r="AK825" s="5745" t="b">
        <f>OR(Categoría_2&lt;&gt;"",Categoría_3&lt;&gt;"",Categoría_4&lt;&gt;"",Categoría_5&lt;&gt;"")</f>
        <v>0</v>
      </c>
      <c r="AL825" s="5746"/>
      <c r="AM825" s="1963"/>
      <c r="AN825" s="1964">
        <v>1</v>
      </c>
      <c r="AO825" s="1964">
        <v>2</v>
      </c>
      <c r="AP825" s="1964">
        <v>3</v>
      </c>
      <c r="AQ825" s="1965"/>
      <c r="AR825" s="1966"/>
      <c r="AS825" s="1964">
        <v>1</v>
      </c>
      <c r="AT825" s="1964">
        <v>2</v>
      </c>
      <c r="AU825" s="1964">
        <v>3</v>
      </c>
      <c r="AV825" s="1965"/>
      <c r="AW825" s="1966"/>
      <c r="AX825" s="1964">
        <v>1</v>
      </c>
      <c r="AY825" s="1964">
        <v>2</v>
      </c>
      <c r="AZ825" s="1964">
        <v>3</v>
      </c>
      <c r="BA825" s="1965"/>
      <c r="BB825" s="1966"/>
      <c r="BC825" s="1964">
        <v>1</v>
      </c>
      <c r="BD825" s="1964">
        <v>2</v>
      </c>
      <c r="BE825" s="1964">
        <v>3</v>
      </c>
      <c r="BF825" s="1965"/>
      <c r="BG825" s="1967"/>
      <c r="BH825" s="1964">
        <v>1</v>
      </c>
      <c r="BI825" s="1964">
        <v>2</v>
      </c>
      <c r="BJ825" s="1964">
        <v>3</v>
      </c>
      <c r="BK825" s="1968"/>
      <c r="BL825" s="5759"/>
    </row>
    <row r="826" spans="1:64" ht="12.75" customHeight="1" thickBot="1" x14ac:dyDescent="0.25">
      <c r="A826" s="237">
        <v>826</v>
      </c>
      <c r="B826" s="5838"/>
      <c r="C826" s="5896" t="s">
        <v>858</v>
      </c>
      <c r="D826" s="5897"/>
      <c r="E826" s="2655" t="s">
        <v>859</v>
      </c>
      <c r="F826" s="2655" t="s">
        <v>860</v>
      </c>
      <c r="G826" s="2655" t="s">
        <v>8973</v>
      </c>
      <c r="H826" s="2655" t="s">
        <v>861</v>
      </c>
      <c r="I826" s="2655" t="s">
        <v>7384</v>
      </c>
      <c r="J826" s="2655" t="s">
        <v>7385</v>
      </c>
      <c r="K826" s="2655" t="s">
        <v>862</v>
      </c>
      <c r="L826" s="2664" t="s">
        <v>10208</v>
      </c>
      <c r="M826" s="2664" t="s">
        <v>10209</v>
      </c>
      <c r="N826" s="5919" t="s">
        <v>1480</v>
      </c>
      <c r="O826" s="5919"/>
      <c r="P826" s="5919"/>
      <c r="Q826" s="5919"/>
      <c r="R826" s="5919"/>
      <c r="S826" s="2655" t="s">
        <v>8968</v>
      </c>
      <c r="T826" s="2655" t="s">
        <v>864</v>
      </c>
      <c r="U826" s="2655" t="s">
        <v>864</v>
      </c>
      <c r="V826" s="2655" t="s">
        <v>865</v>
      </c>
      <c r="W826" s="2655" t="s">
        <v>866</v>
      </c>
      <c r="X826" s="2655" t="s">
        <v>867</v>
      </c>
      <c r="Y826" s="2655" t="s">
        <v>2261</v>
      </c>
      <c r="Z826" s="2655" t="s">
        <v>863</v>
      </c>
      <c r="AA826" s="2656" t="s">
        <v>7420</v>
      </c>
      <c r="AB826" s="2656" t="s">
        <v>7421</v>
      </c>
      <c r="AC826" s="1325" t="s">
        <v>7422</v>
      </c>
      <c r="AE826" s="1976" t="s">
        <v>8950</v>
      </c>
      <c r="AF826" s="314">
        <v>10</v>
      </c>
      <c r="AG826" s="989">
        <v>30</v>
      </c>
      <c r="AI826" s="1969" t="s">
        <v>8962</v>
      </c>
      <c r="AJ826" s="1970" t="s">
        <v>6330</v>
      </c>
      <c r="AK826" s="1970" t="s">
        <v>1402</v>
      </c>
      <c r="AL826" s="1971" t="s">
        <v>8963</v>
      </c>
      <c r="AM826" s="1969" t="s">
        <v>8759</v>
      </c>
      <c r="AN826" s="1970" t="s">
        <v>1493</v>
      </c>
      <c r="AO826" s="1970" t="s">
        <v>1493</v>
      </c>
      <c r="AP826" s="1970" t="s">
        <v>1493</v>
      </c>
      <c r="AQ826" s="1971" t="s">
        <v>8964</v>
      </c>
      <c r="AR826" s="1969" t="s">
        <v>8759</v>
      </c>
      <c r="AS826" s="1970" t="s">
        <v>1493</v>
      </c>
      <c r="AT826" s="1970" t="s">
        <v>1493</v>
      </c>
      <c r="AU826" s="1970" t="s">
        <v>1493</v>
      </c>
      <c r="AV826" s="1971" t="s">
        <v>8964</v>
      </c>
      <c r="AW826" s="1969" t="s">
        <v>8759</v>
      </c>
      <c r="AX826" s="1970" t="s">
        <v>1493</v>
      </c>
      <c r="AY826" s="1970" t="s">
        <v>1493</v>
      </c>
      <c r="AZ826" s="1970" t="s">
        <v>1493</v>
      </c>
      <c r="BA826" s="1971" t="s">
        <v>8964</v>
      </c>
      <c r="BB826" s="1969" t="s">
        <v>8759</v>
      </c>
      <c r="BC826" s="1970" t="s">
        <v>1493</v>
      </c>
      <c r="BD826" s="1970" t="s">
        <v>1493</v>
      </c>
      <c r="BE826" s="1970" t="s">
        <v>1493</v>
      </c>
      <c r="BF826" s="1971" t="s">
        <v>8964</v>
      </c>
      <c r="BG826" s="1969" t="s">
        <v>8759</v>
      </c>
      <c r="BH826" s="1970" t="s">
        <v>1493</v>
      </c>
      <c r="BI826" s="1970" t="s">
        <v>1493</v>
      </c>
      <c r="BJ826" s="1970" t="s">
        <v>1493</v>
      </c>
      <c r="BK826" s="1971" t="s">
        <v>8964</v>
      </c>
      <c r="BL826" s="5760"/>
    </row>
    <row r="827" spans="1:64" ht="12.75" customHeight="1" x14ac:dyDescent="0.2">
      <c r="A827" s="237">
        <v>827</v>
      </c>
      <c r="B827" s="5838"/>
      <c r="C827" s="513"/>
      <c r="D827" s="2657" t="s">
        <v>868</v>
      </c>
      <c r="E827" s="2658"/>
      <c r="F827" s="2658"/>
      <c r="G827" s="2658"/>
      <c r="H827" s="2658"/>
      <c r="I827" s="2658"/>
      <c r="J827" s="2658"/>
      <c r="K827" s="2658"/>
      <c r="L827" s="2658"/>
      <c r="M827" s="2663"/>
      <c r="N827" s="2663" t="s">
        <v>1459</v>
      </c>
      <c r="O827" s="2663"/>
      <c r="P827" s="2663"/>
      <c r="Q827" s="2663"/>
      <c r="R827" s="2663"/>
      <c r="S827" s="2659">
        <f t="shared" ref="S827:S858" si="202">LEN(N827)</f>
        <v>1</v>
      </c>
      <c r="T827" s="2658"/>
      <c r="U827" s="2658"/>
      <c r="V827" s="2658"/>
      <c r="W827" s="2658"/>
      <c r="X827" s="2658">
        <f t="shared" ref="X827:X858" si="203">Y827*E827</f>
        <v>0</v>
      </c>
      <c r="Y827" s="2658"/>
      <c r="Z827" s="2658" t="s">
        <v>1459</v>
      </c>
      <c r="AA827" s="1086"/>
      <c r="AB827" s="2660"/>
      <c r="AC827" s="1338"/>
      <c r="AE827" s="1976" t="s">
        <v>8951</v>
      </c>
      <c r="AF827" s="314">
        <v>20</v>
      </c>
      <c r="AG827" s="989">
        <v>50</v>
      </c>
      <c r="AI827" s="2987" t="str">
        <f>IF(PDs!E56="","",PDs!E56)</f>
        <v/>
      </c>
      <c r="AJ827" s="2988" t="str">
        <f>IF(PDs!J56="","",PDs!J56)</f>
        <v/>
      </c>
      <c r="AK827" s="2988" t="str">
        <f t="shared" ref="AK827:AK845" si="204">IF(ISNUMBER(MATCH(AI827,$AE$832:$AE$850,0)),"Básica",IF(ISNUMBER(MATCH(AI827,$AE$851:$AE$868,0)),"Avanzada",""))</f>
        <v/>
      </c>
      <c r="AL827" s="2988" t="str">
        <f t="shared" ref="AL827:AL845" si="205">IF(AK827="Básica",MATCH(AJ827,Grado_AM_Básicas,0),IF(AK827="Avanzada",MATCH(AJ827,Grado_AM_Avanzadas,0),""))</f>
        <v/>
      </c>
      <c r="AM827" s="2989" t="str">
        <f>IFERROR("Tablas!"&amp;IF($AK$825,ADDRESS(ROW(),COLUMN(AN827)),ADDRESS(ROW(),COLUMN(INDEX(AN827:AP827,1,$AL827))))&amp;":"&amp;ADDRESS(ROW(),COLUMN(INDEX(AN827:AP827,1,$AL827))),"")</f>
        <v/>
      </c>
      <c r="AN827" s="2990">
        <f>IF(AM$824&lt;&gt;"",IF(AM$824="Tao",VLOOKUP($AK827&amp;AN$825,$AE$825:$AG$829,2,0)*IF($AK$824,0.5,1),VLOOKUP($AK827&amp;AN$825,$AE$825:$AG$829,3,0)*IF($AK$824,0.5,1)),0)</f>
        <v>0</v>
      </c>
      <c r="AO827" s="2990">
        <f>IF(AM$824&lt;&gt;"",AN827+IF(AM$824="Tao",VLOOKUP($AK827&amp;AO$825,$AE$825:$AG$829,2,0)*IF($AK$824,0.5,1),VLOOKUP($AK827&amp;AO$825,$AE$825:$AG$829,3,0)*IF($AK$824,0.5,1)),0)</f>
        <v>0</v>
      </c>
      <c r="AP827" s="2990">
        <f>IF(AM$824&lt;&gt;"",AO827+IF(AM$824="Tao",VLOOKUP($AK827&amp;AP$825,$AE$825:$AG$829,2,0)*IF($AK$824,0.5,1),VLOOKUP($AK827&amp;AP$825,$AE$825:$AG$829,3,0)*IF($AK$824,0.5,1)),0)</f>
        <v>0</v>
      </c>
      <c r="AQ827" s="2991">
        <f>IFERROR(MATCH(PDs!M56,AN827:AP827,0),0)</f>
        <v>1</v>
      </c>
      <c r="AR827" s="2989" t="str">
        <f>IFERROR(IF(AND(AQ827&lt;$AL827,AR$824&lt;&gt;""),"Tablas!"&amp;ADDRESS(ROW(),COLUMN(INDEX(AS827:AU827,1,AQ827+1)))&amp;":"&amp;ADDRESS(ROW(),COLUMN(INDEX(AS827:AU827,1,$AL827))),""),"")</f>
        <v/>
      </c>
      <c r="AS827" s="2990">
        <f>IF(AND(AR$824&lt;&gt;"",AS$825&gt;AQ827),IF(AR$824="Tao",VLOOKUP($AK827&amp;AS$825,$AE$825:$AG$829,2,0)*IF($AK$824,0.5,1),VLOOKUP($AK827&amp;AS$825,$AE$825:$AG$829,3,0)*IF($AK$824,0.5,1)),0)</f>
        <v>0</v>
      </c>
      <c r="AT827" s="2990">
        <f>IF(AND(AR$824&lt;&gt;"",AT$825&gt;AQ827),AS827+IF(AR$824="Tao",VLOOKUP($AK827&amp;AT$825,$AE$825:$AG$829,2,0)*IF($AK$824,0.5,1),VLOOKUP($AK827&amp;AT$825,$AE$825:$AG$829,3,0)*IF($AK$824,0.5,1)),0)</f>
        <v>0</v>
      </c>
      <c r="AU827" s="2990">
        <f>IF(AND(AR$824&lt;&gt;"",AU$825&gt;AQ827),AT827+IF(AR$824="Tao",VLOOKUP($AK827&amp;AU$825,$AE$825:$AG$829,2,0)*IF($AK$824,0.5,1),VLOOKUP($AK827&amp;AU$825,$AE$825:$AG$829,3,0)*IF($AK$824,0.5,1)),0)</f>
        <v>0</v>
      </c>
      <c r="AV827" s="2991">
        <f>IF(AR827="",AQ827,MAX(IFERROR(MATCH(PDs!O56,AS827:AU827,0),0),AQ827))</f>
        <v>1</v>
      </c>
      <c r="AW827" s="2989" t="str">
        <f>IFERROR(IF(AND(AV827&lt;$AL827,AW$824&lt;&gt;""),"Tablas!"&amp;ADDRESS(ROW(),COLUMN(INDEX(AX827:AZ827,1,AV827+1)))&amp;":"&amp;ADDRESS(ROW(),COLUMN(INDEX(AX827:AZ827,1,$AL827))),""),"")</f>
        <v/>
      </c>
      <c r="AX827" s="2990">
        <f>IF(AND(AW$824&lt;&gt;"",AX$825&gt;AV827),IF(AW$824="Tao",VLOOKUP($AK827&amp;AX$825,$AE$825:$AG$829,2,0)*IF($AK$824,0.5,1),VLOOKUP($AK827&amp;AX$825,$AE$825:$AG$829,3,0)*IF($AK$824,0.5,1)),0)</f>
        <v>0</v>
      </c>
      <c r="AY827" s="2990">
        <f>IF(AND(AW$824&lt;&gt;"",AY$825&gt;AV827),AX827+IF(AW$824="Tao",VLOOKUP($AK827&amp;AY$825,$AE$825:$AG$829,2,0)*IF($AK$824,0.5,1),VLOOKUP($AK827&amp;AY$825,$AE$825:$AG$829,3,0)*IF($AK$824,0.5,1)),0)</f>
        <v>0</v>
      </c>
      <c r="AZ827" s="2990">
        <f>IF(AND(AW$824&lt;&gt;"",AZ$825&gt;AV827),AY827+IF(AW$824="Tao",VLOOKUP($AK827&amp;AZ$825,$AE$825:$AG$829,2,0)*IF($AK$824,0.5,1),VLOOKUP($AK827&amp;AZ$825,$AE$825:$AG$829,3,0)*IF($AK$824,0.5,1)),0)</f>
        <v>0</v>
      </c>
      <c r="BA827" s="2991">
        <f>IF(AW827="",AV827,MAX(IFERROR(MATCH(PDs!Q56,AX827:AZ827,0),0),AV827))</f>
        <v>1</v>
      </c>
      <c r="BB827" s="2989" t="str">
        <f>IFERROR(IF(AND(BA827&lt;$AL827,BB$824&lt;&gt;""),"Tablas!"&amp;ADDRESS(ROW(),COLUMN(INDEX(BC827:BE827,1,BA827+1)))&amp;":"&amp;ADDRESS(ROW(),COLUMN(INDEX(BC827:BE827,1,$AL827))),""),"")</f>
        <v/>
      </c>
      <c r="BC827" s="2990">
        <f>IF(AND(BB$824&lt;&gt;"",BC$825&gt;BA827),IF(BB$824="Tao",VLOOKUP($AK827&amp;BC$825,$AE$825:$AG$829,2,0)*IF($AK$824,0.5,1),VLOOKUP($AK827&amp;BC$825,$AE$825:$AG$829,3,0)*IF($AK$824,0.5,1)),0)</f>
        <v>0</v>
      </c>
      <c r="BD827" s="2990">
        <f>IF(AND(BB$824&lt;&gt;"",BD$825&gt;BA827),BC827+IF(BB$824="Tao",VLOOKUP($AK827&amp;BD$825,$AE$825:$AG$829,2,0)*IF($AK$824,0.5,1),VLOOKUP($AK827&amp;BD$825,$AE$825:$AG$829,3,0)*IF($AK$824,0.5,1)),0)</f>
        <v>0</v>
      </c>
      <c r="BE827" s="2990">
        <f>IF(AND(BB$824&lt;&gt;"",BE$825&gt;BA827),BD827+IF(BB$824="Tao",VLOOKUP($AK827&amp;BE$825,$AE$825:$AG$829,2,0)*IF($AK$824,0.5,1),VLOOKUP($AK827&amp;BE$825,$AE$825:$AG$829,3,0)*IF($AK$824,0.5,1)),0)</f>
        <v>0</v>
      </c>
      <c r="BF827" s="2991">
        <f>IF(BB827="",BA827,MAX(IFERROR(MATCH(PDs!S56,BC827:BE827,0),0),BA827))</f>
        <v>1</v>
      </c>
      <c r="BG827" s="2989" t="str">
        <f>IFERROR(IF(AND(BF827&lt;$AL827,BG$824&lt;&gt;""),"Tablas!"&amp;ADDRESS(ROW(),COLUMN(INDEX(BH827:BJ827,1,BF827+1)))&amp;":"&amp;ADDRESS(ROW(),COLUMN(INDEX(BH827:BJ827,1,$AL827))),""),"")</f>
        <v/>
      </c>
      <c r="BH827" s="2990">
        <f>IF(AND(BG$824&lt;&gt;"",BH$825&gt;BF827),IF(BG$824="Tao",VLOOKUP($AK827&amp;BH$825,$AE$825:$AG$829,2,0)*IF($AK$824,0.5,1),VLOOKUP($AK827&amp;BH$825,$AE$825:$AG$829,3,0)*IF($AK$824,0.5,1)),0)</f>
        <v>0</v>
      </c>
      <c r="BI827" s="2990">
        <f>IF(AND(BG$824&lt;&gt;"",BI$825&gt;BF827),BH827+IF(BG$824="Tao",VLOOKUP($AK827&amp;BI$825,$AE$825:$AG$829,2,0)*IF($AK$824,0.5,1),VLOOKUP($AK827&amp;BI$825,$AE$825:$AG$829,3,0)*IF($AK$824,0.5,1)),0)</f>
        <v>0</v>
      </c>
      <c r="BJ827" s="2990">
        <f>IF(AND(BG$824&lt;&gt;"",BJ$825&gt;BF827),BI827+IF(BG$824="Tao",VLOOKUP($AK827&amp;BJ$825,$AE$825:$AG$829,2,0)*IF($AK$824,0.5,1),VLOOKUP($AK827&amp;BJ$825,$AE$825:$AG$829,3,0)*IF($AK$824,0.5,1)),0)</f>
        <v>0</v>
      </c>
      <c r="BK827" s="2991">
        <f>IF(BG827="",BF827,MAX(IFERROR(MATCH(PDs!U56,BH827:BJ827,0),0),BF827))</f>
        <v>1</v>
      </c>
      <c r="BL827" s="2992">
        <f t="shared" ref="BL827:BL828" si="206">IF(BK827=AL827,1,0)</f>
        <v>0</v>
      </c>
    </row>
    <row r="828" spans="1:64" ht="12.75" customHeight="1" x14ac:dyDescent="0.2">
      <c r="A828" s="237">
        <v>828</v>
      </c>
      <c r="B828" s="5838"/>
      <c r="C828" s="513"/>
      <c r="D828" s="2661" t="s">
        <v>869</v>
      </c>
      <c r="E828" s="2658">
        <f>10+Bono_Fue</f>
        <v>10</v>
      </c>
      <c r="F828" s="2658"/>
      <c r="G828" s="2658">
        <v>0</v>
      </c>
      <c r="H828" s="2658"/>
      <c r="I828" s="2658"/>
      <c r="J828" s="2658"/>
      <c r="K828" s="2658"/>
      <c r="L828" s="2658"/>
      <c r="M828" s="2663"/>
      <c r="N828" s="2663" t="s">
        <v>870</v>
      </c>
      <c r="O828" s="2663"/>
      <c r="P828" s="2663"/>
      <c r="Q828" s="2663"/>
      <c r="R828" s="2663"/>
      <c r="S828" s="2659">
        <f t="shared" si="202"/>
        <v>45</v>
      </c>
      <c r="T828" s="2658"/>
      <c r="U828" s="2658"/>
      <c r="V828" s="2658"/>
      <c r="W828" s="2658"/>
      <c r="X828" s="2658">
        <f t="shared" si="203"/>
        <v>0</v>
      </c>
      <c r="Y828" s="2658">
        <f>IF(OR(Y829&gt;0,COUNTIF(PDs!$AD$56:$AD$74,Tablas!D828)&gt;0),1,0)</f>
        <v>0</v>
      </c>
      <c r="Z828" s="2658" t="str">
        <f>IF(T.Manos_final&lt;20,"NO","-")</f>
        <v>NO</v>
      </c>
      <c r="AA828" s="1086">
        <f>HA_final-PDs!$X$22+MIN(PDs!$X$22+H$917-H828,50)</f>
        <v>0</v>
      </c>
      <c r="AB828" s="2660">
        <f>HE_final-PDs!$X$24+MIN(PDs!$X$24+I$917-I828,50)</f>
        <v>0</v>
      </c>
      <c r="AC828" s="1338">
        <f>HP_final-PDs!$X$23+MIN(PDs!$X$23+J$917-J828,50)</f>
        <v>0</v>
      </c>
      <c r="AE828" s="1976" t="s">
        <v>8952</v>
      </c>
      <c r="AF828" s="314">
        <v>20</v>
      </c>
      <c r="AG828" s="989">
        <v>50</v>
      </c>
      <c r="AI828" s="1403" t="str">
        <f>IF(PDs!E57="","",PDs!E57)</f>
        <v/>
      </c>
      <c r="AJ828" s="808" t="str">
        <f>IF(PDs!J57="","",PDs!J57)</f>
        <v/>
      </c>
      <c r="AK828" s="808" t="str">
        <f t="shared" si="204"/>
        <v/>
      </c>
      <c r="AL828" s="808" t="str">
        <f t="shared" si="205"/>
        <v/>
      </c>
      <c r="AM828" s="1086" t="str">
        <f t="shared" ref="AM828:AM845" si="207">IFERROR("Tablas!"&amp;IF($AK$825,ADDRESS(ROW(),COLUMN(AN828)),ADDRESS(ROW(),COLUMN(INDEX(AN828:AP828,1,$AL828))))&amp;":"&amp;ADDRESS(ROW(),COLUMN(INDEX(AN828:AP828,1,$AL828))),"")</f>
        <v/>
      </c>
      <c r="AN828" s="808">
        <f>IF(AM$824&lt;&gt;"",IF(AM$824="Tao",VLOOKUP($AK828&amp;AN$825,$AE$825:$AG$829,2,0),VLOOKUP($AK828&amp;AN$825,$AE$825:$AG$829,3,0)),0)</f>
        <v>0</v>
      </c>
      <c r="AO828" s="808">
        <f t="shared" ref="AO828:AO845" si="208">IF(AM$824&lt;&gt;"",AN828+IF(AM$824="Tao",VLOOKUP($AK828&amp;AO$825,$AE$825:$AG$829,2,0),VLOOKUP($AK828&amp;AO$825,$AE$825:$AG$829,3,0)),0)</f>
        <v>0</v>
      </c>
      <c r="AP828" s="808">
        <f t="shared" ref="AP828:AP845" si="209">IF(AM$824&lt;&gt;"",AO828+IF(AM$824="Tao",VLOOKUP($AK828&amp;AP$825,$AE$825:$AG$829,2,0),VLOOKUP($AK828&amp;AP$825,$AE$825:$AG$829,3,0)),0)</f>
        <v>0</v>
      </c>
      <c r="AQ828" s="333">
        <f>IFERROR(MATCH(PDs!M57,AN828:AP828,0),0)</f>
        <v>1</v>
      </c>
      <c r="AR828" s="1086" t="str">
        <f t="shared" ref="AR828:AR845" si="210">IFERROR(IF(AND(AQ828&lt;$AL828,AR$824&lt;&gt;""),"Tablas!"&amp;ADDRESS(ROW(),COLUMN(INDEX(AS828:AU828,1,AQ828+1)))&amp;":"&amp;ADDRESS(ROW(),COLUMN(INDEX(AS828:AU828,1,$AL828))),""),"")</f>
        <v/>
      </c>
      <c r="AS828" s="808">
        <f t="shared" ref="AS828:AS845" si="211">IF(AND(AR$824&lt;&gt;"",AS$825&gt;AQ828),IF(AR$824="Tao",VLOOKUP($AK828&amp;AS$825,$AE$825:$AG$829,2,0),VLOOKUP($AK828&amp;AS$825,$AE$825:$AG$829,3,0)),0)</f>
        <v>0</v>
      </c>
      <c r="AT828" s="808">
        <f t="shared" ref="AT828:AT845" si="212">IF(AND(AR$824&lt;&gt;"",AT$825&gt;AQ828),AS828+IF(AR$824="Tao",VLOOKUP($AK828&amp;AT$825,$AE$825:$AG$829,2,0),VLOOKUP($AK828&amp;AT$825,$AE$825:$AG$829,3,0)),0)</f>
        <v>0</v>
      </c>
      <c r="AU828" s="808">
        <f t="shared" ref="AU828:AU845" si="213">IF(AND(AR$824&lt;&gt;"",AU$825&gt;AQ828),AT828+IF(AR$824="Tao",VLOOKUP($AK828&amp;AU$825,$AE$825:$AG$829,2,0),VLOOKUP($AK828&amp;AU$825,$AE$825:$AG$829,3,0)),0)</f>
        <v>0</v>
      </c>
      <c r="AV828" s="333">
        <f>IF(AR828="",AQ828,MAX(IFERROR(MATCH(PDs!O57,AS828:AU828,0),0),AQ828))</f>
        <v>1</v>
      </c>
      <c r="AW828" s="2985" t="str">
        <f t="shared" ref="AW828:AW845" si="214">IFERROR(IF(AND(AV828&lt;$AL828,AW$824&lt;&gt;""),"Tablas!"&amp;ADDRESS(ROW(),COLUMN(INDEX(AX828:AZ828,1,AV828+1)))&amp;":"&amp;ADDRESS(ROW(),COLUMN(INDEX(AX828:AZ828,1,$AL828))),""),"")</f>
        <v/>
      </c>
      <c r="AX828" s="808">
        <f t="shared" ref="AX828:AX845" si="215">IF(AND(AW$824&lt;&gt;"",AX$825&gt;AV828),IF(AW$824="Tao",VLOOKUP($AK828&amp;AX$825,$AE$825:$AG$829,2,0),VLOOKUP($AK828&amp;AX$825,$AE$825:$AG$829,3,0)),0)</f>
        <v>0</v>
      </c>
      <c r="AY828" s="808">
        <f t="shared" ref="AY828:AY845" si="216">IF(AND(AW$824&lt;&gt;"",AY$825&gt;AV828),AX828+IF(AW$824="Tao",VLOOKUP($AK828&amp;AY$825,$AE$825:$AG$829,2,0),VLOOKUP($AK828&amp;AY$825,$AE$825:$AG$829,3,0)),0)</f>
        <v>0</v>
      </c>
      <c r="AZ828" s="808">
        <f t="shared" ref="AZ828:AZ845" si="217">IF(AND(AW$824&lt;&gt;"",AZ$825&gt;AV828),AY828+IF(AW$824="Tao",VLOOKUP($AK828&amp;AZ$825,$AE$825:$AG$829,2,0),VLOOKUP($AK828&amp;AZ$825,$AE$825:$AG$829,3,0)),0)</f>
        <v>0</v>
      </c>
      <c r="BA828" s="333">
        <f>IF(AW828="",AV828,MAX(IFERROR(MATCH(PDs!Q57,AX828:AZ828,0),0),AV828))</f>
        <v>1</v>
      </c>
      <c r="BB828" s="2985" t="str">
        <f t="shared" ref="BB828:BB845" si="218">IFERROR(IF(AND(BA828&lt;$AL828,BB$824&lt;&gt;""),"Tablas!"&amp;ADDRESS(ROW(),COLUMN(INDEX(BC828:BE828,1,BA828+1)))&amp;":"&amp;ADDRESS(ROW(),COLUMN(INDEX(BC828:BE828,1,$AL828))),""),"")</f>
        <v/>
      </c>
      <c r="BC828" s="808">
        <f t="shared" ref="BC828:BC845" si="219">IF(AND(BB$824&lt;&gt;"",BC$825&gt;BA828),IF(BB$824="Tao",VLOOKUP($AK828&amp;BC$825,$AE$825:$AG$829,2,0),VLOOKUP($AK828&amp;BC$825,$AE$825:$AG$829,3,0)),0)</f>
        <v>0</v>
      </c>
      <c r="BD828" s="808">
        <f t="shared" ref="BD828:BD845" si="220">IF(AND(BB$824&lt;&gt;"",BD$825&gt;BA828),BC828+IF(BB$824="Tao",VLOOKUP($AK828&amp;BD$825,$AE$825:$AG$829,2,0),VLOOKUP($AK828&amp;BD$825,$AE$825:$AG$829,3,0)),0)</f>
        <v>0</v>
      </c>
      <c r="BE828" s="808">
        <f t="shared" ref="BE828:BE845" si="221">IF(AND(BB$824&lt;&gt;"",BE$825&gt;BA828),BD828+IF(BB$824="Tao",VLOOKUP($AK828&amp;BE$825,$AE$825:$AG$829,2,0),VLOOKUP($AK828&amp;BE$825,$AE$825:$AG$829,3,0)),0)</f>
        <v>0</v>
      </c>
      <c r="BF828" s="333">
        <f>IF(BB828="",BA828,MAX(IFERROR(MATCH(PDs!S57,BC828:BE828,0),0),BA828))</f>
        <v>1</v>
      </c>
      <c r="BG828" s="2985" t="str">
        <f t="shared" ref="BG828:BG845" si="222">IFERROR(IF(AND(BF828&lt;$AL828,BG$824&lt;&gt;""),"Tablas!"&amp;ADDRESS(ROW(),COLUMN(INDEX(BH828:BJ828,1,BF828+1)))&amp;":"&amp;ADDRESS(ROW(),COLUMN(INDEX(BH828:BJ828,1,$AL828))),""),"")</f>
        <v/>
      </c>
      <c r="BH828" s="808">
        <f t="shared" ref="BH828:BH845" si="223">IF(AND(BG$824&lt;&gt;"",BH$825&gt;BF828),IF(BG$824="Tao",VLOOKUP($AK828&amp;BH$825,$AE$825:$AG$829,2,0),VLOOKUP($AK828&amp;BH$825,$AE$825:$AG$829,3,0)),0)</f>
        <v>0</v>
      </c>
      <c r="BI828" s="808">
        <f t="shared" ref="BI828:BI845" si="224">IF(AND(BG$824&lt;&gt;"",BI$825&gt;BF828),BH828+IF(BG$824="Tao",VLOOKUP($AK828&amp;BI$825,$AE$825:$AG$829,2,0),VLOOKUP($AK828&amp;BI$825,$AE$825:$AG$829,3,0)),0)</f>
        <v>0</v>
      </c>
      <c r="BJ828" s="808">
        <f t="shared" ref="BJ828:BJ845" si="225">IF(AND(BG$824&lt;&gt;"",BJ$825&gt;BF828),BI828+IF(BG$824="Tao",VLOOKUP($AK828&amp;BJ$825,$AE$825:$AG$829,2,0),VLOOKUP($AK828&amp;BJ$825,$AE$825:$AG$829,3,0)),0)</f>
        <v>0</v>
      </c>
      <c r="BK828" s="333">
        <f>IF(BG828="",BF828,MAX(IFERROR(MATCH(PDs!U57,BH828:BJ828,0),0),BF828))</f>
        <v>1</v>
      </c>
      <c r="BL828" s="693">
        <f t="shared" si="206"/>
        <v>0</v>
      </c>
    </row>
    <row r="829" spans="1:64" ht="12.75" customHeight="1" thickBot="1" x14ac:dyDescent="0.25">
      <c r="A829" s="237">
        <v>829</v>
      </c>
      <c r="B829" s="5838"/>
      <c r="C829" s="513"/>
      <c r="D829" s="2661" t="s">
        <v>871</v>
      </c>
      <c r="E829" s="2658">
        <f>10+Bono_Fue</f>
        <v>10</v>
      </c>
      <c r="F829" s="2658"/>
      <c r="G829" s="2658">
        <v>10</v>
      </c>
      <c r="H829" s="2658"/>
      <c r="I829" s="2658">
        <v>10</v>
      </c>
      <c r="J829" s="2658">
        <v>10</v>
      </c>
      <c r="K829" s="2658"/>
      <c r="L829" s="2658"/>
      <c r="M829" s="2663"/>
      <c r="N829" s="2663" t="s">
        <v>8967</v>
      </c>
      <c r="O829" s="2663"/>
      <c r="P829" s="2663"/>
      <c r="Q829" s="2663"/>
      <c r="R829" s="2663"/>
      <c r="S829" s="2659">
        <f t="shared" si="202"/>
        <v>69</v>
      </c>
      <c r="T829" s="2658"/>
      <c r="U829" s="2658"/>
      <c r="V829" s="2658"/>
      <c r="W829" s="2658"/>
      <c r="X829" s="2658">
        <f t="shared" si="203"/>
        <v>0</v>
      </c>
      <c r="Y829" s="2658">
        <f>IF(OR(Y830&gt;0,COUNTIF(PDs!$AD$56:$AD$74,Tablas!D829)&gt;0),1,0)</f>
        <v>0</v>
      </c>
      <c r="Z829" s="2658" t="str">
        <f>IF(OR(T.Manos_final&lt;40,AA829&lt;100,MAX(AB829,AC829)&lt;120),"NO","-")</f>
        <v>NO</v>
      </c>
      <c r="AA829" s="1086">
        <f>HA_final-PDs!$X$22+MIN(PDs!$X$22+H$917-H829,50)</f>
        <v>0</v>
      </c>
      <c r="AB829" s="2660">
        <f>HE_final-PDs!$X$24+MIN(PDs!$X$24+I$917-I829,50)</f>
        <v>-10</v>
      </c>
      <c r="AC829" s="1338">
        <f>HP_final-PDs!$X$23+MIN(PDs!$X$23+J$917-J829,50)</f>
        <v>-10</v>
      </c>
      <c r="AE829" s="1977" t="s">
        <v>8953</v>
      </c>
      <c r="AF829" s="318">
        <v>20</v>
      </c>
      <c r="AG829" s="995">
        <v>50</v>
      </c>
      <c r="AI829" s="1403" t="str">
        <f>IF(PDs!E58="","",PDs!E58)</f>
        <v/>
      </c>
      <c r="AJ829" s="808" t="str">
        <f>IF(PDs!J58="","",PDs!J58)</f>
        <v/>
      </c>
      <c r="AK829" s="808" t="str">
        <f t="shared" si="204"/>
        <v/>
      </c>
      <c r="AL829" s="808" t="str">
        <f t="shared" si="205"/>
        <v/>
      </c>
      <c r="AM829" s="1086" t="str">
        <f t="shared" si="207"/>
        <v/>
      </c>
      <c r="AN829" s="808">
        <f>IF(AM$824&lt;&gt;"",IF(AM$824="Tao",VLOOKUP($AK829&amp;AN$825,$AE$825:$AG$829,2,0),VLOOKUP($AK829&amp;AN$825,$AE$825:$AG$829,3,0)),0)</f>
        <v>0</v>
      </c>
      <c r="AO829" s="808">
        <f t="shared" si="208"/>
        <v>0</v>
      </c>
      <c r="AP829" s="808">
        <f t="shared" si="209"/>
        <v>0</v>
      </c>
      <c r="AQ829" s="333">
        <f>IFERROR(MATCH(PDs!M58,AN829:AP829,0),0)</f>
        <v>1</v>
      </c>
      <c r="AR829" s="1086" t="str">
        <f t="shared" si="210"/>
        <v/>
      </c>
      <c r="AS829" s="808">
        <f t="shared" si="211"/>
        <v>0</v>
      </c>
      <c r="AT829" s="808">
        <f t="shared" si="212"/>
        <v>0</v>
      </c>
      <c r="AU829" s="808">
        <f t="shared" si="213"/>
        <v>0</v>
      </c>
      <c r="AV829" s="333">
        <f>IF(AR829="",AQ829,MAX(IFERROR(MATCH(PDs!O58,AS829:AU829,0),0),AQ829))</f>
        <v>1</v>
      </c>
      <c r="AW829" s="2985" t="str">
        <f t="shared" si="214"/>
        <v/>
      </c>
      <c r="AX829" s="808">
        <f t="shared" si="215"/>
        <v>0</v>
      </c>
      <c r="AY829" s="808">
        <f t="shared" si="216"/>
        <v>0</v>
      </c>
      <c r="AZ829" s="808">
        <f t="shared" si="217"/>
        <v>0</v>
      </c>
      <c r="BA829" s="333">
        <f>IF(AW829="",AV829,MAX(IFERROR(MATCH(PDs!Q58,AX829:AZ829,0),0),AV829))</f>
        <v>1</v>
      </c>
      <c r="BB829" s="2985" t="str">
        <f t="shared" si="218"/>
        <v/>
      </c>
      <c r="BC829" s="808">
        <f t="shared" si="219"/>
        <v>0</v>
      </c>
      <c r="BD829" s="808">
        <f t="shared" si="220"/>
        <v>0</v>
      </c>
      <c r="BE829" s="808">
        <f t="shared" si="221"/>
        <v>0</v>
      </c>
      <c r="BF829" s="333">
        <f>IF(BB829="",BA829,MAX(IFERROR(MATCH(PDs!S58,BC829:BE829,0),0),BA829))</f>
        <v>1</v>
      </c>
      <c r="BG829" s="2985" t="str">
        <f t="shared" si="222"/>
        <v/>
      </c>
      <c r="BH829" s="808">
        <f t="shared" si="223"/>
        <v>0</v>
      </c>
      <c r="BI829" s="808">
        <f t="shared" si="224"/>
        <v>0</v>
      </c>
      <c r="BJ829" s="808">
        <f t="shared" si="225"/>
        <v>0</v>
      </c>
      <c r="BK829" s="333">
        <f>IF(BG829="",BF829,MAX(IFERROR(MATCH(PDs!U58,BH829:BJ829,0),0),BF829))</f>
        <v>1</v>
      </c>
      <c r="BL829" s="693">
        <f t="shared" ref="BL829:BL845" si="226">IF(BK829=AL829,1,0)</f>
        <v>0</v>
      </c>
    </row>
    <row r="830" spans="1:64" ht="12.75" customHeight="1" thickBot="1" x14ac:dyDescent="0.25">
      <c r="A830" s="237">
        <v>830</v>
      </c>
      <c r="B830" s="5838"/>
      <c r="C830" s="513"/>
      <c r="D830" s="2661" t="s">
        <v>872</v>
      </c>
      <c r="E830" s="2658">
        <f>10+Bono_Fue</f>
        <v>10</v>
      </c>
      <c r="F830" s="2658"/>
      <c r="G830" s="2658">
        <v>20</v>
      </c>
      <c r="H830" s="2658"/>
      <c r="I830" s="2658">
        <v>10</v>
      </c>
      <c r="J830" s="2658">
        <v>10</v>
      </c>
      <c r="K830" s="2658"/>
      <c r="L830" s="2658"/>
      <c r="M830" s="2663"/>
      <c r="N830" s="2663" t="s">
        <v>8971</v>
      </c>
      <c r="O830" s="2663"/>
      <c r="P830" s="2663"/>
      <c r="Q830" s="2663"/>
      <c r="R830" s="2663"/>
      <c r="S830" s="2659">
        <f t="shared" si="202"/>
        <v>79</v>
      </c>
      <c r="T830" s="2658"/>
      <c r="U830" s="2658"/>
      <c r="V830" s="2658"/>
      <c r="W830" s="2658"/>
      <c r="X830" s="2658">
        <f t="shared" si="203"/>
        <v>0</v>
      </c>
      <c r="Y830" s="2658">
        <f>IF(COUNTIF(PDs!$AD$56:$AD$74,Tablas!D830)&gt;0,1,0)</f>
        <v>0</v>
      </c>
      <c r="Z830" s="2658" t="str">
        <f>IF(OR(T.Manos_final&lt;80,AA830&lt;100,MAX(AB830,AC830)&lt;200),"NO","-")</f>
        <v>NO</v>
      </c>
      <c r="AA830" s="1086">
        <f>HA_final-PDs!$X$22+MIN(PDs!$X$22+H$917-H830,50)</f>
        <v>0</v>
      </c>
      <c r="AB830" s="2660">
        <f>HE_final-PDs!$X$24+MIN(PDs!$X$24+I$917-I830,50)</f>
        <v>-10</v>
      </c>
      <c r="AC830" s="1338">
        <f>HP_final-PDs!$X$23+MIN(PDs!$X$23+J$917-J830,50)</f>
        <v>-10</v>
      </c>
      <c r="AI830" s="1403" t="str">
        <f>IF(PDs!E59="","",PDs!E59)</f>
        <v/>
      </c>
      <c r="AJ830" s="808" t="str">
        <f>IF(PDs!J59="","",PDs!J59)</f>
        <v/>
      </c>
      <c r="AK830" s="808" t="str">
        <f t="shared" si="204"/>
        <v/>
      </c>
      <c r="AL830" s="808" t="str">
        <f t="shared" si="205"/>
        <v/>
      </c>
      <c r="AM830" s="1086" t="str">
        <f t="shared" si="207"/>
        <v/>
      </c>
      <c r="AN830" s="808">
        <f t="shared" ref="AN830:AN845" si="227">IF(AM$824&lt;&gt;"",IF(AM$824="Tao",VLOOKUP($AK830&amp;AN$825,$AE$825:$AG$829,2,0),VLOOKUP($AK830&amp;AN$825,$AE$825:$AG$829,3,0)),0)</f>
        <v>0</v>
      </c>
      <c r="AO830" s="808">
        <f t="shared" si="208"/>
        <v>0</v>
      </c>
      <c r="AP830" s="808">
        <f t="shared" si="209"/>
        <v>0</v>
      </c>
      <c r="AQ830" s="333">
        <f>IFERROR(MATCH(PDs!M59,AN830:AP830,0),0)</f>
        <v>1</v>
      </c>
      <c r="AR830" s="1086" t="str">
        <f t="shared" si="210"/>
        <v/>
      </c>
      <c r="AS830" s="808">
        <f t="shared" si="211"/>
        <v>0</v>
      </c>
      <c r="AT830" s="808">
        <f t="shared" si="212"/>
        <v>0</v>
      </c>
      <c r="AU830" s="808">
        <f t="shared" si="213"/>
        <v>0</v>
      </c>
      <c r="AV830" s="333">
        <f>IF(AR830="",AQ830,MAX(IFERROR(MATCH(PDs!O59,AS830:AU830,0),0),AQ830))</f>
        <v>1</v>
      </c>
      <c r="AW830" s="2985" t="str">
        <f t="shared" si="214"/>
        <v/>
      </c>
      <c r="AX830" s="808">
        <f t="shared" si="215"/>
        <v>0</v>
      </c>
      <c r="AY830" s="808">
        <f t="shared" si="216"/>
        <v>0</v>
      </c>
      <c r="AZ830" s="808">
        <f t="shared" si="217"/>
        <v>0</v>
      </c>
      <c r="BA830" s="333">
        <f>IF(AW830="",AV830,MAX(IFERROR(MATCH(PDs!Q59,AX830:AZ830,0),0),AV830))</f>
        <v>1</v>
      </c>
      <c r="BB830" s="2985" t="str">
        <f t="shared" si="218"/>
        <v/>
      </c>
      <c r="BC830" s="808">
        <f t="shared" si="219"/>
        <v>0</v>
      </c>
      <c r="BD830" s="808">
        <f t="shared" si="220"/>
        <v>0</v>
      </c>
      <c r="BE830" s="808">
        <f t="shared" si="221"/>
        <v>0</v>
      </c>
      <c r="BF830" s="333">
        <f>IF(BB830="",BA830,MAX(IFERROR(MATCH(PDs!S59,BC830:BE830,0),0),BA830))</f>
        <v>1</v>
      </c>
      <c r="BG830" s="2985" t="str">
        <f t="shared" si="222"/>
        <v/>
      </c>
      <c r="BH830" s="808">
        <f t="shared" si="223"/>
        <v>0</v>
      </c>
      <c r="BI830" s="808">
        <f t="shared" si="224"/>
        <v>0</v>
      </c>
      <c r="BJ830" s="808">
        <f t="shared" si="225"/>
        <v>0</v>
      </c>
      <c r="BK830" s="333">
        <f>IF(BG830="",BF830,MAX(IFERROR(MATCH(PDs!U59,BH830:BJ830,0),0),BF830))</f>
        <v>1</v>
      </c>
      <c r="BL830" s="693">
        <f t="shared" si="226"/>
        <v>0</v>
      </c>
    </row>
    <row r="831" spans="1:64" ht="12.75" customHeight="1" thickBot="1" x14ac:dyDescent="0.25">
      <c r="A831" s="237">
        <v>831</v>
      </c>
      <c r="B831" s="5838"/>
      <c r="C831" s="513"/>
      <c r="D831" s="2661" t="s">
        <v>873</v>
      </c>
      <c r="E831" s="2658">
        <f>10+2*Bono_Fue</f>
        <v>10</v>
      </c>
      <c r="F831" s="2658"/>
      <c r="G831" s="2658">
        <v>0</v>
      </c>
      <c r="H831" s="2658"/>
      <c r="I831" s="2658"/>
      <c r="J831" s="2658"/>
      <c r="K831" s="2658">
        <v>5</v>
      </c>
      <c r="L831" s="2658"/>
      <c r="M831" s="2663"/>
      <c r="N831" s="2663" t="s">
        <v>1459</v>
      </c>
      <c r="O831" s="2663"/>
      <c r="P831" s="2663"/>
      <c r="Q831" s="2663"/>
      <c r="R831" s="2663"/>
      <c r="S831" s="2659">
        <f t="shared" si="202"/>
        <v>1</v>
      </c>
      <c r="T831" s="2658"/>
      <c r="U831" s="2658"/>
      <c r="V831" s="2658"/>
      <c r="W831" s="2658"/>
      <c r="X831" s="2658">
        <f t="shared" si="203"/>
        <v>0</v>
      </c>
      <c r="Y831" s="2658">
        <f>IF(OR(Y832&gt;0,COUNTIF(PDs!$AD$56:$AD$74,Tablas!D831)&gt;0),1,0)</f>
        <v>0</v>
      </c>
      <c r="Z831" s="2658" t="str">
        <f>IF(OR(P.Fuerza_final&lt;30),"NO","-")</f>
        <v>NO</v>
      </c>
      <c r="AA831" s="1086">
        <f>HA_final-PDs!$X$22+MIN(PDs!$X$22+H$917-H831,50)</f>
        <v>0</v>
      </c>
      <c r="AB831" s="2660">
        <f>HE_final-PDs!$X$24+MIN(PDs!$X$24+I$917-I831,50)</f>
        <v>0</v>
      </c>
      <c r="AC831" s="1338">
        <f>HP_final-PDs!$X$23+MIN(PDs!$X$23+J$917-J831,50)</f>
        <v>0</v>
      </c>
      <c r="AE831" s="1335" t="s">
        <v>8497</v>
      </c>
      <c r="AF831" s="1336" t="s">
        <v>7347</v>
      </c>
      <c r="AG831" s="1340" t="s">
        <v>7348</v>
      </c>
      <c r="AI831" s="1403" t="str">
        <f>IF(PDs!E60="","",PDs!E60)</f>
        <v/>
      </c>
      <c r="AJ831" s="808" t="str">
        <f>IF(PDs!J60="","",PDs!J60)</f>
        <v/>
      </c>
      <c r="AK831" s="808" t="str">
        <f t="shared" si="204"/>
        <v/>
      </c>
      <c r="AL831" s="808" t="str">
        <f t="shared" si="205"/>
        <v/>
      </c>
      <c r="AM831" s="1086" t="str">
        <f t="shared" si="207"/>
        <v/>
      </c>
      <c r="AN831" s="808">
        <f t="shared" si="227"/>
        <v>0</v>
      </c>
      <c r="AO831" s="808">
        <f t="shared" si="208"/>
        <v>0</v>
      </c>
      <c r="AP831" s="808">
        <f t="shared" si="209"/>
        <v>0</v>
      </c>
      <c r="AQ831" s="333">
        <f>IFERROR(MATCH(PDs!M60,AN831:AP831,0),0)</f>
        <v>1</v>
      </c>
      <c r="AR831" s="1086" t="str">
        <f t="shared" si="210"/>
        <v/>
      </c>
      <c r="AS831" s="808">
        <f t="shared" si="211"/>
        <v>0</v>
      </c>
      <c r="AT831" s="808">
        <f t="shared" si="212"/>
        <v>0</v>
      </c>
      <c r="AU831" s="808">
        <f t="shared" si="213"/>
        <v>0</v>
      </c>
      <c r="AV831" s="333">
        <f>IF(AR831="",AQ831,MAX(IFERROR(MATCH(PDs!O60,AS831:AU831,0),0),AQ831))</f>
        <v>1</v>
      </c>
      <c r="AW831" s="2985" t="str">
        <f t="shared" si="214"/>
        <v/>
      </c>
      <c r="AX831" s="808">
        <f t="shared" si="215"/>
        <v>0</v>
      </c>
      <c r="AY831" s="808">
        <f t="shared" si="216"/>
        <v>0</v>
      </c>
      <c r="AZ831" s="808">
        <f t="shared" si="217"/>
        <v>0</v>
      </c>
      <c r="BA831" s="333">
        <f>IF(AW831="",AV831,MAX(IFERROR(MATCH(PDs!Q60,AX831:AZ831,0),0),AV831))</f>
        <v>1</v>
      </c>
      <c r="BB831" s="2985" t="str">
        <f t="shared" si="218"/>
        <v/>
      </c>
      <c r="BC831" s="808">
        <f t="shared" si="219"/>
        <v>0</v>
      </c>
      <c r="BD831" s="808">
        <f t="shared" si="220"/>
        <v>0</v>
      </c>
      <c r="BE831" s="808">
        <f t="shared" si="221"/>
        <v>0</v>
      </c>
      <c r="BF831" s="333">
        <f>IF(BB831="",BA831,MAX(IFERROR(MATCH(PDs!S60,BC831:BE831,0),0),BA831))</f>
        <v>1</v>
      </c>
      <c r="BG831" s="2985" t="str">
        <f t="shared" si="222"/>
        <v/>
      </c>
      <c r="BH831" s="808">
        <f t="shared" si="223"/>
        <v>0</v>
      </c>
      <c r="BI831" s="808">
        <f t="shared" si="224"/>
        <v>0</v>
      </c>
      <c r="BJ831" s="808">
        <f t="shared" si="225"/>
        <v>0</v>
      </c>
      <c r="BK831" s="333">
        <f>IF(BG831="",BF831,MAX(IFERROR(MATCH(PDs!U60,BH831:BJ831,0),0),BF831))</f>
        <v>1</v>
      </c>
      <c r="BL831" s="693">
        <f t="shared" si="226"/>
        <v>0</v>
      </c>
    </row>
    <row r="832" spans="1:64" ht="12.75" customHeight="1" x14ac:dyDescent="0.2">
      <c r="A832" s="237">
        <v>832</v>
      </c>
      <c r="B832" s="5838"/>
      <c r="C832" s="513"/>
      <c r="D832" s="2661" t="s">
        <v>874</v>
      </c>
      <c r="E832" s="2658">
        <f>20+2*Bono_Fue</f>
        <v>20</v>
      </c>
      <c r="F832" s="2658"/>
      <c r="G832" s="2658">
        <v>10</v>
      </c>
      <c r="H832" s="2658"/>
      <c r="I832" s="2658"/>
      <c r="J832" s="2658"/>
      <c r="K832" s="2658">
        <v>5</v>
      </c>
      <c r="L832" s="2658"/>
      <c r="M832" s="2663"/>
      <c r="N832" s="2663" t="s">
        <v>875</v>
      </c>
      <c r="O832" s="2663"/>
      <c r="P832" s="2663"/>
      <c r="Q832" s="2663"/>
      <c r="R832" s="2663"/>
      <c r="S832" s="2659">
        <f t="shared" si="202"/>
        <v>36</v>
      </c>
      <c r="T832" s="2658"/>
      <c r="U832" s="2658"/>
      <c r="V832" s="2658"/>
      <c r="W832" s="2658"/>
      <c r="X832" s="2658">
        <f t="shared" si="203"/>
        <v>0</v>
      </c>
      <c r="Y832" s="2658">
        <f>IF(OR(Y833&gt;0,COUNTIF(PDs!$AD$56:$AD$74,Tablas!D832)&gt;0),1,0)</f>
        <v>0</v>
      </c>
      <c r="Z832" s="2658" t="str">
        <f>IF(OR(P.Fuerza_final&lt;60,AA832&lt;120,MAX(AB832,AC832)&lt;120),"NO","-")</f>
        <v>NO</v>
      </c>
      <c r="AA832" s="1086">
        <f>HA_final-PDs!$X$22+MIN(PDs!$X$22+H$917-H832,50)</f>
        <v>0</v>
      </c>
      <c r="AB832" s="2660">
        <f>HE_final-PDs!$X$24+MIN(PDs!$X$24+I$917-I832,50)</f>
        <v>0</v>
      </c>
      <c r="AC832" s="1338">
        <f>HP_final-PDs!$X$23+MIN(PDs!$X$23+J$917-J832,50)</f>
        <v>0</v>
      </c>
      <c r="AE832" s="86" t="s">
        <v>868</v>
      </c>
      <c r="AF832" s="594" t="s">
        <v>1368</v>
      </c>
      <c r="AG832" s="1341" t="s">
        <v>1368</v>
      </c>
      <c r="AI832" s="1403" t="str">
        <f>IF(PDs!E61="","",PDs!E61)</f>
        <v/>
      </c>
      <c r="AJ832" s="808" t="str">
        <f>IF(PDs!J61="","",PDs!J61)</f>
        <v/>
      </c>
      <c r="AK832" s="808" t="str">
        <f t="shared" si="204"/>
        <v/>
      </c>
      <c r="AL832" s="808" t="str">
        <f t="shared" si="205"/>
        <v/>
      </c>
      <c r="AM832" s="1086" t="str">
        <f t="shared" si="207"/>
        <v/>
      </c>
      <c r="AN832" s="808">
        <f t="shared" si="227"/>
        <v>0</v>
      </c>
      <c r="AO832" s="808">
        <f t="shared" si="208"/>
        <v>0</v>
      </c>
      <c r="AP832" s="808">
        <f t="shared" si="209"/>
        <v>0</v>
      </c>
      <c r="AQ832" s="333">
        <f>IFERROR(MATCH(PDs!M61,AN832:AP832,0),0)</f>
        <v>1</v>
      </c>
      <c r="AR832" s="1086" t="str">
        <f t="shared" si="210"/>
        <v/>
      </c>
      <c r="AS832" s="808">
        <f t="shared" si="211"/>
        <v>0</v>
      </c>
      <c r="AT832" s="808">
        <f t="shared" si="212"/>
        <v>0</v>
      </c>
      <c r="AU832" s="808">
        <f t="shared" si="213"/>
        <v>0</v>
      </c>
      <c r="AV832" s="333">
        <f>IF(AR832="",AQ832,MAX(IFERROR(MATCH(PDs!O61,AS832:AU832,0),0),AQ832))</f>
        <v>1</v>
      </c>
      <c r="AW832" s="2985" t="str">
        <f t="shared" si="214"/>
        <v/>
      </c>
      <c r="AX832" s="808">
        <f t="shared" si="215"/>
        <v>0</v>
      </c>
      <c r="AY832" s="808">
        <f t="shared" si="216"/>
        <v>0</v>
      </c>
      <c r="AZ832" s="808">
        <f t="shared" si="217"/>
        <v>0</v>
      </c>
      <c r="BA832" s="333">
        <f>IF(AW832="",AV832,MAX(IFERROR(MATCH(PDs!Q61,AX832:AZ832,0),0),AV832))</f>
        <v>1</v>
      </c>
      <c r="BB832" s="2985" t="str">
        <f t="shared" si="218"/>
        <v/>
      </c>
      <c r="BC832" s="808">
        <f t="shared" si="219"/>
        <v>0</v>
      </c>
      <c r="BD832" s="808">
        <f t="shared" si="220"/>
        <v>0</v>
      </c>
      <c r="BE832" s="808">
        <f t="shared" si="221"/>
        <v>0</v>
      </c>
      <c r="BF832" s="333">
        <f>IF(BB832="",BA832,MAX(IFERROR(MATCH(PDs!S61,BC832:BE832,0),0),BA832))</f>
        <v>1</v>
      </c>
      <c r="BG832" s="2985" t="str">
        <f t="shared" si="222"/>
        <v/>
      </c>
      <c r="BH832" s="808">
        <f t="shared" si="223"/>
        <v>0</v>
      </c>
      <c r="BI832" s="808">
        <f t="shared" si="224"/>
        <v>0</v>
      </c>
      <c r="BJ832" s="808">
        <f t="shared" si="225"/>
        <v>0</v>
      </c>
      <c r="BK832" s="333">
        <f>IF(BG832="",BF832,MAX(IFERROR(MATCH(PDs!U61,BH832:BJ832,0),0),BF832))</f>
        <v>1</v>
      </c>
      <c r="BL832" s="693">
        <f t="shared" si="226"/>
        <v>0</v>
      </c>
    </row>
    <row r="833" spans="1:64" ht="12.75" customHeight="1" thickBot="1" x14ac:dyDescent="0.25">
      <c r="A833" s="237">
        <v>833</v>
      </c>
      <c r="B833" s="5838"/>
      <c r="C833" s="513"/>
      <c r="D833" s="2661" t="s">
        <v>876</v>
      </c>
      <c r="E833" s="2658">
        <f>30+2*Bono_Fue</f>
        <v>30</v>
      </c>
      <c r="F833" s="2658"/>
      <c r="G833" s="2658">
        <v>20</v>
      </c>
      <c r="H833" s="2658">
        <v>10</v>
      </c>
      <c r="I833" s="2658"/>
      <c r="J833" s="2658"/>
      <c r="K833" s="2658">
        <v>10</v>
      </c>
      <c r="L833" s="2658"/>
      <c r="M833" s="2663"/>
      <c r="N833" s="2663" t="s">
        <v>875</v>
      </c>
      <c r="O833" s="2663"/>
      <c r="P833" s="2663"/>
      <c r="Q833" s="2663"/>
      <c r="R833" s="2663"/>
      <c r="S833" s="2659">
        <f t="shared" si="202"/>
        <v>36</v>
      </c>
      <c r="T833" s="2658"/>
      <c r="U833" s="2658"/>
      <c r="V833" s="2658"/>
      <c r="W833" s="2658"/>
      <c r="X833" s="2658">
        <f t="shared" si="203"/>
        <v>0</v>
      </c>
      <c r="Y833" s="2658">
        <f>IF(COUNTIF(PDs!$AD$56:$AD$74,Tablas!D833)&gt;0,1,0)</f>
        <v>0</v>
      </c>
      <c r="Z833" s="2658" t="str">
        <f>IF(OR(P.Fuerza_final&lt;120,AA833&lt;200,MAX(AB833,AC833)&lt;200),"NO","-")</f>
        <v>NO</v>
      </c>
      <c r="AA833" s="1086">
        <f>HA_final-PDs!$X$22+MIN(PDs!$X$22+H$917-H833,50)</f>
        <v>-10</v>
      </c>
      <c r="AB833" s="2660">
        <f>HE_final-PDs!$X$24+MIN(PDs!$X$24+I$917-I833,50)</f>
        <v>0</v>
      </c>
      <c r="AC833" s="1338">
        <f>HP_final-PDs!$X$23+MIN(PDs!$X$23+J$917-J833,50)</f>
        <v>0</v>
      </c>
      <c r="AE833" s="1337" t="s">
        <v>7311</v>
      </c>
      <c r="AF833" s="594" t="s">
        <v>3234</v>
      </c>
      <c r="AG833" s="1339" t="s">
        <v>3235</v>
      </c>
      <c r="AI833" s="1403" t="str">
        <f>IF(PDs!E62="","",PDs!E62)</f>
        <v/>
      </c>
      <c r="AJ833" s="808" t="str">
        <f>IF(PDs!J62="","",PDs!J62)</f>
        <v/>
      </c>
      <c r="AK833" s="808" t="str">
        <f t="shared" si="204"/>
        <v/>
      </c>
      <c r="AL833" s="808" t="str">
        <f t="shared" si="205"/>
        <v/>
      </c>
      <c r="AM833" s="1086" t="str">
        <f t="shared" si="207"/>
        <v/>
      </c>
      <c r="AN833" s="808">
        <f t="shared" si="227"/>
        <v>0</v>
      </c>
      <c r="AO833" s="808">
        <f t="shared" si="208"/>
        <v>0</v>
      </c>
      <c r="AP833" s="808">
        <f t="shared" si="209"/>
        <v>0</v>
      </c>
      <c r="AQ833" s="333">
        <f>IFERROR(MATCH(PDs!M62,AN833:AP833,0),0)</f>
        <v>1</v>
      </c>
      <c r="AR833" s="1086" t="str">
        <f t="shared" si="210"/>
        <v/>
      </c>
      <c r="AS833" s="808">
        <f t="shared" si="211"/>
        <v>0</v>
      </c>
      <c r="AT833" s="808">
        <f t="shared" si="212"/>
        <v>0</v>
      </c>
      <c r="AU833" s="808">
        <f t="shared" si="213"/>
        <v>0</v>
      </c>
      <c r="AV833" s="333">
        <f>IF(AR833="",AQ833,MAX(IFERROR(MATCH(PDs!O62,AS833:AU833,0),0),AQ833))</f>
        <v>1</v>
      </c>
      <c r="AW833" s="2985" t="str">
        <f t="shared" si="214"/>
        <v/>
      </c>
      <c r="AX833" s="808">
        <f t="shared" si="215"/>
        <v>0</v>
      </c>
      <c r="AY833" s="808">
        <f t="shared" si="216"/>
        <v>0</v>
      </c>
      <c r="AZ833" s="808">
        <f t="shared" si="217"/>
        <v>0</v>
      </c>
      <c r="BA833" s="333">
        <f>IF(AW833="",AV833,MAX(IFERROR(MATCH(PDs!Q62,AX833:AZ833,0),0),AV833))</f>
        <v>1</v>
      </c>
      <c r="BB833" s="2985" t="str">
        <f t="shared" si="218"/>
        <v/>
      </c>
      <c r="BC833" s="808">
        <f t="shared" si="219"/>
        <v>0</v>
      </c>
      <c r="BD833" s="808">
        <f t="shared" si="220"/>
        <v>0</v>
      </c>
      <c r="BE833" s="808">
        <f t="shared" si="221"/>
        <v>0</v>
      </c>
      <c r="BF833" s="333">
        <f>IF(BB833="",BA833,MAX(IFERROR(MATCH(PDs!S62,BC833:BE833,0),0),BA833))</f>
        <v>1</v>
      </c>
      <c r="BG833" s="2985" t="str">
        <f t="shared" si="222"/>
        <v/>
      </c>
      <c r="BH833" s="808">
        <f t="shared" si="223"/>
        <v>0</v>
      </c>
      <c r="BI833" s="808">
        <f t="shared" si="224"/>
        <v>0</v>
      </c>
      <c r="BJ833" s="808">
        <f t="shared" si="225"/>
        <v>0</v>
      </c>
      <c r="BK833" s="333">
        <f>IF(BG833="",BF833,MAX(IFERROR(MATCH(PDs!U62,BH833:BJ833,0),0),BF833))</f>
        <v>1</v>
      </c>
      <c r="BL833" s="693">
        <f t="shared" si="226"/>
        <v>0</v>
      </c>
    </row>
    <row r="834" spans="1:64" ht="12.75" customHeight="1" thickBot="1" x14ac:dyDescent="0.25">
      <c r="A834" s="237">
        <v>834</v>
      </c>
      <c r="B834" s="5838"/>
      <c r="C834" s="513"/>
      <c r="D834" s="2661" t="s">
        <v>877</v>
      </c>
      <c r="E834" s="2658">
        <f>20+Bono_Fue</f>
        <v>20</v>
      </c>
      <c r="F834" s="2658"/>
      <c r="G834" s="2658">
        <v>0</v>
      </c>
      <c r="H834" s="2658"/>
      <c r="I834" s="2658"/>
      <c r="J834" s="2658"/>
      <c r="K834" s="2658"/>
      <c r="L834" s="2658"/>
      <c r="M834" s="2663"/>
      <c r="N834" s="2663" t="s">
        <v>878</v>
      </c>
      <c r="O834" s="2663"/>
      <c r="P834" s="2663"/>
      <c r="Q834" s="2663"/>
      <c r="R834" s="2663"/>
      <c r="S834" s="2659">
        <f t="shared" si="202"/>
        <v>30</v>
      </c>
      <c r="T834" s="2658"/>
      <c r="U834" s="2658"/>
      <c r="V834" s="2658"/>
      <c r="W834" s="2658"/>
      <c r="X834" s="2658">
        <f t="shared" si="203"/>
        <v>0</v>
      </c>
      <c r="Y834" s="2658">
        <f>IF(OR(Y835&gt;0,COUNTIF(PDs!$AD$56:$AD$74,Tablas!D834)&gt;0),1,0)</f>
        <v>0</v>
      </c>
      <c r="Z834" s="2658" t="str">
        <f>IF(OR(Baile_final&lt;20,Baile_final="-"),"NO","-")</f>
        <v>NO</v>
      </c>
      <c r="AA834" s="1086">
        <f>HA_final-PDs!$X$22+MIN(PDs!$X$22+H$917-H834,50)</f>
        <v>0</v>
      </c>
      <c r="AB834" s="2660">
        <f>HE_final-PDs!$X$24+MIN(PDs!$X$24+I$917-I834,50)</f>
        <v>0</v>
      </c>
      <c r="AC834" s="1338">
        <f>HP_final-PDs!$X$23+MIN(PDs!$X$23+J$917-J834,50)</f>
        <v>0</v>
      </c>
      <c r="AE834" s="1337" t="s">
        <v>7312</v>
      </c>
      <c r="AF834" s="1339" t="s">
        <v>7346</v>
      </c>
      <c r="AI834" s="1403" t="str">
        <f>IF(PDs!E63="","",PDs!E63)</f>
        <v/>
      </c>
      <c r="AJ834" s="808" t="str">
        <f>IF(PDs!J63="","",PDs!J63)</f>
        <v/>
      </c>
      <c r="AK834" s="808" t="str">
        <f t="shared" si="204"/>
        <v/>
      </c>
      <c r="AL834" s="808" t="str">
        <f t="shared" si="205"/>
        <v/>
      </c>
      <c r="AM834" s="1086" t="str">
        <f t="shared" si="207"/>
        <v/>
      </c>
      <c r="AN834" s="808">
        <f t="shared" si="227"/>
        <v>0</v>
      </c>
      <c r="AO834" s="808">
        <f t="shared" si="208"/>
        <v>0</v>
      </c>
      <c r="AP834" s="808">
        <f t="shared" si="209"/>
        <v>0</v>
      </c>
      <c r="AQ834" s="333">
        <f>IFERROR(MATCH(PDs!M63,AN834:AP834,0),0)</f>
        <v>1</v>
      </c>
      <c r="AR834" s="1086" t="str">
        <f t="shared" si="210"/>
        <v/>
      </c>
      <c r="AS834" s="808">
        <f t="shared" si="211"/>
        <v>0</v>
      </c>
      <c r="AT834" s="808">
        <f t="shared" si="212"/>
        <v>0</v>
      </c>
      <c r="AU834" s="808">
        <f t="shared" si="213"/>
        <v>0</v>
      </c>
      <c r="AV834" s="333">
        <f>IF(AR834="",AQ834,MAX(IFERROR(MATCH(PDs!O63,AS834:AU834,0),0),AQ834))</f>
        <v>1</v>
      </c>
      <c r="AW834" s="2985" t="str">
        <f t="shared" si="214"/>
        <v/>
      </c>
      <c r="AX834" s="808">
        <f t="shared" si="215"/>
        <v>0</v>
      </c>
      <c r="AY834" s="808">
        <f t="shared" si="216"/>
        <v>0</v>
      </c>
      <c r="AZ834" s="808">
        <f t="shared" si="217"/>
        <v>0</v>
      </c>
      <c r="BA834" s="333">
        <f>IF(AW834="",AV834,MAX(IFERROR(MATCH(PDs!Q63,AX834:AZ834,0),0),AV834))</f>
        <v>1</v>
      </c>
      <c r="BB834" s="2985" t="str">
        <f t="shared" si="218"/>
        <v/>
      </c>
      <c r="BC834" s="808">
        <f t="shared" si="219"/>
        <v>0</v>
      </c>
      <c r="BD834" s="808">
        <f t="shared" si="220"/>
        <v>0</v>
      </c>
      <c r="BE834" s="808">
        <f t="shared" si="221"/>
        <v>0</v>
      </c>
      <c r="BF834" s="333">
        <f>IF(BB834="",BA834,MAX(IFERROR(MATCH(PDs!S63,BC834:BE834,0),0),BA834))</f>
        <v>1</v>
      </c>
      <c r="BG834" s="2985" t="str">
        <f t="shared" si="222"/>
        <v/>
      </c>
      <c r="BH834" s="808">
        <f t="shared" si="223"/>
        <v>0</v>
      </c>
      <c r="BI834" s="808">
        <f t="shared" si="224"/>
        <v>0</v>
      </c>
      <c r="BJ834" s="808">
        <f t="shared" si="225"/>
        <v>0</v>
      </c>
      <c r="BK834" s="333">
        <f>IF(BG834="",BF834,MAX(IFERROR(MATCH(PDs!U63,BH834:BJ834,0),0),BF834))</f>
        <v>1</v>
      </c>
      <c r="BL834" s="693">
        <f t="shared" si="226"/>
        <v>0</v>
      </c>
    </row>
    <row r="835" spans="1:64" ht="12.75" customHeight="1" thickBot="1" x14ac:dyDescent="0.25">
      <c r="A835" s="237">
        <v>835</v>
      </c>
      <c r="B835" s="5838"/>
      <c r="C835" s="513"/>
      <c r="D835" s="2661" t="s">
        <v>879</v>
      </c>
      <c r="E835" s="2658">
        <f>20+Bono_Fue</f>
        <v>20</v>
      </c>
      <c r="F835" s="2658"/>
      <c r="G835" s="2658">
        <v>10</v>
      </c>
      <c r="H835" s="2658"/>
      <c r="I835" s="2658">
        <v>10</v>
      </c>
      <c r="J835" s="2658"/>
      <c r="K835" s="2658"/>
      <c r="L835" s="2658"/>
      <c r="M835" s="2663"/>
      <c r="N835" s="2663" t="s">
        <v>880</v>
      </c>
      <c r="O835" s="2663"/>
      <c r="P835" s="2663"/>
      <c r="Q835" s="2663"/>
      <c r="R835" s="2663"/>
      <c r="S835" s="2659">
        <f t="shared" si="202"/>
        <v>31</v>
      </c>
      <c r="T835" s="2658"/>
      <c r="U835" s="2658"/>
      <c r="V835" s="2658"/>
      <c r="W835" s="2658"/>
      <c r="X835" s="2658">
        <f t="shared" si="203"/>
        <v>0</v>
      </c>
      <c r="Y835" s="2658">
        <f>IF(OR(Y836&gt;0,COUNTIF(PDs!$AD$56:$AD$74,Tablas!D835)&gt;0),1,0)</f>
        <v>0</v>
      </c>
      <c r="Z835" s="2658" t="str">
        <f>IF(OR(Baile_final&lt;40,Baile_final="-",AB835&lt;120),"NO","-")</f>
        <v>NO</v>
      </c>
      <c r="AA835" s="1086">
        <f>HA_final-PDs!$X$22+MIN(PDs!$X$22+H$917-H835,50)</f>
        <v>0</v>
      </c>
      <c r="AB835" s="2660">
        <f>HE_final-PDs!$X$24+MIN(PDs!$X$24+I$917-I835,50)</f>
        <v>-10</v>
      </c>
      <c r="AC835" s="1338">
        <f>HP_final-PDs!$X$23+MIN(PDs!$X$23+J$917-J835,50)</f>
        <v>0</v>
      </c>
      <c r="AE835" s="1337" t="s">
        <v>7313</v>
      </c>
      <c r="AI835" s="1403" t="str">
        <f>IF(PDs!E64="","",PDs!E64)</f>
        <v/>
      </c>
      <c r="AJ835" s="808" t="str">
        <f>IF(PDs!J64="","",PDs!J64)</f>
        <v/>
      </c>
      <c r="AK835" s="808" t="str">
        <f t="shared" si="204"/>
        <v/>
      </c>
      <c r="AL835" s="808" t="str">
        <f t="shared" si="205"/>
        <v/>
      </c>
      <c r="AM835" s="1086" t="str">
        <f t="shared" si="207"/>
        <v/>
      </c>
      <c r="AN835" s="808">
        <f t="shared" si="227"/>
        <v>0</v>
      </c>
      <c r="AO835" s="808">
        <f t="shared" si="208"/>
        <v>0</v>
      </c>
      <c r="AP835" s="808">
        <f t="shared" si="209"/>
        <v>0</v>
      </c>
      <c r="AQ835" s="333">
        <f>IFERROR(MATCH(PDs!M64,AN835:AP835,0),0)</f>
        <v>1</v>
      </c>
      <c r="AR835" s="1086" t="str">
        <f t="shared" si="210"/>
        <v/>
      </c>
      <c r="AS835" s="808">
        <f t="shared" si="211"/>
        <v>0</v>
      </c>
      <c r="AT835" s="808">
        <f t="shared" si="212"/>
        <v>0</v>
      </c>
      <c r="AU835" s="808">
        <f t="shared" si="213"/>
        <v>0</v>
      </c>
      <c r="AV835" s="333">
        <f>IF(AR835="",AQ835,MAX(IFERROR(MATCH(PDs!O64,AS835:AU835,0),0),AQ835))</f>
        <v>1</v>
      </c>
      <c r="AW835" s="2985" t="str">
        <f t="shared" si="214"/>
        <v/>
      </c>
      <c r="AX835" s="808">
        <f t="shared" si="215"/>
        <v>0</v>
      </c>
      <c r="AY835" s="808">
        <f t="shared" si="216"/>
        <v>0</v>
      </c>
      <c r="AZ835" s="808">
        <f t="shared" si="217"/>
        <v>0</v>
      </c>
      <c r="BA835" s="333">
        <f>IF(AW835="",AV835,MAX(IFERROR(MATCH(PDs!Q64,AX835:AZ835,0),0),AV835))</f>
        <v>1</v>
      </c>
      <c r="BB835" s="2985" t="str">
        <f t="shared" si="218"/>
        <v/>
      </c>
      <c r="BC835" s="808">
        <f t="shared" si="219"/>
        <v>0</v>
      </c>
      <c r="BD835" s="808">
        <f t="shared" si="220"/>
        <v>0</v>
      </c>
      <c r="BE835" s="808">
        <f t="shared" si="221"/>
        <v>0</v>
      </c>
      <c r="BF835" s="333">
        <f>IF(BB835="",BA835,MAX(IFERROR(MATCH(PDs!S64,BC835:BE835,0),0),BA835))</f>
        <v>1</v>
      </c>
      <c r="BG835" s="2985" t="str">
        <f t="shared" si="222"/>
        <v/>
      </c>
      <c r="BH835" s="808">
        <f t="shared" si="223"/>
        <v>0</v>
      </c>
      <c r="BI835" s="808">
        <f t="shared" si="224"/>
        <v>0</v>
      </c>
      <c r="BJ835" s="808">
        <f t="shared" si="225"/>
        <v>0</v>
      </c>
      <c r="BK835" s="333">
        <f>IF(BG835="",BF835,MAX(IFERROR(MATCH(PDs!U64,BH835:BJ835,0),0),BF835))</f>
        <v>1</v>
      </c>
      <c r="BL835" s="693">
        <f t="shared" si="226"/>
        <v>0</v>
      </c>
    </row>
    <row r="836" spans="1:64" ht="12.75" customHeight="1" thickBot="1" x14ac:dyDescent="0.25">
      <c r="A836" s="237">
        <v>836</v>
      </c>
      <c r="B836" s="5838"/>
      <c r="C836" s="513"/>
      <c r="D836" s="2661" t="s">
        <v>881</v>
      </c>
      <c r="E836" s="2658">
        <f>20+Bono_Fue</f>
        <v>20</v>
      </c>
      <c r="F836" s="2658"/>
      <c r="G836" s="2658">
        <v>20</v>
      </c>
      <c r="H836" s="2658"/>
      <c r="I836" s="2658">
        <v>10</v>
      </c>
      <c r="J836" s="2658"/>
      <c r="K836" s="2658"/>
      <c r="L836" s="2658"/>
      <c r="M836" s="2663"/>
      <c r="N836" s="2663" t="s">
        <v>8969</v>
      </c>
      <c r="O836" s="2663"/>
      <c r="P836" s="2663"/>
      <c r="Q836" s="2663"/>
      <c r="R836" s="2663"/>
      <c r="S836" s="2659">
        <f t="shared" si="202"/>
        <v>64</v>
      </c>
      <c r="T836" s="2658"/>
      <c r="U836" s="2658"/>
      <c r="V836" s="2658"/>
      <c r="W836" s="2658"/>
      <c r="X836" s="2658">
        <f t="shared" si="203"/>
        <v>0</v>
      </c>
      <c r="Y836" s="2658">
        <f>IF(COUNTIF(PDs!$AD$56:$AD$74,Tablas!D836)&gt;0,1,0)</f>
        <v>0</v>
      </c>
      <c r="Z836" s="2658" t="str">
        <f>IF(OR(Baile_final&lt;120,Baile_final="-",AB836&lt;200),"NO","-")</f>
        <v>NO</v>
      </c>
      <c r="AA836" s="1086">
        <f>HA_final-PDs!$X$22+MIN(PDs!$X$22+H$917-H836,50)</f>
        <v>0</v>
      </c>
      <c r="AB836" s="2660">
        <f>HE_final-PDs!$X$24+MIN(PDs!$X$24+I$917-I836,50)</f>
        <v>-10</v>
      </c>
      <c r="AC836" s="1338">
        <f>HP_final-PDs!$X$23+MIN(PDs!$X$23+J$917-J836,50)</f>
        <v>0</v>
      </c>
      <c r="AE836" s="1337" t="s">
        <v>7314</v>
      </c>
      <c r="AF836" s="1336" t="s">
        <v>8954</v>
      </c>
      <c r="AG836" s="1340" t="s">
        <v>8955</v>
      </c>
      <c r="AI836" s="1403" t="str">
        <f>IF(PDs!E65="","",PDs!E65)</f>
        <v/>
      </c>
      <c r="AJ836" s="808" t="str">
        <f>IF(PDs!J65="","",PDs!J65)</f>
        <v/>
      </c>
      <c r="AK836" s="808" t="str">
        <f t="shared" si="204"/>
        <v/>
      </c>
      <c r="AL836" s="808" t="str">
        <f t="shared" si="205"/>
        <v/>
      </c>
      <c r="AM836" s="1086" t="str">
        <f t="shared" si="207"/>
        <v/>
      </c>
      <c r="AN836" s="808">
        <f t="shared" si="227"/>
        <v>0</v>
      </c>
      <c r="AO836" s="808">
        <f t="shared" si="208"/>
        <v>0</v>
      </c>
      <c r="AP836" s="808">
        <f t="shared" si="209"/>
        <v>0</v>
      </c>
      <c r="AQ836" s="333">
        <f>IFERROR(MATCH(PDs!M65,AN836:AP836,0),0)</f>
        <v>1</v>
      </c>
      <c r="AR836" s="1086" t="str">
        <f t="shared" si="210"/>
        <v/>
      </c>
      <c r="AS836" s="808">
        <f t="shared" si="211"/>
        <v>0</v>
      </c>
      <c r="AT836" s="808">
        <f t="shared" si="212"/>
        <v>0</v>
      </c>
      <c r="AU836" s="808">
        <f t="shared" si="213"/>
        <v>0</v>
      </c>
      <c r="AV836" s="333">
        <f>IF(AR836="",AQ836,MAX(IFERROR(MATCH(PDs!O65,AS836:AU836,0),0),AQ836))</f>
        <v>1</v>
      </c>
      <c r="AW836" s="2985" t="str">
        <f t="shared" si="214"/>
        <v/>
      </c>
      <c r="AX836" s="808">
        <f t="shared" si="215"/>
        <v>0</v>
      </c>
      <c r="AY836" s="808">
        <f t="shared" si="216"/>
        <v>0</v>
      </c>
      <c r="AZ836" s="808">
        <f t="shared" si="217"/>
        <v>0</v>
      </c>
      <c r="BA836" s="333">
        <f>IF(AW836="",AV836,MAX(IFERROR(MATCH(PDs!Q65,AX836:AZ836,0),0),AV836))</f>
        <v>1</v>
      </c>
      <c r="BB836" s="2985" t="str">
        <f t="shared" si="218"/>
        <v/>
      </c>
      <c r="BC836" s="808">
        <f t="shared" si="219"/>
        <v>0</v>
      </c>
      <c r="BD836" s="808">
        <f t="shared" si="220"/>
        <v>0</v>
      </c>
      <c r="BE836" s="808">
        <f t="shared" si="221"/>
        <v>0</v>
      </c>
      <c r="BF836" s="333">
        <f>IF(BB836="",BA836,MAX(IFERROR(MATCH(PDs!S65,BC836:BE836,0),0),BA836))</f>
        <v>1</v>
      </c>
      <c r="BG836" s="2985" t="str">
        <f t="shared" si="222"/>
        <v/>
      </c>
      <c r="BH836" s="808">
        <f t="shared" si="223"/>
        <v>0</v>
      </c>
      <c r="BI836" s="808">
        <f t="shared" si="224"/>
        <v>0</v>
      </c>
      <c r="BJ836" s="808">
        <f t="shared" si="225"/>
        <v>0</v>
      </c>
      <c r="BK836" s="333">
        <f>IF(BG836="",BF836,MAX(IFERROR(MATCH(PDs!U65,BH836:BJ836,0),0),BF836))</f>
        <v>1</v>
      </c>
      <c r="BL836" s="693">
        <f t="shared" si="226"/>
        <v>0</v>
      </c>
    </row>
    <row r="837" spans="1:64" ht="12.75" customHeight="1" x14ac:dyDescent="0.2">
      <c r="A837" s="237">
        <v>837</v>
      </c>
      <c r="B837" s="5838"/>
      <c r="C837" s="513"/>
      <c r="D837" s="2661" t="s">
        <v>882</v>
      </c>
      <c r="E837" s="2658">
        <f>10+Bono_Fue</f>
        <v>10</v>
      </c>
      <c r="F837" s="2658"/>
      <c r="G837" s="2658">
        <v>0</v>
      </c>
      <c r="H837" s="2658"/>
      <c r="I837" s="2658"/>
      <c r="J837" s="2658"/>
      <c r="K837" s="2658"/>
      <c r="L837" s="2658"/>
      <c r="M837" s="2663"/>
      <c r="N837" s="2663" t="s">
        <v>883</v>
      </c>
      <c r="O837" s="2663"/>
      <c r="P837" s="2663"/>
      <c r="Q837" s="2663"/>
      <c r="R837" s="2663"/>
      <c r="S837" s="2659">
        <f t="shared" si="202"/>
        <v>42</v>
      </c>
      <c r="T837" s="2658"/>
      <c r="U837" s="2658"/>
      <c r="V837" s="2658"/>
      <c r="W837" s="2658"/>
      <c r="X837" s="2658">
        <f t="shared" si="203"/>
        <v>0</v>
      </c>
      <c r="Y837" s="2658">
        <f>IF(OR(Y838&gt;0,COUNTIF(PDs!$AD$56:$AD$74,Tablas!D837)&gt;0),1,0)</f>
        <v>0</v>
      </c>
      <c r="Z837" s="2658" t="str">
        <f>IF(P.Fuerza_final&lt;20,"NO","-")</f>
        <v>NO</v>
      </c>
      <c r="AA837" s="1086">
        <f>HA_final-PDs!$X$22+MIN(PDs!$X$22+H$917-H837,50)</f>
        <v>0</v>
      </c>
      <c r="AB837" s="2660">
        <f>HE_final-PDs!$X$24+MIN(PDs!$X$24+I$917-I837,50)</f>
        <v>0</v>
      </c>
      <c r="AC837" s="1338">
        <f>HP_final-PDs!$X$23+MIN(PDs!$X$23+J$917-J837,50)</f>
        <v>0</v>
      </c>
      <c r="AE837" s="1337" t="s">
        <v>7315</v>
      </c>
      <c r="AF837" s="594" t="s">
        <v>1368</v>
      </c>
      <c r="AG837" s="1341" t="s">
        <v>1368</v>
      </c>
      <c r="AI837" s="1403" t="str">
        <f>IF(PDs!E66="","",PDs!E66)</f>
        <v/>
      </c>
      <c r="AJ837" s="808" t="str">
        <f>IF(PDs!J66="","",PDs!J66)</f>
        <v/>
      </c>
      <c r="AK837" s="808" t="str">
        <f t="shared" si="204"/>
        <v/>
      </c>
      <c r="AL837" s="808" t="str">
        <f t="shared" si="205"/>
        <v/>
      </c>
      <c r="AM837" s="1086" t="str">
        <f t="shared" si="207"/>
        <v/>
      </c>
      <c r="AN837" s="808">
        <f t="shared" si="227"/>
        <v>0</v>
      </c>
      <c r="AO837" s="808">
        <f t="shared" si="208"/>
        <v>0</v>
      </c>
      <c r="AP837" s="808">
        <f t="shared" si="209"/>
        <v>0</v>
      </c>
      <c r="AQ837" s="333">
        <f>IFERROR(MATCH(PDs!M66,AN837:AP837,0),0)</f>
        <v>1</v>
      </c>
      <c r="AR837" s="1086" t="str">
        <f t="shared" si="210"/>
        <v/>
      </c>
      <c r="AS837" s="808">
        <f t="shared" si="211"/>
        <v>0</v>
      </c>
      <c r="AT837" s="808">
        <f t="shared" si="212"/>
        <v>0</v>
      </c>
      <c r="AU837" s="808">
        <f t="shared" si="213"/>
        <v>0</v>
      </c>
      <c r="AV837" s="333">
        <f>IF(AR837="",AQ837,MAX(IFERROR(MATCH(PDs!O66,AS837:AU837,0),0),AQ837))</f>
        <v>1</v>
      </c>
      <c r="AW837" s="2985" t="str">
        <f t="shared" si="214"/>
        <v/>
      </c>
      <c r="AX837" s="808">
        <f t="shared" si="215"/>
        <v>0</v>
      </c>
      <c r="AY837" s="808">
        <f t="shared" si="216"/>
        <v>0</v>
      </c>
      <c r="AZ837" s="808">
        <f t="shared" si="217"/>
        <v>0</v>
      </c>
      <c r="BA837" s="333">
        <f>IF(AW837="",AV837,MAX(IFERROR(MATCH(PDs!Q66,AX837:AZ837,0),0),AV837))</f>
        <v>1</v>
      </c>
      <c r="BB837" s="2985" t="str">
        <f t="shared" si="218"/>
        <v/>
      </c>
      <c r="BC837" s="808">
        <f t="shared" si="219"/>
        <v>0</v>
      </c>
      <c r="BD837" s="808">
        <f t="shared" si="220"/>
        <v>0</v>
      </c>
      <c r="BE837" s="808">
        <f t="shared" si="221"/>
        <v>0</v>
      </c>
      <c r="BF837" s="333">
        <f>IF(BB837="",BA837,MAX(IFERROR(MATCH(PDs!S66,BC837:BE837,0),0),BA837))</f>
        <v>1</v>
      </c>
      <c r="BG837" s="2985" t="str">
        <f t="shared" si="222"/>
        <v/>
      </c>
      <c r="BH837" s="808">
        <f t="shared" si="223"/>
        <v>0</v>
      </c>
      <c r="BI837" s="808">
        <f t="shared" si="224"/>
        <v>0</v>
      </c>
      <c r="BJ837" s="808">
        <f t="shared" si="225"/>
        <v>0</v>
      </c>
      <c r="BK837" s="333">
        <f>IF(BG837="",BF837,MAX(IFERROR(MATCH(PDs!U66,BH837:BJ837,0),0),BF837))</f>
        <v>1</v>
      </c>
      <c r="BL837" s="693">
        <f t="shared" si="226"/>
        <v>0</v>
      </c>
    </row>
    <row r="838" spans="1:64" ht="12.75" customHeight="1" thickBot="1" x14ac:dyDescent="0.25">
      <c r="A838" s="237">
        <v>838</v>
      </c>
      <c r="B838" s="5838"/>
      <c r="C838" s="513"/>
      <c r="D838" s="2661" t="s">
        <v>884</v>
      </c>
      <c r="E838" s="2658">
        <f>20+Bono_Fue</f>
        <v>20</v>
      </c>
      <c r="F838" s="2658"/>
      <c r="G838" s="2658">
        <v>10</v>
      </c>
      <c r="H838" s="2658"/>
      <c r="I838" s="2658"/>
      <c r="J838" s="2658"/>
      <c r="K838" s="2658"/>
      <c r="L838" s="2658"/>
      <c r="M838" s="2663"/>
      <c r="N838" s="2663" t="s">
        <v>885</v>
      </c>
      <c r="O838" s="2663"/>
      <c r="P838" s="2663"/>
      <c r="Q838" s="2663"/>
      <c r="R838" s="2663"/>
      <c r="S838" s="2659">
        <f t="shared" si="202"/>
        <v>33</v>
      </c>
      <c r="T838" s="2658"/>
      <c r="U838" s="2658"/>
      <c r="V838" s="2658"/>
      <c r="W838" s="2658"/>
      <c r="X838" s="2658">
        <f t="shared" si="203"/>
        <v>0</v>
      </c>
      <c r="Y838" s="2658">
        <f>IF(OR(Y839&gt;0,COUNTIF(PDs!$AD$56:$AD$74,Tablas!D838)&gt;0),1,0)</f>
        <v>0</v>
      </c>
      <c r="Z838" s="2658" t="str">
        <f>IF(OR(P.Fuerza_final&lt;40,AA838&lt;130),"NO","-")</f>
        <v>NO</v>
      </c>
      <c r="AA838" s="1086">
        <f>HA_final-PDs!$X$22+MIN(PDs!$X$22+H$917-H838,50)</f>
        <v>0</v>
      </c>
      <c r="AB838" s="2660">
        <f>HE_final-PDs!$X$24+MIN(PDs!$X$24+I$917-I838,50)</f>
        <v>0</v>
      </c>
      <c r="AC838" s="1338">
        <f>HP_final-PDs!$X$23+MIN(PDs!$X$23+J$917-J838,50)</f>
        <v>0</v>
      </c>
      <c r="AE838" s="1337" t="s">
        <v>7316</v>
      </c>
      <c r="AF838" s="594" t="s">
        <v>8956</v>
      </c>
      <c r="AG838" s="1339" t="s">
        <v>8957</v>
      </c>
      <c r="AI838" s="1403" t="str">
        <f>IF(PDs!E67="","",PDs!E67)</f>
        <v/>
      </c>
      <c r="AJ838" s="808" t="str">
        <f>IF(PDs!J67="","",PDs!J67)</f>
        <v/>
      </c>
      <c r="AK838" s="808" t="str">
        <f t="shared" si="204"/>
        <v/>
      </c>
      <c r="AL838" s="808" t="str">
        <f t="shared" si="205"/>
        <v/>
      </c>
      <c r="AM838" s="1086" t="str">
        <f t="shared" si="207"/>
        <v/>
      </c>
      <c r="AN838" s="808">
        <f t="shared" si="227"/>
        <v>0</v>
      </c>
      <c r="AO838" s="808">
        <f t="shared" si="208"/>
        <v>0</v>
      </c>
      <c r="AP838" s="808">
        <f t="shared" si="209"/>
        <v>0</v>
      </c>
      <c r="AQ838" s="333">
        <f>IFERROR(MATCH(PDs!M67,AN838:AP838,0),0)</f>
        <v>1</v>
      </c>
      <c r="AR838" s="1086" t="str">
        <f t="shared" si="210"/>
        <v/>
      </c>
      <c r="AS838" s="808">
        <f t="shared" si="211"/>
        <v>0</v>
      </c>
      <c r="AT838" s="808">
        <f t="shared" si="212"/>
        <v>0</v>
      </c>
      <c r="AU838" s="808">
        <f t="shared" si="213"/>
        <v>0</v>
      </c>
      <c r="AV838" s="333">
        <f>IF(AR838="",AQ838,MAX(IFERROR(MATCH(PDs!O67,AS838:AU838,0),0),AQ838))</f>
        <v>1</v>
      </c>
      <c r="AW838" s="2985" t="str">
        <f t="shared" si="214"/>
        <v/>
      </c>
      <c r="AX838" s="808">
        <f t="shared" si="215"/>
        <v>0</v>
      </c>
      <c r="AY838" s="808">
        <f t="shared" si="216"/>
        <v>0</v>
      </c>
      <c r="AZ838" s="808">
        <f t="shared" si="217"/>
        <v>0</v>
      </c>
      <c r="BA838" s="333">
        <f>IF(AW838="",AV838,MAX(IFERROR(MATCH(PDs!Q67,AX838:AZ838,0),0),AV838))</f>
        <v>1</v>
      </c>
      <c r="BB838" s="2985" t="str">
        <f t="shared" si="218"/>
        <v/>
      </c>
      <c r="BC838" s="808">
        <f t="shared" si="219"/>
        <v>0</v>
      </c>
      <c r="BD838" s="808">
        <f t="shared" si="220"/>
        <v>0</v>
      </c>
      <c r="BE838" s="808">
        <f t="shared" si="221"/>
        <v>0</v>
      </c>
      <c r="BF838" s="333">
        <f>IF(BB838="",BA838,MAX(IFERROR(MATCH(PDs!S67,BC838:BE838,0),0),BA838))</f>
        <v>1</v>
      </c>
      <c r="BG838" s="2985" t="str">
        <f t="shared" si="222"/>
        <v/>
      </c>
      <c r="BH838" s="808">
        <f t="shared" si="223"/>
        <v>0</v>
      </c>
      <c r="BI838" s="808">
        <f t="shared" si="224"/>
        <v>0</v>
      </c>
      <c r="BJ838" s="808">
        <f t="shared" si="225"/>
        <v>0</v>
      </c>
      <c r="BK838" s="333">
        <f>IF(BG838="",BF838,MAX(IFERROR(MATCH(PDs!U67,BH838:BJ838,0),0),BF838))</f>
        <v>1</v>
      </c>
      <c r="BL838" s="693">
        <f t="shared" si="226"/>
        <v>0</v>
      </c>
    </row>
    <row r="839" spans="1:64" ht="12.75" customHeight="1" thickBot="1" x14ac:dyDescent="0.25">
      <c r="A839" s="237">
        <v>839</v>
      </c>
      <c r="B839" s="5838"/>
      <c r="C839" s="513"/>
      <c r="D839" s="2661" t="s">
        <v>886</v>
      </c>
      <c r="E839" s="2658">
        <f>20+Bono_Fue</f>
        <v>20</v>
      </c>
      <c r="F839" s="2658"/>
      <c r="G839" s="2658">
        <v>20</v>
      </c>
      <c r="H839" s="2658"/>
      <c r="I839" s="2658"/>
      <c r="J839" s="2658"/>
      <c r="K839" s="2658"/>
      <c r="L839" s="2658"/>
      <c r="M839" s="2663"/>
      <c r="N839" s="2663" t="s">
        <v>8970</v>
      </c>
      <c r="O839" s="2663"/>
      <c r="P839" s="2663"/>
      <c r="Q839" s="2663"/>
      <c r="R839" s="2663"/>
      <c r="S839" s="2659">
        <f t="shared" si="202"/>
        <v>82</v>
      </c>
      <c r="T839" s="2658"/>
      <c r="U839" s="2658"/>
      <c r="V839" s="2658"/>
      <c r="W839" s="2658"/>
      <c r="X839" s="2658">
        <f t="shared" si="203"/>
        <v>0</v>
      </c>
      <c r="Y839" s="2658">
        <f>IF(COUNTIF(PDs!$AD$56:$AD$74,Tablas!D839)&gt;0,1,0)</f>
        <v>0</v>
      </c>
      <c r="Z839" s="2658" t="str">
        <f>IF(OR(P.Fuerza_final&lt;120,AA839&lt;200),"NO","-")</f>
        <v>NO</v>
      </c>
      <c r="AA839" s="1086">
        <f>HA_final-PDs!$X$22+MIN(PDs!$X$22+H$917-H839,50)</f>
        <v>0</v>
      </c>
      <c r="AB839" s="2660">
        <f>HE_final-PDs!$X$24+MIN(PDs!$X$24+I$917-I839,50)</f>
        <v>0</v>
      </c>
      <c r="AC839" s="1338">
        <f>HP_final-PDs!$X$23+MIN(PDs!$X$23+J$917-J839,50)</f>
        <v>0</v>
      </c>
      <c r="AE839" s="1337" t="s">
        <v>7317</v>
      </c>
      <c r="AF839" s="1339" t="s">
        <v>8958</v>
      </c>
      <c r="AI839" s="1403" t="str">
        <f>IF(PDs!E68="","",PDs!E68)</f>
        <v/>
      </c>
      <c r="AJ839" s="808" t="str">
        <f>IF(PDs!J68="","",PDs!J68)</f>
        <v/>
      </c>
      <c r="AK839" s="808" t="str">
        <f t="shared" si="204"/>
        <v/>
      </c>
      <c r="AL839" s="808" t="str">
        <f t="shared" si="205"/>
        <v/>
      </c>
      <c r="AM839" s="1086" t="str">
        <f t="shared" si="207"/>
        <v/>
      </c>
      <c r="AN839" s="808">
        <f t="shared" si="227"/>
        <v>0</v>
      </c>
      <c r="AO839" s="808">
        <f t="shared" si="208"/>
        <v>0</v>
      </c>
      <c r="AP839" s="808">
        <f t="shared" si="209"/>
        <v>0</v>
      </c>
      <c r="AQ839" s="333">
        <f>IFERROR(MATCH(PDs!M68,AN839:AP839,0),0)</f>
        <v>1</v>
      </c>
      <c r="AR839" s="1086" t="str">
        <f t="shared" si="210"/>
        <v/>
      </c>
      <c r="AS839" s="808">
        <f t="shared" si="211"/>
        <v>0</v>
      </c>
      <c r="AT839" s="808">
        <f t="shared" si="212"/>
        <v>0</v>
      </c>
      <c r="AU839" s="808">
        <f t="shared" si="213"/>
        <v>0</v>
      </c>
      <c r="AV839" s="333">
        <f>IF(AR839="",AQ839,MAX(IFERROR(MATCH(PDs!O68,AS839:AU839,0),0),AQ839))</f>
        <v>1</v>
      </c>
      <c r="AW839" s="2985" t="str">
        <f t="shared" si="214"/>
        <v/>
      </c>
      <c r="AX839" s="808">
        <f t="shared" si="215"/>
        <v>0</v>
      </c>
      <c r="AY839" s="808">
        <f t="shared" si="216"/>
        <v>0</v>
      </c>
      <c r="AZ839" s="808">
        <f t="shared" si="217"/>
        <v>0</v>
      </c>
      <c r="BA839" s="333">
        <f>IF(AW839="",AV839,MAX(IFERROR(MATCH(PDs!Q68,AX839:AZ839,0),0),AV839))</f>
        <v>1</v>
      </c>
      <c r="BB839" s="2985" t="str">
        <f t="shared" si="218"/>
        <v/>
      </c>
      <c r="BC839" s="808">
        <f t="shared" si="219"/>
        <v>0</v>
      </c>
      <c r="BD839" s="808">
        <f t="shared" si="220"/>
        <v>0</v>
      </c>
      <c r="BE839" s="808">
        <f t="shared" si="221"/>
        <v>0</v>
      </c>
      <c r="BF839" s="333">
        <f>IF(BB839="",BA839,MAX(IFERROR(MATCH(PDs!S68,BC839:BE839,0),0),BA839))</f>
        <v>1</v>
      </c>
      <c r="BG839" s="2985" t="str">
        <f t="shared" si="222"/>
        <v/>
      </c>
      <c r="BH839" s="808">
        <f t="shared" si="223"/>
        <v>0</v>
      </c>
      <c r="BI839" s="808">
        <f t="shared" si="224"/>
        <v>0</v>
      </c>
      <c r="BJ839" s="808">
        <f t="shared" si="225"/>
        <v>0</v>
      </c>
      <c r="BK839" s="333">
        <f>IF(BG839="",BF839,MAX(IFERROR(MATCH(PDs!U68,BH839:BJ839,0),0),BF839))</f>
        <v>1</v>
      </c>
      <c r="BL839" s="693">
        <f t="shared" si="226"/>
        <v>0</v>
      </c>
    </row>
    <row r="840" spans="1:64" ht="12.75" customHeight="1" x14ac:dyDescent="0.2">
      <c r="A840" s="237">
        <v>840</v>
      </c>
      <c r="B840" s="5838"/>
      <c r="C840" s="513"/>
      <c r="D840" s="2661" t="s">
        <v>887</v>
      </c>
      <c r="E840" s="2658">
        <f>10+Bono_Fue</f>
        <v>10</v>
      </c>
      <c r="F840" s="2658"/>
      <c r="G840" s="2658">
        <v>0</v>
      </c>
      <c r="H840" s="2658"/>
      <c r="I840" s="2658"/>
      <c r="J840" s="2658"/>
      <c r="K840" s="2658"/>
      <c r="L840" s="2658"/>
      <c r="M840" s="2663"/>
      <c r="N840" s="2663" t="s">
        <v>888</v>
      </c>
      <c r="O840" s="2663"/>
      <c r="P840" s="2663"/>
      <c r="Q840" s="2663"/>
      <c r="R840" s="2663"/>
      <c r="S840" s="2659">
        <f t="shared" si="202"/>
        <v>61</v>
      </c>
      <c r="T840" s="2658"/>
      <c r="U840" s="2658"/>
      <c r="V840" s="2658"/>
      <c r="W840" s="2658"/>
      <c r="X840" s="2658">
        <f t="shared" si="203"/>
        <v>0</v>
      </c>
      <c r="Y840" s="2658">
        <f>IF(OR(Y841&gt;0,COUNTIF(PDs!$AD$56:$AD$74,Tablas!D840)&gt;0),1,0)</f>
        <v>0</v>
      </c>
      <c r="Z840" s="2658" t="str">
        <f>IF(OR(T.Manos_final&lt;20,Atletismo_final&lt;40),"NO","-")</f>
        <v>NO</v>
      </c>
      <c r="AA840" s="1086">
        <f>HA_final-PDs!$X$22+MIN(PDs!$X$22+H$917-H840,50)</f>
        <v>0</v>
      </c>
      <c r="AB840" s="2660">
        <f>HE_final-PDs!$X$24+MIN(PDs!$X$24+I$917-I840,50)</f>
        <v>0</v>
      </c>
      <c r="AC840" s="1338">
        <f>HP_final-PDs!$X$23+MIN(PDs!$X$23+J$917-J840,50)</f>
        <v>0</v>
      </c>
      <c r="AE840" s="1337" t="s">
        <v>7318</v>
      </c>
      <c r="AI840" s="1403" t="str">
        <f>IF(PDs!E69="","",PDs!E69)</f>
        <v/>
      </c>
      <c r="AJ840" s="808" t="str">
        <f>IF(PDs!J69="","",PDs!J69)</f>
        <v/>
      </c>
      <c r="AK840" s="808" t="str">
        <f t="shared" si="204"/>
        <v/>
      </c>
      <c r="AL840" s="808" t="str">
        <f t="shared" si="205"/>
        <v/>
      </c>
      <c r="AM840" s="1086" t="str">
        <f t="shared" si="207"/>
        <v/>
      </c>
      <c r="AN840" s="808">
        <f t="shared" si="227"/>
        <v>0</v>
      </c>
      <c r="AO840" s="808">
        <f t="shared" si="208"/>
        <v>0</v>
      </c>
      <c r="AP840" s="808">
        <f t="shared" si="209"/>
        <v>0</v>
      </c>
      <c r="AQ840" s="333">
        <f>IFERROR(MATCH(PDs!M69,AN840:AP840,0),0)</f>
        <v>1</v>
      </c>
      <c r="AR840" s="1086" t="str">
        <f t="shared" si="210"/>
        <v/>
      </c>
      <c r="AS840" s="808">
        <f t="shared" si="211"/>
        <v>0</v>
      </c>
      <c r="AT840" s="808">
        <f t="shared" si="212"/>
        <v>0</v>
      </c>
      <c r="AU840" s="808">
        <f t="shared" si="213"/>
        <v>0</v>
      </c>
      <c r="AV840" s="333">
        <f>IF(AR840="",AQ840,MAX(IFERROR(MATCH(PDs!O69,AS840:AU840,0),0),AQ840))</f>
        <v>1</v>
      </c>
      <c r="AW840" s="2985" t="str">
        <f t="shared" si="214"/>
        <v/>
      </c>
      <c r="AX840" s="808">
        <f t="shared" si="215"/>
        <v>0</v>
      </c>
      <c r="AY840" s="808">
        <f t="shared" si="216"/>
        <v>0</v>
      </c>
      <c r="AZ840" s="808">
        <f t="shared" si="217"/>
        <v>0</v>
      </c>
      <c r="BA840" s="333">
        <f>IF(AW840="",AV840,MAX(IFERROR(MATCH(PDs!Q69,AX840:AZ840,0),0),AV840))</f>
        <v>1</v>
      </c>
      <c r="BB840" s="2985" t="str">
        <f t="shared" si="218"/>
        <v/>
      </c>
      <c r="BC840" s="808">
        <f t="shared" si="219"/>
        <v>0</v>
      </c>
      <c r="BD840" s="808">
        <f t="shared" si="220"/>
        <v>0</v>
      </c>
      <c r="BE840" s="808">
        <f t="shared" si="221"/>
        <v>0</v>
      </c>
      <c r="BF840" s="333">
        <f>IF(BB840="",BA840,MAX(IFERROR(MATCH(PDs!S69,BC840:BE840,0),0),BA840))</f>
        <v>1</v>
      </c>
      <c r="BG840" s="2985" t="str">
        <f t="shared" si="222"/>
        <v/>
      </c>
      <c r="BH840" s="808">
        <f t="shared" si="223"/>
        <v>0</v>
      </c>
      <c r="BI840" s="808">
        <f t="shared" si="224"/>
        <v>0</v>
      </c>
      <c r="BJ840" s="808">
        <f t="shared" si="225"/>
        <v>0</v>
      </c>
      <c r="BK840" s="333">
        <f>IF(BG840="",BF840,MAX(IFERROR(MATCH(PDs!U69,BH840:BJ840,0),0),BF840))</f>
        <v>1</v>
      </c>
      <c r="BL840" s="693">
        <f t="shared" si="226"/>
        <v>0</v>
      </c>
    </row>
    <row r="841" spans="1:64" ht="12.75" customHeight="1" x14ac:dyDescent="0.2">
      <c r="A841" s="237">
        <v>841</v>
      </c>
      <c r="B841" s="5838"/>
      <c r="C841" s="513"/>
      <c r="D841" s="2661" t="s">
        <v>889</v>
      </c>
      <c r="E841" s="2658">
        <f>20+Bono_Fue</f>
        <v>20</v>
      </c>
      <c r="F841" s="2658"/>
      <c r="G841" s="2658">
        <v>10</v>
      </c>
      <c r="H841" s="2658"/>
      <c r="I841" s="2658">
        <v>10</v>
      </c>
      <c r="J841" s="2658">
        <v>10</v>
      </c>
      <c r="K841" s="2658"/>
      <c r="L841" s="2658"/>
      <c r="M841" s="2663"/>
      <c r="N841" s="2663" t="s">
        <v>890</v>
      </c>
      <c r="O841" s="2663"/>
      <c r="P841" s="2663"/>
      <c r="Q841" s="2663"/>
      <c r="R841" s="2663"/>
      <c r="S841" s="2659">
        <f t="shared" si="202"/>
        <v>61</v>
      </c>
      <c r="T841" s="2658"/>
      <c r="U841" s="2658"/>
      <c r="V841" s="2658"/>
      <c r="W841" s="2658"/>
      <c r="X841" s="2658">
        <f t="shared" si="203"/>
        <v>0</v>
      </c>
      <c r="Y841" s="2658">
        <f>IF(OR(Y842&gt;0,COUNTIF(PDs!$AD$56:$AD$74,Tablas!D841)&gt;0),1,0)</f>
        <v>0</v>
      </c>
      <c r="Z841" s="2658" t="str">
        <f>IF(OR(T.Manos_final&lt;40,Atletismo_final&lt;60,MAX(AB841,AC841)&lt;120),"NO","-")</f>
        <v>NO</v>
      </c>
      <c r="AA841" s="1086">
        <f>HA_final-PDs!$X$22+MIN(PDs!$X$22+H$917-H841,50)</f>
        <v>0</v>
      </c>
      <c r="AB841" s="2660">
        <f>HE_final-PDs!$X$24+MIN(PDs!$X$24+I$917-I841,50)</f>
        <v>-10</v>
      </c>
      <c r="AC841" s="1338">
        <f>HP_final-PDs!$X$23+MIN(PDs!$X$23+J$917-J841,50)</f>
        <v>-10</v>
      </c>
      <c r="AE841" s="1337" t="s">
        <v>7319</v>
      </c>
      <c r="AI841" s="1403" t="str">
        <f>IF(PDs!E70="","",PDs!E70)</f>
        <v/>
      </c>
      <c r="AJ841" s="808" t="str">
        <f>IF(PDs!J70="","",PDs!J70)</f>
        <v/>
      </c>
      <c r="AK841" s="808" t="str">
        <f t="shared" si="204"/>
        <v/>
      </c>
      <c r="AL841" s="808" t="str">
        <f t="shared" si="205"/>
        <v/>
      </c>
      <c r="AM841" s="1086" t="str">
        <f t="shared" si="207"/>
        <v/>
      </c>
      <c r="AN841" s="808">
        <f t="shared" si="227"/>
        <v>0</v>
      </c>
      <c r="AO841" s="808">
        <f t="shared" si="208"/>
        <v>0</v>
      </c>
      <c r="AP841" s="808">
        <f t="shared" si="209"/>
        <v>0</v>
      </c>
      <c r="AQ841" s="333">
        <f>IFERROR(MATCH(PDs!M70,AN841:AP841,0),0)</f>
        <v>1</v>
      </c>
      <c r="AR841" s="1086" t="str">
        <f t="shared" si="210"/>
        <v/>
      </c>
      <c r="AS841" s="808">
        <f t="shared" si="211"/>
        <v>0</v>
      </c>
      <c r="AT841" s="808">
        <f t="shared" si="212"/>
        <v>0</v>
      </c>
      <c r="AU841" s="808">
        <f t="shared" si="213"/>
        <v>0</v>
      </c>
      <c r="AV841" s="333">
        <f>IF(AR841="",AQ841,MAX(IFERROR(MATCH(PDs!O70,AS841:AU841,0),0),AQ841))</f>
        <v>1</v>
      </c>
      <c r="AW841" s="2985" t="str">
        <f t="shared" si="214"/>
        <v/>
      </c>
      <c r="AX841" s="808">
        <f t="shared" si="215"/>
        <v>0</v>
      </c>
      <c r="AY841" s="808">
        <f t="shared" si="216"/>
        <v>0</v>
      </c>
      <c r="AZ841" s="808">
        <f t="shared" si="217"/>
        <v>0</v>
      </c>
      <c r="BA841" s="333">
        <f>IF(AW841="",AV841,MAX(IFERROR(MATCH(PDs!Q70,AX841:AZ841,0),0),AV841))</f>
        <v>1</v>
      </c>
      <c r="BB841" s="2985" t="str">
        <f t="shared" si="218"/>
        <v/>
      </c>
      <c r="BC841" s="808">
        <f t="shared" si="219"/>
        <v>0</v>
      </c>
      <c r="BD841" s="808">
        <f t="shared" si="220"/>
        <v>0</v>
      </c>
      <c r="BE841" s="808">
        <f t="shared" si="221"/>
        <v>0</v>
      </c>
      <c r="BF841" s="333">
        <f>IF(BB841="",BA841,MAX(IFERROR(MATCH(PDs!S70,BC841:BE841,0),0),BA841))</f>
        <v>1</v>
      </c>
      <c r="BG841" s="2985" t="str">
        <f t="shared" si="222"/>
        <v/>
      </c>
      <c r="BH841" s="808">
        <f t="shared" si="223"/>
        <v>0</v>
      </c>
      <c r="BI841" s="808">
        <f t="shared" si="224"/>
        <v>0</v>
      </c>
      <c r="BJ841" s="808">
        <f t="shared" si="225"/>
        <v>0</v>
      </c>
      <c r="BK841" s="333">
        <f>IF(BG841="",BF841,MAX(IFERROR(MATCH(PDs!U70,BH841:BJ841,0),0),BF841))</f>
        <v>1</v>
      </c>
      <c r="BL841" s="693">
        <f t="shared" si="226"/>
        <v>0</v>
      </c>
    </row>
    <row r="842" spans="1:64" ht="12.75" customHeight="1" x14ac:dyDescent="0.2">
      <c r="A842" s="237">
        <v>842</v>
      </c>
      <c r="B842" s="5838"/>
      <c r="C842" s="513"/>
      <c r="D842" s="2661" t="s">
        <v>891</v>
      </c>
      <c r="E842" s="2658">
        <f>30+Bono_Fue</f>
        <v>30</v>
      </c>
      <c r="F842" s="2658"/>
      <c r="G842" s="2658">
        <v>20</v>
      </c>
      <c r="H842" s="2658"/>
      <c r="I842" s="2658">
        <v>10</v>
      </c>
      <c r="J842" s="2658">
        <v>10</v>
      </c>
      <c r="K842" s="2658"/>
      <c r="L842" s="2658"/>
      <c r="M842" s="2663"/>
      <c r="N842" s="2663" t="s">
        <v>8972</v>
      </c>
      <c r="O842" s="2663"/>
      <c r="P842" s="2663"/>
      <c r="Q842" s="2663"/>
      <c r="R842" s="2663"/>
      <c r="S842" s="2659">
        <f t="shared" si="202"/>
        <v>85</v>
      </c>
      <c r="T842" s="2658"/>
      <c r="U842" s="2658"/>
      <c r="V842" s="2658"/>
      <c r="W842" s="2658"/>
      <c r="X842" s="2658">
        <f t="shared" si="203"/>
        <v>0</v>
      </c>
      <c r="Y842" s="2658">
        <f>IF(COUNTIF(PDs!$AD$56:$AD$74,Tablas!D842)&gt;0,1,0)</f>
        <v>0</v>
      </c>
      <c r="Z842" s="2658" t="str">
        <f>IF(OR(T.Manos_final&lt;100,Atletismo_final&lt;120,MAX(AB842,AC842)&lt;130),"NO","-")</f>
        <v>NO</v>
      </c>
      <c r="AA842" s="1086">
        <f>HA_final-PDs!$X$22+MIN(PDs!$X$22+H$917-H842,50)</f>
        <v>0</v>
      </c>
      <c r="AB842" s="2660">
        <f>HE_final-PDs!$X$24+MIN(PDs!$X$24+I$917-I842,50)</f>
        <v>-10</v>
      </c>
      <c r="AC842" s="1338">
        <f>HP_final-PDs!$X$23+MIN(PDs!$X$23+J$917-J842,50)</f>
        <v>-10</v>
      </c>
      <c r="AE842" s="1337" t="s">
        <v>7320</v>
      </c>
      <c r="AI842" s="1403" t="str">
        <f>IF(PDs!E71="","",PDs!E71)</f>
        <v/>
      </c>
      <c r="AJ842" s="808" t="str">
        <f>IF(PDs!J71="","",PDs!J71)</f>
        <v/>
      </c>
      <c r="AK842" s="808" t="str">
        <f t="shared" si="204"/>
        <v/>
      </c>
      <c r="AL842" s="808" t="str">
        <f t="shared" si="205"/>
        <v/>
      </c>
      <c r="AM842" s="1086" t="str">
        <f t="shared" si="207"/>
        <v/>
      </c>
      <c r="AN842" s="808">
        <f t="shared" si="227"/>
        <v>0</v>
      </c>
      <c r="AO842" s="808">
        <f t="shared" si="208"/>
        <v>0</v>
      </c>
      <c r="AP842" s="808">
        <f t="shared" si="209"/>
        <v>0</v>
      </c>
      <c r="AQ842" s="333">
        <f>IFERROR(MATCH(PDs!M71,AN842:AP842,0),0)</f>
        <v>1</v>
      </c>
      <c r="AR842" s="1086" t="str">
        <f t="shared" si="210"/>
        <v/>
      </c>
      <c r="AS842" s="808">
        <f t="shared" si="211"/>
        <v>0</v>
      </c>
      <c r="AT842" s="808">
        <f t="shared" si="212"/>
        <v>0</v>
      </c>
      <c r="AU842" s="808">
        <f t="shared" si="213"/>
        <v>0</v>
      </c>
      <c r="AV842" s="333">
        <f>IF(AR842="",AQ842,MAX(IFERROR(MATCH(PDs!O71,AS842:AU842,0),0),AQ842))</f>
        <v>1</v>
      </c>
      <c r="AW842" s="2985" t="str">
        <f t="shared" si="214"/>
        <v/>
      </c>
      <c r="AX842" s="808">
        <f t="shared" si="215"/>
        <v>0</v>
      </c>
      <c r="AY842" s="808">
        <f t="shared" si="216"/>
        <v>0</v>
      </c>
      <c r="AZ842" s="808">
        <f t="shared" si="217"/>
        <v>0</v>
      </c>
      <c r="BA842" s="333">
        <f>IF(AW842="",AV842,MAX(IFERROR(MATCH(PDs!Q71,AX842:AZ842,0),0),AV842))</f>
        <v>1</v>
      </c>
      <c r="BB842" s="2985" t="str">
        <f t="shared" si="218"/>
        <v/>
      </c>
      <c r="BC842" s="808">
        <f t="shared" si="219"/>
        <v>0</v>
      </c>
      <c r="BD842" s="808">
        <f t="shared" si="220"/>
        <v>0</v>
      </c>
      <c r="BE842" s="808">
        <f t="shared" si="221"/>
        <v>0</v>
      </c>
      <c r="BF842" s="333">
        <f>IF(BB842="",BA842,MAX(IFERROR(MATCH(PDs!S71,BC842:BE842,0),0),BA842))</f>
        <v>1</v>
      </c>
      <c r="BG842" s="2985" t="str">
        <f t="shared" si="222"/>
        <v/>
      </c>
      <c r="BH842" s="808">
        <f t="shared" si="223"/>
        <v>0</v>
      </c>
      <c r="BI842" s="808">
        <f t="shared" si="224"/>
        <v>0</v>
      </c>
      <c r="BJ842" s="808">
        <f t="shared" si="225"/>
        <v>0</v>
      </c>
      <c r="BK842" s="333">
        <f>IF(BG842="",BF842,MAX(IFERROR(MATCH(PDs!U71,BH842:BJ842,0),0),BF842))</f>
        <v>1</v>
      </c>
      <c r="BL842" s="693">
        <f t="shared" si="226"/>
        <v>0</v>
      </c>
    </row>
    <row r="843" spans="1:64" ht="12.75" customHeight="1" x14ac:dyDescent="0.2">
      <c r="A843" s="237">
        <v>843</v>
      </c>
      <c r="B843" s="5838"/>
      <c r="C843" s="513"/>
      <c r="D843" s="2661" t="s">
        <v>892</v>
      </c>
      <c r="E843" s="2658">
        <f>10+Bono_Fue</f>
        <v>10</v>
      </c>
      <c r="F843" s="2658"/>
      <c r="G843" s="2658">
        <v>0</v>
      </c>
      <c r="H843" s="2658"/>
      <c r="I843" s="2658"/>
      <c r="J843" s="2658"/>
      <c r="K843" s="2658"/>
      <c r="L843" s="2658"/>
      <c r="M843" s="2663"/>
      <c r="N843" s="2663" t="s">
        <v>893</v>
      </c>
      <c r="O843" s="2663"/>
      <c r="P843" s="2663"/>
      <c r="Q843" s="2663"/>
      <c r="R843" s="2663"/>
      <c r="S843" s="2659">
        <f t="shared" si="202"/>
        <v>50</v>
      </c>
      <c r="T843" s="2658"/>
      <c r="U843" s="2658"/>
      <c r="V843" s="2658"/>
      <c r="W843" s="2658"/>
      <c r="X843" s="2658">
        <f t="shared" si="203"/>
        <v>0</v>
      </c>
      <c r="Y843" s="2658">
        <f>IF(OR(Y844&gt;0,COUNTIF(PDs!$AD$56:$AD$74,Tablas!D843)&gt;0),1,0)</f>
        <v>0</v>
      </c>
      <c r="Z843" s="2658" t="s">
        <v>1459</v>
      </c>
      <c r="AA843" s="1086">
        <f>HA_final-PDs!$X$22+MIN(PDs!$X$22+H$917-H843,50)</f>
        <v>0</v>
      </c>
      <c r="AB843" s="2660">
        <f>HE_final-PDs!$X$24+MIN(PDs!$X$24+I$917-I843,50)</f>
        <v>0</v>
      </c>
      <c r="AC843" s="1338">
        <f>HP_final-PDs!$X$23+MIN(PDs!$X$23+J$917-J843,50)</f>
        <v>0</v>
      </c>
      <c r="AE843" s="1337" t="s">
        <v>7321</v>
      </c>
      <c r="AI843" s="1403" t="str">
        <f>IF(PDs!E72="","",PDs!E72)</f>
        <v/>
      </c>
      <c r="AJ843" s="808" t="str">
        <f>IF(PDs!J72="","",PDs!J72)</f>
        <v/>
      </c>
      <c r="AK843" s="808" t="str">
        <f t="shared" si="204"/>
        <v/>
      </c>
      <c r="AL843" s="808" t="str">
        <f t="shared" si="205"/>
        <v/>
      </c>
      <c r="AM843" s="1086" t="str">
        <f t="shared" si="207"/>
        <v/>
      </c>
      <c r="AN843" s="808">
        <f t="shared" si="227"/>
        <v>0</v>
      </c>
      <c r="AO843" s="808">
        <f t="shared" si="208"/>
        <v>0</v>
      </c>
      <c r="AP843" s="808">
        <f t="shared" si="209"/>
        <v>0</v>
      </c>
      <c r="AQ843" s="333">
        <f>IFERROR(MATCH(PDs!M72,AN843:AP843,0),0)</f>
        <v>1</v>
      </c>
      <c r="AR843" s="1086" t="str">
        <f t="shared" si="210"/>
        <v/>
      </c>
      <c r="AS843" s="808">
        <f t="shared" si="211"/>
        <v>0</v>
      </c>
      <c r="AT843" s="808">
        <f t="shared" si="212"/>
        <v>0</v>
      </c>
      <c r="AU843" s="808">
        <f t="shared" si="213"/>
        <v>0</v>
      </c>
      <c r="AV843" s="333">
        <f>IF(AR843="",AQ843,MAX(IFERROR(MATCH(PDs!O72,AS843:AU843,0),0),AQ843))</f>
        <v>1</v>
      </c>
      <c r="AW843" s="2985" t="str">
        <f t="shared" si="214"/>
        <v/>
      </c>
      <c r="AX843" s="808">
        <f t="shared" si="215"/>
        <v>0</v>
      </c>
      <c r="AY843" s="808">
        <f t="shared" si="216"/>
        <v>0</v>
      </c>
      <c r="AZ843" s="808">
        <f t="shared" si="217"/>
        <v>0</v>
      </c>
      <c r="BA843" s="333">
        <f>IF(AW843="",AV843,MAX(IFERROR(MATCH(PDs!Q72,AX843:AZ843,0),0),AV843))</f>
        <v>1</v>
      </c>
      <c r="BB843" s="2985" t="str">
        <f t="shared" si="218"/>
        <v/>
      </c>
      <c r="BC843" s="808">
        <f t="shared" si="219"/>
        <v>0</v>
      </c>
      <c r="BD843" s="808">
        <f t="shared" si="220"/>
        <v>0</v>
      </c>
      <c r="BE843" s="808">
        <f t="shared" si="221"/>
        <v>0</v>
      </c>
      <c r="BF843" s="333">
        <f>IF(BB843="",BA843,MAX(IFERROR(MATCH(PDs!S72,BC843:BE843,0),0),BA843))</f>
        <v>1</v>
      </c>
      <c r="BG843" s="2985" t="str">
        <f t="shared" si="222"/>
        <v/>
      </c>
      <c r="BH843" s="808">
        <f t="shared" si="223"/>
        <v>0</v>
      </c>
      <c r="BI843" s="808">
        <f t="shared" si="224"/>
        <v>0</v>
      </c>
      <c r="BJ843" s="808">
        <f t="shared" si="225"/>
        <v>0</v>
      </c>
      <c r="BK843" s="333">
        <f>IF(BG843="",BF843,MAX(IFERROR(MATCH(PDs!U72,BH843:BJ843,0),0),BF843))</f>
        <v>1</v>
      </c>
      <c r="BL843" s="693">
        <f t="shared" si="226"/>
        <v>0</v>
      </c>
    </row>
    <row r="844" spans="1:64" ht="12.75" customHeight="1" x14ac:dyDescent="0.2">
      <c r="A844" s="237">
        <v>844</v>
      </c>
      <c r="B844" s="5838"/>
      <c r="C844" s="513"/>
      <c r="D844" s="2661" t="s">
        <v>894</v>
      </c>
      <c r="E844" s="2658">
        <f>20+Bono_Fue</f>
        <v>20</v>
      </c>
      <c r="F844" s="2658"/>
      <c r="G844" s="2658">
        <v>10</v>
      </c>
      <c r="H844" s="2658"/>
      <c r="I844" s="2658"/>
      <c r="J844" s="2658"/>
      <c r="K844" s="2658"/>
      <c r="L844" s="2658"/>
      <c r="M844" s="2663"/>
      <c r="N844" s="2663" t="s">
        <v>895</v>
      </c>
      <c r="O844" s="2663"/>
      <c r="P844" s="2663"/>
      <c r="Q844" s="2663"/>
      <c r="R844" s="2663"/>
      <c r="S844" s="2659">
        <f t="shared" si="202"/>
        <v>50</v>
      </c>
      <c r="T844" s="2658"/>
      <c r="U844" s="2658"/>
      <c r="V844" s="2658"/>
      <c r="W844" s="2658"/>
      <c r="X844" s="2658">
        <f t="shared" si="203"/>
        <v>0</v>
      </c>
      <c r="Y844" s="2658">
        <f>IF(OR(Y845&gt;0,COUNTIF(PDs!$AD$56:$AD$74,Tablas!D844)&gt;0),1,0)</f>
        <v>0</v>
      </c>
      <c r="Z844" s="2662" t="str">
        <f>IF(OR(AA844&lt;120),"NO","-")</f>
        <v>NO</v>
      </c>
      <c r="AA844" s="1086">
        <f>HA_final-PDs!$X$22+MIN(PDs!$X$22+H$917-H844,50)</f>
        <v>0</v>
      </c>
      <c r="AB844" s="2660">
        <f>HE_final-PDs!$X$24+MIN(PDs!$X$24+I$917-I844,50)</f>
        <v>0</v>
      </c>
      <c r="AC844" s="1338">
        <f>HP_final-PDs!$X$23+MIN(PDs!$X$23+J$917-J844,50)</f>
        <v>0</v>
      </c>
      <c r="AE844" s="1337" t="s">
        <v>7322</v>
      </c>
      <c r="AI844" s="1403" t="str">
        <f>IF(PDs!E73="","",PDs!E73)</f>
        <v/>
      </c>
      <c r="AJ844" s="808" t="str">
        <f>IF(PDs!J73="","",PDs!J73)</f>
        <v/>
      </c>
      <c r="AK844" s="808" t="str">
        <f t="shared" si="204"/>
        <v/>
      </c>
      <c r="AL844" s="808" t="str">
        <f t="shared" si="205"/>
        <v/>
      </c>
      <c r="AM844" s="1086" t="str">
        <f t="shared" si="207"/>
        <v/>
      </c>
      <c r="AN844" s="808">
        <f t="shared" si="227"/>
        <v>0</v>
      </c>
      <c r="AO844" s="808">
        <f t="shared" si="208"/>
        <v>0</v>
      </c>
      <c r="AP844" s="808">
        <f t="shared" si="209"/>
        <v>0</v>
      </c>
      <c r="AQ844" s="333">
        <f>IFERROR(MATCH(PDs!M73,AN844:AP844,0),0)</f>
        <v>1</v>
      </c>
      <c r="AR844" s="1086" t="str">
        <f t="shared" si="210"/>
        <v/>
      </c>
      <c r="AS844" s="808">
        <f t="shared" si="211"/>
        <v>0</v>
      </c>
      <c r="AT844" s="808">
        <f t="shared" si="212"/>
        <v>0</v>
      </c>
      <c r="AU844" s="808">
        <f t="shared" si="213"/>
        <v>0</v>
      </c>
      <c r="AV844" s="333">
        <f>IF(AR844="",AQ844,MAX(IFERROR(MATCH(PDs!O73,AS844:AU844,0),0),AQ844))</f>
        <v>1</v>
      </c>
      <c r="AW844" s="2985" t="str">
        <f t="shared" si="214"/>
        <v/>
      </c>
      <c r="AX844" s="808">
        <f t="shared" si="215"/>
        <v>0</v>
      </c>
      <c r="AY844" s="808">
        <f t="shared" si="216"/>
        <v>0</v>
      </c>
      <c r="AZ844" s="808">
        <f t="shared" si="217"/>
        <v>0</v>
      </c>
      <c r="BA844" s="333">
        <f>IF(AW844="",AV844,MAX(IFERROR(MATCH(PDs!Q73,AX844:AZ844,0),0),AV844))</f>
        <v>1</v>
      </c>
      <c r="BB844" s="2985" t="str">
        <f t="shared" si="218"/>
        <v/>
      </c>
      <c r="BC844" s="808">
        <f t="shared" si="219"/>
        <v>0</v>
      </c>
      <c r="BD844" s="808">
        <f t="shared" si="220"/>
        <v>0</v>
      </c>
      <c r="BE844" s="808">
        <f t="shared" si="221"/>
        <v>0</v>
      </c>
      <c r="BF844" s="333">
        <f>IF(BB844="",BA844,MAX(IFERROR(MATCH(PDs!S73,BC844:BE844,0),0),BA844))</f>
        <v>1</v>
      </c>
      <c r="BG844" s="2985" t="str">
        <f t="shared" si="222"/>
        <v/>
      </c>
      <c r="BH844" s="808">
        <f t="shared" si="223"/>
        <v>0</v>
      </c>
      <c r="BI844" s="808">
        <f t="shared" si="224"/>
        <v>0</v>
      </c>
      <c r="BJ844" s="808">
        <f t="shared" si="225"/>
        <v>0</v>
      </c>
      <c r="BK844" s="333">
        <f>IF(BG844="",BF844,MAX(IFERROR(MATCH(PDs!U73,BH844:BJ844,0),0),BF844))</f>
        <v>1</v>
      </c>
      <c r="BL844" s="693">
        <f t="shared" si="226"/>
        <v>0</v>
      </c>
    </row>
    <row r="845" spans="1:64" ht="12.75" customHeight="1" thickBot="1" x14ac:dyDescent="0.25">
      <c r="A845" s="237">
        <v>845</v>
      </c>
      <c r="B845" s="5838"/>
      <c r="C845" s="513"/>
      <c r="D845" s="2661" t="s">
        <v>896</v>
      </c>
      <c r="E845" s="2658">
        <f>20+Bono_Fue</f>
        <v>20</v>
      </c>
      <c r="F845" s="2658"/>
      <c r="G845" s="2658">
        <v>20</v>
      </c>
      <c r="H845" s="2658">
        <v>10</v>
      </c>
      <c r="I845" s="2658"/>
      <c r="J845" s="2658"/>
      <c r="K845" s="2658"/>
      <c r="L845" s="2658"/>
      <c r="M845" s="2663"/>
      <c r="N845" s="2663" t="s">
        <v>8979</v>
      </c>
      <c r="O845" s="2663"/>
      <c r="P845" s="2663"/>
      <c r="Q845" s="2663"/>
      <c r="R845" s="2663"/>
      <c r="S845" s="2659">
        <f t="shared" si="202"/>
        <v>81</v>
      </c>
      <c r="T845" s="2658"/>
      <c r="U845" s="2658"/>
      <c r="V845" s="2658"/>
      <c r="W845" s="2658"/>
      <c r="X845" s="2658">
        <f t="shared" si="203"/>
        <v>0</v>
      </c>
      <c r="Y845" s="2658">
        <f>IF(COUNTIF(PDs!$AD$56:$AD$74,Tablas!D845)&gt;0,1,0)</f>
        <v>0</v>
      </c>
      <c r="Z845" s="2662" t="str">
        <f>IF(OR(AA845&lt;200),"NO","-")</f>
        <v>NO</v>
      </c>
      <c r="AA845" s="1086">
        <f>HA_final-PDs!$X$22+MIN(PDs!$X$22+H$917-H845,50)</f>
        <v>-10</v>
      </c>
      <c r="AB845" s="2660">
        <f>HE_final-PDs!$X$24+MIN(PDs!$X$24+I$917-I845,50)</f>
        <v>0</v>
      </c>
      <c r="AC845" s="1338">
        <f>HP_final-PDs!$X$23+MIN(PDs!$X$23+J$917-J845,50)</f>
        <v>0</v>
      </c>
      <c r="AE845" s="1337" t="s">
        <v>7323</v>
      </c>
      <c r="AI845" s="1404" t="str">
        <f>IF(PDs!E74="","",PDs!E74)</f>
        <v/>
      </c>
      <c r="AJ845" s="1306" t="str">
        <f>IF(PDs!J74="","",PDs!J74)</f>
        <v/>
      </c>
      <c r="AK845" s="1306" t="str">
        <f t="shared" si="204"/>
        <v/>
      </c>
      <c r="AL845" s="1306" t="str">
        <f t="shared" si="205"/>
        <v/>
      </c>
      <c r="AM845" s="1305" t="str">
        <f t="shared" si="207"/>
        <v/>
      </c>
      <c r="AN845" s="1306">
        <f t="shared" si="227"/>
        <v>0</v>
      </c>
      <c r="AO845" s="1306">
        <f t="shared" si="208"/>
        <v>0</v>
      </c>
      <c r="AP845" s="1306">
        <f t="shared" si="209"/>
        <v>0</v>
      </c>
      <c r="AQ845" s="338">
        <f>IFERROR(MATCH(PDs!M74,AN845:AP845,0),0)</f>
        <v>1</v>
      </c>
      <c r="AR845" s="1305" t="str">
        <f t="shared" si="210"/>
        <v/>
      </c>
      <c r="AS845" s="1306">
        <f t="shared" si="211"/>
        <v>0</v>
      </c>
      <c r="AT845" s="1306">
        <f t="shared" si="212"/>
        <v>0</v>
      </c>
      <c r="AU845" s="1306">
        <f t="shared" si="213"/>
        <v>0</v>
      </c>
      <c r="AV845" s="338">
        <f>IF(AR845="",AQ845,MAX(IFERROR(MATCH(PDs!O74,AS845:AU845,0),0),AQ845))</f>
        <v>1</v>
      </c>
      <c r="AW845" s="1305" t="str">
        <f t="shared" si="214"/>
        <v/>
      </c>
      <c r="AX845" s="1306">
        <f t="shared" si="215"/>
        <v>0</v>
      </c>
      <c r="AY845" s="1306">
        <f t="shared" si="216"/>
        <v>0</v>
      </c>
      <c r="AZ845" s="1306">
        <f t="shared" si="217"/>
        <v>0</v>
      </c>
      <c r="BA845" s="338">
        <f>IF(AW845="",AV845,MAX(IFERROR(MATCH(PDs!Q74,AX845:AZ845,0),0),AV845))</f>
        <v>1</v>
      </c>
      <c r="BB845" s="1305" t="str">
        <f t="shared" si="218"/>
        <v/>
      </c>
      <c r="BC845" s="1306">
        <f t="shared" si="219"/>
        <v>0</v>
      </c>
      <c r="BD845" s="1306">
        <f t="shared" si="220"/>
        <v>0</v>
      </c>
      <c r="BE845" s="1306">
        <f t="shared" si="221"/>
        <v>0</v>
      </c>
      <c r="BF845" s="338">
        <f>IF(BB845="",BA845,MAX(IFERROR(MATCH(PDs!S74,BC845:BE845,0),0),BA845))</f>
        <v>1</v>
      </c>
      <c r="BG845" s="1305" t="str">
        <f t="shared" si="222"/>
        <v/>
      </c>
      <c r="BH845" s="1306">
        <f t="shared" si="223"/>
        <v>0</v>
      </c>
      <c r="BI845" s="1306">
        <f t="shared" si="224"/>
        <v>0</v>
      </c>
      <c r="BJ845" s="1306">
        <f t="shared" si="225"/>
        <v>0</v>
      </c>
      <c r="BK845" s="338">
        <f>IF(BG845="",BF845,MAX(IFERROR(MATCH(PDs!U74,BH845:BJ845,0),0),BF845))</f>
        <v>1</v>
      </c>
      <c r="BL845" s="1972">
        <f t="shared" si="226"/>
        <v>0</v>
      </c>
    </row>
    <row r="846" spans="1:64" ht="12.75" customHeight="1" x14ac:dyDescent="0.2">
      <c r="A846" s="237">
        <v>846</v>
      </c>
      <c r="B846" s="5838"/>
      <c r="C846" s="513"/>
      <c r="D846" s="2661" t="s">
        <v>897</v>
      </c>
      <c r="E846" s="2658">
        <f>10+Bono_Fue</f>
        <v>10</v>
      </c>
      <c r="F846" s="2658"/>
      <c r="G846" s="2658">
        <v>0</v>
      </c>
      <c r="H846" s="2658"/>
      <c r="I846" s="2658"/>
      <c r="J846" s="2658"/>
      <c r="K846" s="2658"/>
      <c r="L846" s="2658"/>
      <c r="M846" s="2663"/>
      <c r="N846" s="2663" t="s">
        <v>898</v>
      </c>
      <c r="O846" s="2663"/>
      <c r="P846" s="2663"/>
      <c r="Q846" s="2663"/>
      <c r="R846" s="2663"/>
      <c r="S846" s="2659">
        <f t="shared" si="202"/>
        <v>52</v>
      </c>
      <c r="T846" s="2658"/>
      <c r="U846" s="2658"/>
      <c r="V846" s="2658"/>
      <c r="W846" s="2658"/>
      <c r="X846" s="2658">
        <f t="shared" si="203"/>
        <v>0</v>
      </c>
      <c r="Y846" s="2658">
        <f>IF(OR(Y847&gt;0,COUNTIF(PDs!$AD$56:$AD$74,Tablas!D846)&gt;0),1,0)</f>
        <v>0</v>
      </c>
      <c r="Z846" s="2662" t="str">
        <f>IF(T.Manos_final&lt;40,"NO","-")</f>
        <v>NO</v>
      </c>
      <c r="AA846" s="1086">
        <f>HA_final-PDs!$X$22+MIN(PDs!$X$22+H$917-H846,50)</f>
        <v>0</v>
      </c>
      <c r="AB846" s="2660">
        <f>HE_final-PDs!$X$24+MIN(PDs!$X$24+I$917-I846,50)</f>
        <v>0</v>
      </c>
      <c r="AC846" s="1338">
        <f>HP_final-PDs!$X$23+MIN(PDs!$X$23+J$917-J846,50)</f>
        <v>0</v>
      </c>
      <c r="AE846" s="1337" t="s">
        <v>7324</v>
      </c>
    </row>
    <row r="847" spans="1:64" ht="12.75" customHeight="1" x14ac:dyDescent="0.2">
      <c r="A847" s="237">
        <v>847</v>
      </c>
      <c r="B847" s="5838"/>
      <c r="C847" s="513"/>
      <c r="D847" s="2661" t="s">
        <v>899</v>
      </c>
      <c r="E847" s="2658">
        <f>20+Bono_Fue</f>
        <v>20</v>
      </c>
      <c r="F847" s="2658"/>
      <c r="G847" s="2658">
        <v>10</v>
      </c>
      <c r="H847" s="2658"/>
      <c r="I847" s="2658"/>
      <c r="J847" s="2658">
        <v>10</v>
      </c>
      <c r="K847" s="2658"/>
      <c r="L847" s="2658"/>
      <c r="M847" s="2663"/>
      <c r="N847" s="2663" t="s">
        <v>8974</v>
      </c>
      <c r="O847" s="2663"/>
      <c r="P847" s="2663"/>
      <c r="Q847" s="2663"/>
      <c r="R847" s="2663"/>
      <c r="S847" s="2659">
        <f t="shared" si="202"/>
        <v>67</v>
      </c>
      <c r="T847" s="2658"/>
      <c r="U847" s="2658"/>
      <c r="V847" s="2658"/>
      <c r="W847" s="2658"/>
      <c r="X847" s="2658">
        <f t="shared" si="203"/>
        <v>0</v>
      </c>
      <c r="Y847" s="2658">
        <f>IF(OR(Y848&gt;0,COUNTIF(PDs!$AD$56:$AD$74,Tablas!D847)&gt;0),1,0)</f>
        <v>0</v>
      </c>
      <c r="Z847" s="2662" t="str">
        <f>IF(OR(T.Manos_final&lt;60,MAX(AB847,AC847)&lt;120),"NO","-")</f>
        <v>NO</v>
      </c>
      <c r="AA847" s="1086">
        <f>HA_final-PDs!$X$22+MIN(PDs!$X$22+H$917-H847,50)</f>
        <v>0</v>
      </c>
      <c r="AB847" s="2660">
        <f>HE_final-PDs!$X$24+MIN(PDs!$X$24+I$917-I847,50)</f>
        <v>0</v>
      </c>
      <c r="AC847" s="1338">
        <f>HP_final-PDs!$X$23+MIN(PDs!$X$23+J$917-J847,50)</f>
        <v>-10</v>
      </c>
      <c r="AE847" s="1337" t="s">
        <v>7325</v>
      </c>
    </row>
    <row r="848" spans="1:64" ht="12.75" customHeight="1" x14ac:dyDescent="0.2">
      <c r="A848" s="237">
        <v>848</v>
      </c>
      <c r="B848" s="5838"/>
      <c r="C848" s="513"/>
      <c r="D848" s="2661" t="s">
        <v>900</v>
      </c>
      <c r="E848" s="2658">
        <f>20+Bono_Fue</f>
        <v>20</v>
      </c>
      <c r="F848" s="2658"/>
      <c r="G848" s="2658">
        <v>20</v>
      </c>
      <c r="H848" s="2658"/>
      <c r="I848" s="2658"/>
      <c r="J848" s="2658">
        <v>10</v>
      </c>
      <c r="K848" s="2658"/>
      <c r="L848" s="2658"/>
      <c r="M848" s="2663"/>
      <c r="N848" s="2663" t="s">
        <v>8975</v>
      </c>
      <c r="O848" s="2663"/>
      <c r="P848" s="2663"/>
      <c r="Q848" s="2663"/>
      <c r="R848" s="2663"/>
      <c r="S848" s="2659">
        <f t="shared" si="202"/>
        <v>61</v>
      </c>
      <c r="T848" s="2658"/>
      <c r="U848" s="2658"/>
      <c r="V848" s="2658"/>
      <c r="W848" s="2658"/>
      <c r="X848" s="2658">
        <f t="shared" si="203"/>
        <v>0</v>
      </c>
      <c r="Y848" s="2658">
        <f>IF(COUNTIF(PDs!$AD$56:$AD$74,Tablas!D848)&gt;0,1,0)</f>
        <v>0</v>
      </c>
      <c r="Z848" s="2662" t="str">
        <f>IF(OR(T.Manos_final&lt;140,MAX(AB848,AC848)&lt;200),"NO","-")</f>
        <v>NO</v>
      </c>
      <c r="AA848" s="1086">
        <f>HA_final-PDs!$X$22+MIN(PDs!$X$22+H$917-H848,50)</f>
        <v>0</v>
      </c>
      <c r="AB848" s="2660">
        <f>HE_final-PDs!$X$24+MIN(PDs!$X$24+I$917-I848,50)</f>
        <v>0</v>
      </c>
      <c r="AC848" s="1338">
        <f>HP_final-PDs!$X$23+MIN(PDs!$X$23+J$917-J848,50)</f>
        <v>-10</v>
      </c>
      <c r="AE848" s="1337" t="s">
        <v>7326</v>
      </c>
    </row>
    <row r="849" spans="1:31" ht="12.75" customHeight="1" x14ac:dyDescent="0.2">
      <c r="A849" s="237">
        <v>849</v>
      </c>
      <c r="B849" s="5838"/>
      <c r="C849" s="513"/>
      <c r="D849" s="2661" t="s">
        <v>901</v>
      </c>
      <c r="E849" s="2658">
        <f>20+Bono_Fue</f>
        <v>20</v>
      </c>
      <c r="F849" s="2658"/>
      <c r="G849" s="2658">
        <v>0</v>
      </c>
      <c r="H849" s="2658"/>
      <c r="I849" s="2658"/>
      <c r="J849" s="2658"/>
      <c r="K849" s="2658"/>
      <c r="L849" s="2658"/>
      <c r="M849" s="2663"/>
      <c r="N849" s="2663" t="s">
        <v>1459</v>
      </c>
      <c r="O849" s="2663"/>
      <c r="P849" s="2663"/>
      <c r="Q849" s="2663"/>
      <c r="R849" s="2663"/>
      <c r="S849" s="2659">
        <f t="shared" si="202"/>
        <v>1</v>
      </c>
      <c r="T849" s="2658"/>
      <c r="U849" s="2658"/>
      <c r="V849" s="2658"/>
      <c r="W849" s="2658"/>
      <c r="X849" s="2658">
        <f t="shared" si="203"/>
        <v>0</v>
      </c>
      <c r="Y849" s="2658">
        <f>IF(OR(Y850&gt;0,COUNTIF(PDs!$AD$56:$AD$74,Tablas!D849)&gt;0),1,0)</f>
        <v>0</v>
      </c>
      <c r="Z849" s="2662" t="str">
        <f>IF(OR(Acrobacias_final&lt;20,Estilo_final&lt;10,T.Manos_final&lt;20),"NO","-")</f>
        <v>NO</v>
      </c>
      <c r="AA849" s="1086">
        <f>HA_final-PDs!$X$22+MIN(PDs!$X$22+H$917-H849,50)</f>
        <v>0</v>
      </c>
      <c r="AB849" s="2660">
        <f>HE_final-PDs!$X$24+MIN(PDs!$X$24+I$917-I849,50)</f>
        <v>0</v>
      </c>
      <c r="AC849" s="1338">
        <f>HP_final-PDs!$X$23+MIN(PDs!$X$23+J$917-J849,50)</f>
        <v>0</v>
      </c>
      <c r="AE849" s="1337" t="s">
        <v>7327</v>
      </c>
    </row>
    <row r="850" spans="1:31" ht="12.75" customHeight="1" x14ac:dyDescent="0.2">
      <c r="A850" s="237">
        <v>850</v>
      </c>
      <c r="B850" s="5838"/>
      <c r="C850" s="513"/>
      <c r="D850" s="2661" t="s">
        <v>902</v>
      </c>
      <c r="E850" s="2658">
        <f>20+Bono_Fue</f>
        <v>20</v>
      </c>
      <c r="F850" s="2658"/>
      <c r="G850" s="2658">
        <v>10</v>
      </c>
      <c r="H850" s="2658"/>
      <c r="I850" s="2658"/>
      <c r="J850" s="2658"/>
      <c r="K850" s="2658"/>
      <c r="L850" s="2658"/>
      <c r="M850" s="2663"/>
      <c r="N850" s="2663" t="s">
        <v>903</v>
      </c>
      <c r="O850" s="2663"/>
      <c r="P850" s="2663"/>
      <c r="Q850" s="2663"/>
      <c r="R850" s="2663"/>
      <c r="S850" s="2659">
        <f t="shared" si="202"/>
        <v>58</v>
      </c>
      <c r="T850" s="2658"/>
      <c r="U850" s="2658"/>
      <c r="V850" s="2658"/>
      <c r="W850" s="2658"/>
      <c r="X850" s="2658">
        <f t="shared" si="203"/>
        <v>0</v>
      </c>
      <c r="Y850" s="2658">
        <f>IF(OR(Y851&gt;0,COUNTIF(PDs!$AD$56:$AD$74,Tablas!D850)&gt;0),1,0)</f>
        <v>0</v>
      </c>
      <c r="Z850" s="2662" t="str">
        <f>IF(OR(Acrobacias_final&lt;40,Estilo_final&lt;20,T.Manos_final&lt;40,AA850&lt;120,MAX(AB850,AC850)&lt;120),"NO","-")</f>
        <v>NO</v>
      </c>
      <c r="AA850" s="1086">
        <f>HA_final-PDs!$X$22+MIN(PDs!$X$22+H$917-H850,50)</f>
        <v>0</v>
      </c>
      <c r="AB850" s="2660">
        <f>HE_final-PDs!$X$24+MIN(PDs!$X$24+I$917-I850,50)</f>
        <v>0</v>
      </c>
      <c r="AC850" s="1338">
        <f>HP_final-PDs!$X$23+MIN(PDs!$X$23+J$917-J850,50)</f>
        <v>0</v>
      </c>
      <c r="AE850" s="1337" t="s">
        <v>7328</v>
      </c>
    </row>
    <row r="851" spans="1:31" ht="12.75" customHeight="1" x14ac:dyDescent="0.2">
      <c r="A851" s="237">
        <v>851</v>
      </c>
      <c r="B851" s="5838"/>
      <c r="C851" s="513"/>
      <c r="D851" s="2661" t="s">
        <v>904</v>
      </c>
      <c r="E851" s="2658">
        <f>20+Bono_Fue</f>
        <v>20</v>
      </c>
      <c r="F851" s="2658"/>
      <c r="G851" s="2658">
        <v>20</v>
      </c>
      <c r="H851" s="2658"/>
      <c r="I851" s="2658"/>
      <c r="J851" s="2658"/>
      <c r="K851" s="2658"/>
      <c r="L851" s="2658"/>
      <c r="M851" s="2663"/>
      <c r="N851" s="2663" t="s">
        <v>8976</v>
      </c>
      <c r="O851" s="2663"/>
      <c r="P851" s="2663"/>
      <c r="Q851" s="2663"/>
      <c r="R851" s="2663"/>
      <c r="S851" s="2659">
        <f t="shared" si="202"/>
        <v>58</v>
      </c>
      <c r="T851" s="2658"/>
      <c r="U851" s="2658" t="s">
        <v>1556</v>
      </c>
      <c r="V851" s="2658"/>
      <c r="W851" s="2658"/>
      <c r="X851" s="2658">
        <f t="shared" si="203"/>
        <v>0</v>
      </c>
      <c r="Y851" s="2658">
        <f>IF(COUNTIF(PDs!$AD$56:$AD$74,Tablas!D851)&gt;0,1,0)</f>
        <v>0</v>
      </c>
      <c r="Z851" s="2662" t="str">
        <f>IF(OR(Acrobacias_final&lt;120,Estilo_final&lt;100,T.Manos_final&lt;120,AA851&lt;200,MAX(AB851,AC851)&lt;200),"NO","-")</f>
        <v>NO</v>
      </c>
      <c r="AA851" s="1086">
        <f>HA_final-PDs!$X$22+MIN(PDs!$X$22+H$917-H851,50)</f>
        <v>0</v>
      </c>
      <c r="AB851" s="2660">
        <f>HE_final-PDs!$X$24+MIN(PDs!$X$24+I$917-I851,50)</f>
        <v>0</v>
      </c>
      <c r="AC851" s="1338">
        <f>HP_final-PDs!$X$23+MIN(PDs!$X$23+J$917-J851,50)</f>
        <v>0</v>
      </c>
      <c r="AE851" s="1342" t="s">
        <v>949</v>
      </c>
    </row>
    <row r="852" spans="1:31" ht="12.75" customHeight="1" x14ac:dyDescent="0.2">
      <c r="A852" s="237">
        <v>852</v>
      </c>
      <c r="B852" s="5838"/>
      <c r="C852" s="513"/>
      <c r="D852" s="2661" t="s">
        <v>905</v>
      </c>
      <c r="E852" s="2658">
        <f>10+Bono_Fue</f>
        <v>10</v>
      </c>
      <c r="F852" s="2658"/>
      <c r="G852" s="2658">
        <v>0</v>
      </c>
      <c r="H852" s="2658"/>
      <c r="I852" s="2658">
        <v>10</v>
      </c>
      <c r="J852" s="2658">
        <v>10</v>
      </c>
      <c r="K852" s="2658"/>
      <c r="L852" s="2658"/>
      <c r="M852" s="2663"/>
      <c r="N852" s="2663" t="s">
        <v>1459</v>
      </c>
      <c r="O852" s="2663"/>
      <c r="P852" s="2663"/>
      <c r="Q852" s="2663"/>
      <c r="R852" s="2663"/>
      <c r="S852" s="2659">
        <f t="shared" si="202"/>
        <v>1</v>
      </c>
      <c r="T852" s="2658"/>
      <c r="U852" s="2658"/>
      <c r="V852" s="2658"/>
      <c r="W852" s="2658"/>
      <c r="X852" s="2658">
        <f t="shared" si="203"/>
        <v>0</v>
      </c>
      <c r="Y852" s="2658">
        <f>IF(OR(Y853&gt;0,COUNTIF(PDs!$AD$56:$AD$74,Tablas!D852)&gt;0),1,0)</f>
        <v>0</v>
      </c>
      <c r="Z852" s="2662" t="str">
        <f>IF(Estilo_final&lt;20,"NO","-")</f>
        <v>NO</v>
      </c>
      <c r="AA852" s="1086">
        <f>HA_final-PDs!$X$22+MIN(PDs!$X$22+H$917-H852,50)</f>
        <v>0</v>
      </c>
      <c r="AB852" s="2660">
        <f>HE_final-PDs!$X$24+MIN(PDs!$X$24+I$917-I852,50)</f>
        <v>-10</v>
      </c>
      <c r="AC852" s="1338">
        <f>HP_final-PDs!$X$23+MIN(PDs!$X$23+J$917-J852,50)</f>
        <v>-10</v>
      </c>
      <c r="AE852" s="1337" t="s">
        <v>7329</v>
      </c>
    </row>
    <row r="853" spans="1:31" ht="12.75" customHeight="1" x14ac:dyDescent="0.2">
      <c r="A853" s="237">
        <v>853</v>
      </c>
      <c r="B853" s="5838"/>
      <c r="C853" s="513"/>
      <c r="D853" s="2661" t="s">
        <v>906</v>
      </c>
      <c r="E853" s="2658">
        <f>20+Bono_Fue</f>
        <v>20</v>
      </c>
      <c r="F853" s="2658"/>
      <c r="G853" s="2658">
        <v>10</v>
      </c>
      <c r="H853" s="2658"/>
      <c r="I853" s="2658"/>
      <c r="J853" s="2658"/>
      <c r="K853" s="2658"/>
      <c r="L853" s="2658"/>
      <c r="M853" s="2663"/>
      <c r="N853" s="2663" t="s">
        <v>907</v>
      </c>
      <c r="O853" s="2663"/>
      <c r="P853" s="2663"/>
      <c r="Q853" s="2663"/>
      <c r="R853" s="2663"/>
      <c r="S853" s="2659">
        <f t="shared" si="202"/>
        <v>45</v>
      </c>
      <c r="T853" s="2658"/>
      <c r="U853" s="2658"/>
      <c r="V853" s="2658"/>
      <c r="W853" s="2658"/>
      <c r="X853" s="2658">
        <f t="shared" si="203"/>
        <v>0</v>
      </c>
      <c r="Y853" s="2658">
        <f>IF(OR(Y854&gt;0,COUNTIF(PDs!$AD$56:$AD$74,Tablas!D853)&gt;0),1,0)</f>
        <v>0</v>
      </c>
      <c r="Z853" s="2662" t="str">
        <f>IF(OR(Estilo_final&lt;40,MAX(AB853,AC853)&lt;130),"NO","-")</f>
        <v>NO</v>
      </c>
      <c r="AA853" s="1086">
        <f>HA_final-PDs!$X$22+MIN(PDs!$X$22+H$917-H853,50)</f>
        <v>0</v>
      </c>
      <c r="AB853" s="2660">
        <f>HE_final-PDs!$X$24+MIN(PDs!$X$24+I$917-I853,50)</f>
        <v>0</v>
      </c>
      <c r="AC853" s="1338">
        <f>HP_final-PDs!$X$23+MIN(PDs!$X$23+J$917-J853,50)</f>
        <v>0</v>
      </c>
      <c r="AE853" s="1337" t="s">
        <v>7330</v>
      </c>
    </row>
    <row r="854" spans="1:31" ht="12.75" customHeight="1" x14ac:dyDescent="0.2">
      <c r="A854" s="237">
        <v>854</v>
      </c>
      <c r="B854" s="5838"/>
      <c r="C854" s="513"/>
      <c r="D854" s="2661" t="s">
        <v>908</v>
      </c>
      <c r="E854" s="2658">
        <f>20+Bono_Fue</f>
        <v>20</v>
      </c>
      <c r="F854" s="2658"/>
      <c r="G854" s="2658">
        <v>20</v>
      </c>
      <c r="H854" s="2658"/>
      <c r="I854" s="2658">
        <v>10</v>
      </c>
      <c r="J854" s="2658">
        <v>10</v>
      </c>
      <c r="K854" s="2658"/>
      <c r="L854" s="2658"/>
      <c r="M854" s="2663"/>
      <c r="N854" s="2663" t="s">
        <v>8977</v>
      </c>
      <c r="O854" s="2663"/>
      <c r="P854" s="2663"/>
      <c r="Q854" s="2663"/>
      <c r="R854" s="2663"/>
      <c r="S854" s="2659">
        <f t="shared" si="202"/>
        <v>48</v>
      </c>
      <c r="T854" s="2658"/>
      <c r="U854" s="2658"/>
      <c r="V854" s="2658"/>
      <c r="W854" s="2658"/>
      <c r="X854" s="2658">
        <f t="shared" si="203"/>
        <v>0</v>
      </c>
      <c r="Y854" s="2658">
        <f>IF(COUNTIF(PDs!$AD$56:$AD$74,Tablas!D854)&gt;0,1,0)</f>
        <v>0</v>
      </c>
      <c r="Z854" s="2662" t="str">
        <f>IF(OR(Estilo_final&lt;80,MAX(AB854,AC854)&lt;200),"NO","-")</f>
        <v>NO</v>
      </c>
      <c r="AA854" s="1086">
        <f>HA_final-PDs!$X$22+MIN(PDs!$X$22+H$917-H854,50)</f>
        <v>0</v>
      </c>
      <c r="AB854" s="2660">
        <f>HE_final-PDs!$X$24+MIN(PDs!$X$24+I$917-I854,50)</f>
        <v>-10</v>
      </c>
      <c r="AC854" s="1338">
        <f>HP_final-PDs!$X$23+MIN(PDs!$X$23+J$917-J854,50)</f>
        <v>-10</v>
      </c>
      <c r="AE854" s="1337" t="s">
        <v>7331</v>
      </c>
    </row>
    <row r="855" spans="1:31" ht="12.75" customHeight="1" x14ac:dyDescent="0.2">
      <c r="A855" s="237">
        <v>855</v>
      </c>
      <c r="B855" s="5838"/>
      <c r="C855" s="513"/>
      <c r="D855" s="2661" t="s">
        <v>909</v>
      </c>
      <c r="E855" s="2658">
        <f>20+Bono_Fue</f>
        <v>20</v>
      </c>
      <c r="F855" s="2658"/>
      <c r="G855" s="2658">
        <v>0</v>
      </c>
      <c r="H855" s="2658"/>
      <c r="I855" s="2658"/>
      <c r="J855" s="2658"/>
      <c r="K855" s="2658"/>
      <c r="L855" s="2658">
        <v>10</v>
      </c>
      <c r="M855" s="2663"/>
      <c r="N855" s="2663" t="s">
        <v>10210</v>
      </c>
      <c r="O855" s="2663"/>
      <c r="P855" s="2663"/>
      <c r="Q855" s="2663"/>
      <c r="R855" s="2663"/>
      <c r="S855" s="2659">
        <f t="shared" si="202"/>
        <v>67</v>
      </c>
      <c r="T855" s="2658"/>
      <c r="U855" s="2658"/>
      <c r="V855" s="2658"/>
      <c r="W855" s="2658"/>
      <c r="X855" s="2658">
        <f t="shared" si="203"/>
        <v>0</v>
      </c>
      <c r="Y855" s="2658">
        <f>IF(OR(Y856&gt;0,COUNTIF(PDs!$AD$56:$AD$74,Tablas!D855)&gt;0),1,0)</f>
        <v>0</v>
      </c>
      <c r="Z855" s="2662" t="str">
        <f>IF(T.Manos_final&lt;20,"NO","-")</f>
        <v>NO</v>
      </c>
      <c r="AA855" s="1086">
        <f>HA_final-PDs!$X$22+MIN(PDs!$X$22+H$917-H855,50)</f>
        <v>0</v>
      </c>
      <c r="AB855" s="2660">
        <f>HE_final-PDs!$X$24+MIN(PDs!$X$24+I$917-I855,50)</f>
        <v>0</v>
      </c>
      <c r="AC855" s="1338">
        <f>HP_final-PDs!$X$23+MIN(PDs!$X$23+J$917-J855,50)</f>
        <v>0</v>
      </c>
      <c r="AE855" s="1337" t="s">
        <v>7332</v>
      </c>
    </row>
    <row r="856" spans="1:31" ht="12.75" customHeight="1" x14ac:dyDescent="0.2">
      <c r="A856" s="237">
        <v>856</v>
      </c>
      <c r="B856" s="5838"/>
      <c r="C856" s="513"/>
      <c r="D856" s="2661" t="s">
        <v>910</v>
      </c>
      <c r="E856" s="2658">
        <f>30+Bono_Fue</f>
        <v>30</v>
      </c>
      <c r="F856" s="2658"/>
      <c r="G856" s="2658">
        <v>10</v>
      </c>
      <c r="H856" s="2658"/>
      <c r="I856" s="2658"/>
      <c r="J856" s="2658">
        <v>10</v>
      </c>
      <c r="K856" s="2658"/>
      <c r="L856" s="2658"/>
      <c r="M856" s="2663"/>
      <c r="N856" s="2663" t="s">
        <v>911</v>
      </c>
      <c r="O856" s="2663"/>
      <c r="P856" s="2663"/>
      <c r="Q856" s="2663"/>
      <c r="R856" s="2663"/>
      <c r="S856" s="2659">
        <f t="shared" si="202"/>
        <v>46</v>
      </c>
      <c r="T856" s="2658"/>
      <c r="U856" s="2658"/>
      <c r="V856" s="2658"/>
      <c r="W856" s="2658"/>
      <c r="X856" s="2658">
        <f t="shared" si="203"/>
        <v>0</v>
      </c>
      <c r="Y856" s="2658">
        <f>IF(OR(Y857&gt;0,COUNTIF(PDs!$AD$56:$AD$74,Tablas!D856)&gt;0),1,0)</f>
        <v>0</v>
      </c>
      <c r="Z856" s="2662" t="str">
        <f>IF(OR(T.Manos_final&lt;40,MAX(AB856,AC856)&lt;120),"NO","-")</f>
        <v>NO</v>
      </c>
      <c r="AA856" s="1086">
        <f>HA_final-PDs!$X$22+MIN(PDs!$X$22+H$917-H856,50)</f>
        <v>0</v>
      </c>
      <c r="AB856" s="2660">
        <f>HE_final-PDs!$X$24+MIN(PDs!$X$24+I$917-I856,50)</f>
        <v>0</v>
      </c>
      <c r="AC856" s="1338">
        <f>HP_final-PDs!$X$23+MIN(PDs!$X$23+J$917-J856,50)</f>
        <v>-10</v>
      </c>
      <c r="AE856" s="1337" t="s">
        <v>7333</v>
      </c>
    </row>
    <row r="857" spans="1:31" ht="12.75" customHeight="1" x14ac:dyDescent="0.2">
      <c r="A857" s="237">
        <v>857</v>
      </c>
      <c r="B857" s="5838"/>
      <c r="C857" s="513"/>
      <c r="D857" s="2661" t="s">
        <v>912</v>
      </c>
      <c r="E857" s="2658">
        <f>40+Bono_Fue</f>
        <v>40</v>
      </c>
      <c r="F857" s="2658"/>
      <c r="G857" s="2658">
        <v>20</v>
      </c>
      <c r="H857" s="2658"/>
      <c r="I857" s="2658"/>
      <c r="J857" s="2658">
        <v>20</v>
      </c>
      <c r="K857" s="2658"/>
      <c r="L857" s="2658"/>
      <c r="M857" s="2663"/>
      <c r="N857" s="2663" t="s">
        <v>913</v>
      </c>
      <c r="O857" s="2663"/>
      <c r="P857" s="2663"/>
      <c r="Q857" s="2663"/>
      <c r="R857" s="2663"/>
      <c r="S857" s="2659">
        <f t="shared" si="202"/>
        <v>40</v>
      </c>
      <c r="T857" s="2658"/>
      <c r="U857" s="2658"/>
      <c r="V857" s="2658"/>
      <c r="W857" s="2658"/>
      <c r="X857" s="2658">
        <f t="shared" si="203"/>
        <v>0</v>
      </c>
      <c r="Y857" s="2658">
        <f>IF(COUNTIF(PDs!$AD$56:$AD$74,Tablas!D857)&gt;0,1,0)</f>
        <v>0</v>
      </c>
      <c r="Z857" s="2662" t="str">
        <f>IF(OR(T.Manos_final&lt;100,AC857&lt;200),"NO","-")</f>
        <v>NO</v>
      </c>
      <c r="AA857" s="1086">
        <f>HA_final-PDs!$X$22+MIN(PDs!$X$22+H$917-H857,50)</f>
        <v>0</v>
      </c>
      <c r="AB857" s="2660">
        <f>HE_final-PDs!$X$24+MIN(PDs!$X$24+I$917-I857,50)</f>
        <v>0</v>
      </c>
      <c r="AC857" s="1338">
        <f>HP_final-PDs!$X$23+MIN(PDs!$X$23+J$917-J857,50)</f>
        <v>-20</v>
      </c>
      <c r="AE857" s="1337" t="s">
        <v>7334</v>
      </c>
    </row>
    <row r="858" spans="1:31" ht="12.75" customHeight="1" x14ac:dyDescent="0.2">
      <c r="A858" s="237">
        <v>858</v>
      </c>
      <c r="B858" s="5838"/>
      <c r="C858" s="513"/>
      <c r="D858" s="2661" t="s">
        <v>914</v>
      </c>
      <c r="E858" s="2658">
        <f>20+2*Bono_Fue</f>
        <v>20</v>
      </c>
      <c r="F858" s="2658"/>
      <c r="G858" s="2658">
        <v>0</v>
      </c>
      <c r="H858" s="2658"/>
      <c r="I858" s="2658"/>
      <c r="J858" s="2658"/>
      <c r="K858" s="2658"/>
      <c r="L858" s="2658"/>
      <c r="M858" s="2663"/>
      <c r="N858" s="2663" t="s">
        <v>1459</v>
      </c>
      <c r="O858" s="2663"/>
      <c r="P858" s="2663"/>
      <c r="Q858" s="2663"/>
      <c r="R858" s="2663"/>
      <c r="S858" s="2659">
        <f t="shared" si="202"/>
        <v>1</v>
      </c>
      <c r="T858" s="2658"/>
      <c r="U858" s="2658"/>
      <c r="V858" s="2658"/>
      <c r="W858" s="2658"/>
      <c r="X858" s="2658">
        <f t="shared" si="203"/>
        <v>0</v>
      </c>
      <c r="Y858" s="2658">
        <f>IF(OR(Y859&gt;0,COUNTIF(PDs!$AD$56:$AD$74,Tablas!D858)&gt;0),1,0)</f>
        <v>0</v>
      </c>
      <c r="Z858" s="2662" t="str">
        <f>IF(P.Fuerza_final&lt;30,"NO","-")</f>
        <v>NO</v>
      </c>
      <c r="AA858" s="1086">
        <f>HA_final-PDs!$X$22+MIN(PDs!$X$22+H$917-H858,50)</f>
        <v>0</v>
      </c>
      <c r="AB858" s="2660">
        <f>HE_final-PDs!$X$24+MIN(PDs!$X$24+I$917-I858,50)</f>
        <v>0</v>
      </c>
      <c r="AC858" s="1338">
        <f>HP_final-PDs!$X$23+MIN(PDs!$X$23+J$917-J858,50)</f>
        <v>0</v>
      </c>
      <c r="AE858" s="1337" t="s">
        <v>7335</v>
      </c>
    </row>
    <row r="859" spans="1:31" ht="12.75" customHeight="1" x14ac:dyDescent="0.2">
      <c r="A859" s="237">
        <v>859</v>
      </c>
      <c r="B859" s="5838"/>
      <c r="C859" s="513"/>
      <c r="D859" s="2661" t="s">
        <v>915</v>
      </c>
      <c r="E859" s="2658">
        <f>20+3*Bono_Fue</f>
        <v>20</v>
      </c>
      <c r="F859" s="2658"/>
      <c r="G859" s="2658">
        <v>10</v>
      </c>
      <c r="H859" s="2658"/>
      <c r="I859" s="2658"/>
      <c r="J859" s="2658"/>
      <c r="K859" s="2658"/>
      <c r="L859" s="2658"/>
      <c r="M859" s="2663"/>
      <c r="N859" s="2663" t="s">
        <v>1459</v>
      </c>
      <c r="O859" s="2663"/>
      <c r="P859" s="2663"/>
      <c r="Q859" s="2663"/>
      <c r="R859" s="2663"/>
      <c r="S859" s="2659">
        <f t="shared" ref="S859:S890" si="228">LEN(N859)</f>
        <v>1</v>
      </c>
      <c r="T859" s="2658"/>
      <c r="U859" s="2658"/>
      <c r="V859" s="2658"/>
      <c r="W859" s="2658"/>
      <c r="X859" s="2658">
        <f t="shared" ref="X859:X890" si="229">Y859*E859</f>
        <v>0</v>
      </c>
      <c r="Y859" s="2658">
        <f>IF(OR(Y860&gt;0,COUNTIF(PDs!$AD$56:$AD$74,Tablas!D859)&gt;0),1,0)</f>
        <v>0</v>
      </c>
      <c r="Z859" s="2662" t="str">
        <f>IF(OR(P.Fuerza_final&lt;40,AA859&lt;130),"NO","-")</f>
        <v>NO</v>
      </c>
      <c r="AA859" s="1086">
        <f>HA_final-PDs!$X$22+MIN(PDs!$X$22+H$917-H859,50)</f>
        <v>0</v>
      </c>
      <c r="AB859" s="2660">
        <f>HE_final-PDs!$X$24+MIN(PDs!$X$24+I$917-I859,50)</f>
        <v>0</v>
      </c>
      <c r="AC859" s="1338">
        <f>HP_final-PDs!$X$23+MIN(PDs!$X$23+J$917-J859,50)</f>
        <v>0</v>
      </c>
      <c r="AE859" s="1337" t="s">
        <v>7336</v>
      </c>
    </row>
    <row r="860" spans="1:31" ht="12.75" customHeight="1" x14ac:dyDescent="0.2">
      <c r="A860" s="237">
        <v>860</v>
      </c>
      <c r="B860" s="5838"/>
      <c r="C860" s="513"/>
      <c r="D860" s="2661" t="s">
        <v>916</v>
      </c>
      <c r="E860" s="2658">
        <f>20+4*Bono_Fue</f>
        <v>20</v>
      </c>
      <c r="F860" s="2658"/>
      <c r="G860" s="2658">
        <v>20</v>
      </c>
      <c r="H860" s="2658"/>
      <c r="I860" s="2658"/>
      <c r="J860" s="2658"/>
      <c r="K860" s="2658"/>
      <c r="L860" s="2658"/>
      <c r="M860" s="2663"/>
      <c r="N860" s="2663" t="s">
        <v>917</v>
      </c>
      <c r="O860" s="2663"/>
      <c r="P860" s="2663"/>
      <c r="Q860" s="2663"/>
      <c r="R860" s="2663"/>
      <c r="S860" s="2659">
        <f t="shared" si="228"/>
        <v>39</v>
      </c>
      <c r="T860" s="2658"/>
      <c r="U860" s="2658"/>
      <c r="V860" s="2658"/>
      <c r="W860" s="2658"/>
      <c r="X860" s="2658">
        <f t="shared" si="229"/>
        <v>0</v>
      </c>
      <c r="Y860" s="2658">
        <f>IF(COUNTIF(PDs!$AD$56:$AD$74,Tablas!D860)&gt;0,1,0)</f>
        <v>0</v>
      </c>
      <c r="Z860" s="2662" t="str">
        <f>IF(OR(P.Fuerza_final&lt;160,AA860&lt;200),"NO","-")</f>
        <v>NO</v>
      </c>
      <c r="AA860" s="1086">
        <f>HA_final-PDs!$X$22+MIN(PDs!$X$22+H$917-H860,50)</f>
        <v>0</v>
      </c>
      <c r="AB860" s="2660">
        <f>HE_final-PDs!$X$24+MIN(PDs!$X$24+I$917-I860,50)</f>
        <v>0</v>
      </c>
      <c r="AC860" s="1338">
        <f>HP_final-PDs!$X$23+MIN(PDs!$X$23+J$917-J860,50)</f>
        <v>0</v>
      </c>
      <c r="AE860" s="1337" t="s">
        <v>7337</v>
      </c>
    </row>
    <row r="861" spans="1:31" ht="12.75" customHeight="1" x14ac:dyDescent="0.2">
      <c r="A861" s="237">
        <v>861</v>
      </c>
      <c r="B861" s="5838"/>
      <c r="C861" s="513"/>
      <c r="D861" s="2661" t="s">
        <v>918</v>
      </c>
      <c r="E861" s="2658">
        <f>20+Bono_Fue</f>
        <v>20</v>
      </c>
      <c r="F861" s="2658"/>
      <c r="G861" s="2658">
        <v>0</v>
      </c>
      <c r="H861" s="2658"/>
      <c r="I861" s="2658"/>
      <c r="J861" s="2658"/>
      <c r="K861" s="2658"/>
      <c r="L861" s="2658"/>
      <c r="M861" s="2663"/>
      <c r="N861" s="2663" t="s">
        <v>919</v>
      </c>
      <c r="O861" s="2663"/>
      <c r="P861" s="2663"/>
      <c r="Q861" s="2663"/>
      <c r="R861" s="2663"/>
      <c r="S861" s="2659">
        <f t="shared" si="228"/>
        <v>31</v>
      </c>
      <c r="T861" s="2658"/>
      <c r="U861" s="2658"/>
      <c r="V861" s="2658"/>
      <c r="W861" s="2658"/>
      <c r="X861" s="2658">
        <f t="shared" si="229"/>
        <v>0</v>
      </c>
      <c r="Y861" s="2658">
        <f>IF(OR(Y862&gt;0,COUNTIF(PDs!$AD$56:$AD$74,Tablas!D861)&gt;0),1,0)</f>
        <v>0</v>
      </c>
      <c r="Z861" s="2662" t="str">
        <f>IF(OR(Atletismo_final&lt;30,P.Fuerza_final&lt;30),"NO","-")</f>
        <v>NO</v>
      </c>
      <c r="AA861" s="1086">
        <f>HA_final-PDs!$X$22+MIN(PDs!$X$22+H$917-H861,50)</f>
        <v>0</v>
      </c>
      <c r="AB861" s="2660">
        <f>HE_final-PDs!$X$24+MIN(PDs!$X$24+I$917-I861,50)</f>
        <v>0</v>
      </c>
      <c r="AC861" s="1338">
        <f>HP_final-PDs!$X$23+MIN(PDs!$X$23+J$917-J861,50)</f>
        <v>0</v>
      </c>
      <c r="AE861" s="1337" t="s">
        <v>7338</v>
      </c>
    </row>
    <row r="862" spans="1:31" ht="12.75" customHeight="1" x14ac:dyDescent="0.2">
      <c r="A862" s="237">
        <v>862</v>
      </c>
      <c r="B862" s="5838"/>
      <c r="C862" s="513"/>
      <c r="D862" s="2661" t="s">
        <v>920</v>
      </c>
      <c r="E862" s="2658">
        <f>20+Bono_Fue</f>
        <v>20</v>
      </c>
      <c r="F862" s="2658"/>
      <c r="G862" s="2658">
        <v>10</v>
      </c>
      <c r="H862" s="2658"/>
      <c r="I862" s="2658"/>
      <c r="J862" s="2658"/>
      <c r="K862" s="2658"/>
      <c r="L862" s="2658"/>
      <c r="M862" s="2663"/>
      <c r="N862" s="2663" t="s">
        <v>8978</v>
      </c>
      <c r="O862" s="2663"/>
      <c r="P862" s="2663"/>
      <c r="Q862" s="2663"/>
      <c r="R862" s="2663"/>
      <c r="S862" s="2659">
        <f t="shared" si="228"/>
        <v>82</v>
      </c>
      <c r="T862" s="2658"/>
      <c r="U862" s="2658"/>
      <c r="V862" s="2658"/>
      <c r="W862" s="2658"/>
      <c r="X862" s="2658">
        <f t="shared" si="229"/>
        <v>0</v>
      </c>
      <c r="Y862" s="2658">
        <f>IF(OR(Y863&gt;0,COUNTIF(PDs!$AD$56:$AD$74,Tablas!D862)&gt;0),1,0)</f>
        <v>0</v>
      </c>
      <c r="Z862" s="2662" t="str">
        <f>IF(OR(Atletismo_final&lt;50,P.Fuerza_final&lt;50,AA862&lt;110,MAX(AB862,AC862)&lt;110),"NO","-")</f>
        <v>NO</v>
      </c>
      <c r="AA862" s="1086">
        <f>HA_final-PDs!$X$22+MIN(PDs!$X$22+H$917-H862,50)</f>
        <v>0</v>
      </c>
      <c r="AB862" s="2660">
        <f>HE_final-PDs!$X$24+MIN(PDs!$X$24+I$917-I862,50)</f>
        <v>0</v>
      </c>
      <c r="AC862" s="1338">
        <f>HP_final-PDs!$X$23+MIN(PDs!$X$23+J$917-J862,50)</f>
        <v>0</v>
      </c>
      <c r="AE862" s="1337" t="s">
        <v>7339</v>
      </c>
    </row>
    <row r="863" spans="1:31" ht="12.75" customHeight="1" x14ac:dyDescent="0.2">
      <c r="A863" s="237">
        <v>863</v>
      </c>
      <c r="B863" s="5838"/>
      <c r="C863" s="513"/>
      <c r="D863" s="2661" t="s">
        <v>921</v>
      </c>
      <c r="E863" s="2658">
        <f>20+Bono_Fue</f>
        <v>20</v>
      </c>
      <c r="F863" s="2658"/>
      <c r="G863" s="2658">
        <v>20</v>
      </c>
      <c r="H863" s="2658"/>
      <c r="I863" s="2658">
        <v>10</v>
      </c>
      <c r="J863" s="2658">
        <v>10</v>
      </c>
      <c r="K863" s="2658"/>
      <c r="L863" s="2658"/>
      <c r="M863" s="2663"/>
      <c r="N863" s="2663" t="s">
        <v>8980</v>
      </c>
      <c r="O863" s="2663"/>
      <c r="P863" s="2663"/>
      <c r="Q863" s="2663"/>
      <c r="R863" s="2663"/>
      <c r="S863" s="2659">
        <f t="shared" si="228"/>
        <v>82</v>
      </c>
      <c r="T863" s="2658"/>
      <c r="U863" s="2658"/>
      <c r="V863" s="2658"/>
      <c r="W863" s="2658"/>
      <c r="X863" s="2658">
        <f t="shared" si="229"/>
        <v>0</v>
      </c>
      <c r="Y863" s="2658">
        <f>IF(COUNTIF(PDs!$AD$56:$AD$74,Tablas!D863)&gt;0,1,0)</f>
        <v>0</v>
      </c>
      <c r="Z863" s="2662" t="str">
        <f>IF(OR(Atletismo_final&lt;50,P.Fuerza_final&lt;120,AA863&lt;110,MAX(AB863,AC863)&lt;200),"NO","-")</f>
        <v>NO</v>
      </c>
      <c r="AA863" s="1086">
        <f>HA_final-PDs!$X$22+MIN(PDs!$X$22+H$917-H863,50)</f>
        <v>0</v>
      </c>
      <c r="AB863" s="2660">
        <f>HE_final-PDs!$X$24+MIN(PDs!$X$24+I$917-I863,50)</f>
        <v>-10</v>
      </c>
      <c r="AC863" s="1338">
        <f>HP_final-PDs!$X$23+MIN(PDs!$X$23+J$917-J863,50)</f>
        <v>-10</v>
      </c>
      <c r="AE863" s="1337" t="s">
        <v>7340</v>
      </c>
    </row>
    <row r="864" spans="1:31" ht="12.75" customHeight="1" x14ac:dyDescent="0.2">
      <c r="A864" s="237">
        <v>864</v>
      </c>
      <c r="B864" s="5838"/>
      <c r="C864" s="513"/>
      <c r="D864" s="2661" t="s">
        <v>922</v>
      </c>
      <c r="E864" s="2658">
        <f>10+Bono_Fue</f>
        <v>10</v>
      </c>
      <c r="F864" s="2658"/>
      <c r="G864" s="2658">
        <v>0</v>
      </c>
      <c r="H864" s="2658"/>
      <c r="I864" s="2658"/>
      <c r="J864" s="2658"/>
      <c r="K864" s="2658"/>
      <c r="L864" s="2658"/>
      <c r="M864" s="2663"/>
      <c r="N864" s="2663" t="s">
        <v>923</v>
      </c>
      <c r="O864" s="2663"/>
      <c r="P864" s="2663"/>
      <c r="Q864" s="2663"/>
      <c r="R864" s="2663"/>
      <c r="S864" s="2659">
        <f t="shared" si="228"/>
        <v>40</v>
      </c>
      <c r="T864" s="2658"/>
      <c r="U864" s="2658"/>
      <c r="V864" s="2658"/>
      <c r="W864" s="2658"/>
      <c r="X864" s="2658">
        <f t="shared" si="229"/>
        <v>0</v>
      </c>
      <c r="Y864" s="2658">
        <f>IF(OR(Y865&gt;0,COUNTIF(PDs!$AD$56:$AD$74,Tablas!D864)&gt;0),1,0)</f>
        <v>0</v>
      </c>
      <c r="Z864" s="2662" t="s">
        <v>1459</v>
      </c>
      <c r="AA864" s="1086">
        <f>HA_final-PDs!$X$22+MIN(PDs!$X$22+H$917-H864,50)</f>
        <v>0</v>
      </c>
      <c r="AB864" s="2660">
        <f>HE_final-PDs!$X$24+MIN(PDs!$X$24+I$917-I864,50)</f>
        <v>0</v>
      </c>
      <c r="AC864" s="1338">
        <f>HP_final-PDs!$X$23+MIN(PDs!$X$23+J$917-J864,50)</f>
        <v>0</v>
      </c>
      <c r="AE864" s="1337" t="s">
        <v>7341</v>
      </c>
    </row>
    <row r="865" spans="1:43" ht="12.75" customHeight="1" x14ac:dyDescent="0.2">
      <c r="A865" s="237">
        <v>865</v>
      </c>
      <c r="B865" s="5838"/>
      <c r="C865" s="513"/>
      <c r="D865" s="2661" t="s">
        <v>924</v>
      </c>
      <c r="E865" s="2658">
        <f>20+Bono_Fue</f>
        <v>20</v>
      </c>
      <c r="F865" s="2658"/>
      <c r="G865" s="2658">
        <v>10</v>
      </c>
      <c r="H865" s="2658"/>
      <c r="I865" s="2658"/>
      <c r="J865" s="2658">
        <v>10</v>
      </c>
      <c r="K865" s="2658"/>
      <c r="L865" s="2658"/>
      <c r="M865" s="2663"/>
      <c r="N865" s="2663" t="s">
        <v>8982</v>
      </c>
      <c r="O865" s="2663"/>
      <c r="P865" s="2663"/>
      <c r="Q865" s="2663"/>
      <c r="R865" s="2663"/>
      <c r="S865" s="2659">
        <f t="shared" si="228"/>
        <v>63</v>
      </c>
      <c r="T865" s="2658"/>
      <c r="U865" s="2658"/>
      <c r="V865" s="2658"/>
      <c r="W865" s="2658"/>
      <c r="X865" s="2658">
        <f t="shared" si="229"/>
        <v>0</v>
      </c>
      <c r="Y865" s="2658">
        <f>IF(OR(Y866&gt;0,COUNTIF(PDs!$AD$56:$AD$74,Tablas!D865)&gt;0),1,0)</f>
        <v>0</v>
      </c>
      <c r="Z865" s="2662" t="str">
        <f>IF(OR(AA865&lt;130),"NO","-")</f>
        <v>NO</v>
      </c>
      <c r="AA865" s="1086">
        <f>HA_final-PDs!$X$22+MIN(PDs!$X$22+H$917-H865,50)</f>
        <v>0</v>
      </c>
      <c r="AB865" s="2660">
        <f>HE_final-PDs!$X$24+MIN(PDs!$X$24+I$917-I865,50)</f>
        <v>0</v>
      </c>
      <c r="AC865" s="1338">
        <f>HP_final-PDs!$X$23+MIN(PDs!$X$23+J$917-J865,50)</f>
        <v>-10</v>
      </c>
      <c r="AE865" s="1337" t="s">
        <v>7342</v>
      </c>
    </row>
    <row r="866" spans="1:43" ht="12.75" customHeight="1" x14ac:dyDescent="0.2">
      <c r="A866" s="237">
        <v>866</v>
      </c>
      <c r="B866" s="5838"/>
      <c r="C866" s="513"/>
      <c r="D866" s="2661" t="s">
        <v>925</v>
      </c>
      <c r="E866" s="2658">
        <f>30+Bono_Fue</f>
        <v>30</v>
      </c>
      <c r="F866" s="2658"/>
      <c r="G866" s="2658">
        <v>20</v>
      </c>
      <c r="H866" s="2658"/>
      <c r="I866" s="2658"/>
      <c r="J866" s="2658">
        <v>10</v>
      </c>
      <c r="K866" s="2658"/>
      <c r="L866" s="2658"/>
      <c r="M866" s="2663"/>
      <c r="N866" s="2663" t="s">
        <v>8981</v>
      </c>
      <c r="O866" s="2663"/>
      <c r="P866" s="2663"/>
      <c r="Q866" s="2663"/>
      <c r="R866" s="2663"/>
      <c r="S866" s="2659">
        <f t="shared" si="228"/>
        <v>82</v>
      </c>
      <c r="T866" s="2658"/>
      <c r="U866" s="2658"/>
      <c r="V866" s="2658"/>
      <c r="W866" s="2658"/>
      <c r="X866" s="2658">
        <f t="shared" si="229"/>
        <v>0</v>
      </c>
      <c r="Y866" s="2658">
        <f>IF(COUNTIF(PDs!$AD$56:$AD$74,Tablas!D866)&gt;0,1,0)</f>
        <v>0</v>
      </c>
      <c r="Z866" s="2662" t="str">
        <f>IF(OR(AA866&lt;200,MAX(AB866,AC866)&lt;200),"NO","-")</f>
        <v>NO</v>
      </c>
      <c r="AA866" s="1086">
        <f>HA_final-PDs!$X$22+MIN(PDs!$X$22+H$917-H866,50)</f>
        <v>0</v>
      </c>
      <c r="AB866" s="2660">
        <f>HE_final-PDs!$X$24+MIN(PDs!$X$24+I$917-I866,50)</f>
        <v>0</v>
      </c>
      <c r="AC866" s="1338">
        <f>HP_final-PDs!$X$23+MIN(PDs!$X$23+J$917-J866,50)</f>
        <v>-10</v>
      </c>
      <c r="AE866" s="1337" t="s">
        <v>7343</v>
      </c>
    </row>
    <row r="867" spans="1:43" ht="12.75" customHeight="1" x14ac:dyDescent="0.2">
      <c r="A867" s="237">
        <v>867</v>
      </c>
      <c r="B867" s="5838"/>
      <c r="C867" s="513"/>
      <c r="D867" s="2661" t="s">
        <v>926</v>
      </c>
      <c r="E867" s="2658">
        <f>20+Bono_Fue</f>
        <v>20</v>
      </c>
      <c r="F867" s="2658"/>
      <c r="G867" s="2658">
        <v>0</v>
      </c>
      <c r="H867" s="2658">
        <v>5</v>
      </c>
      <c r="I867" s="2658"/>
      <c r="J867" s="2658"/>
      <c r="K867" s="2658"/>
      <c r="L867" s="2658"/>
      <c r="M867" s="2663"/>
      <c r="N867" s="2663" t="s">
        <v>1459</v>
      </c>
      <c r="O867" s="2663"/>
      <c r="P867" s="2663"/>
      <c r="Q867" s="2663"/>
      <c r="R867" s="2663"/>
      <c r="S867" s="2659">
        <f t="shared" si="228"/>
        <v>1</v>
      </c>
      <c r="T867" s="2658"/>
      <c r="U867" s="2658"/>
      <c r="V867" s="2658"/>
      <c r="W867" s="2658"/>
      <c r="X867" s="2658">
        <f t="shared" si="229"/>
        <v>0</v>
      </c>
      <c r="Y867" s="2658">
        <f>IF(OR(Y868&gt;0,COUNTIF(PDs!$AD$56:$AD$74,Tablas!D867)&gt;0),1,0)</f>
        <v>0</v>
      </c>
      <c r="Z867" s="2662" t="s">
        <v>1459</v>
      </c>
      <c r="AA867" s="1086">
        <f>HA_final-PDs!$X$22+MIN(PDs!$X$22+H$917-H867,50)</f>
        <v>-5</v>
      </c>
      <c r="AB867" s="2660">
        <f>HE_final-PDs!$X$24+MIN(PDs!$X$24+I$917-I867,50)</f>
        <v>0</v>
      </c>
      <c r="AC867" s="1338">
        <f>HP_final-PDs!$X$23+MIN(PDs!$X$23+J$917-J867,50)</f>
        <v>0</v>
      </c>
      <c r="AE867" s="1337" t="s">
        <v>7344</v>
      </c>
    </row>
    <row r="868" spans="1:43" ht="12.75" customHeight="1" thickBot="1" x14ac:dyDescent="0.25">
      <c r="A868" s="237">
        <v>868</v>
      </c>
      <c r="B868" s="5838"/>
      <c r="C868" s="513"/>
      <c r="D868" s="2661" t="s">
        <v>927</v>
      </c>
      <c r="E868" s="2658">
        <f>30+Bono_Fue</f>
        <v>30</v>
      </c>
      <c r="F868" s="2658"/>
      <c r="G868" s="2658">
        <v>10</v>
      </c>
      <c r="H868" s="2658">
        <v>5</v>
      </c>
      <c r="I868" s="2658"/>
      <c r="J868" s="2658"/>
      <c r="K868" s="2658"/>
      <c r="L868" s="2658"/>
      <c r="M868" s="2663"/>
      <c r="N868" s="2663" t="s">
        <v>1459</v>
      </c>
      <c r="O868" s="2663"/>
      <c r="P868" s="2663"/>
      <c r="Q868" s="2663"/>
      <c r="R868" s="2663"/>
      <c r="S868" s="2659">
        <f t="shared" si="228"/>
        <v>1</v>
      </c>
      <c r="T868" s="2658"/>
      <c r="U868" s="2658"/>
      <c r="V868" s="2658"/>
      <c r="W868" s="2658"/>
      <c r="X868" s="2658">
        <f t="shared" si="229"/>
        <v>0</v>
      </c>
      <c r="Y868" s="2658">
        <f>IF(OR(Y869&gt;0,COUNTIF(PDs!$AD$56:$AD$74,Tablas!D868)&gt;0),1,0)</f>
        <v>0</v>
      </c>
      <c r="Z868" s="2662" t="str">
        <f>IF(OR(AA868&lt;120,MAX(AB868,AC868)&lt;120),"NO","-")</f>
        <v>NO</v>
      </c>
      <c r="AA868" s="1086">
        <f>HA_final-PDs!$X$22+MIN(PDs!$X$22+H$917-H868,50)</f>
        <v>-5</v>
      </c>
      <c r="AB868" s="2660">
        <f>HE_final-PDs!$X$24+MIN(PDs!$X$24+I$917-I868,50)</f>
        <v>0</v>
      </c>
      <c r="AC868" s="1338">
        <f>HP_final-PDs!$X$23+MIN(PDs!$X$23+J$917-J868,50)</f>
        <v>0</v>
      </c>
      <c r="AE868" s="1339" t="s">
        <v>7345</v>
      </c>
    </row>
    <row r="869" spans="1:43" ht="12.75" customHeight="1" x14ac:dyDescent="0.2">
      <c r="A869" s="237">
        <v>869</v>
      </c>
      <c r="B869" s="5838"/>
      <c r="C869" s="513"/>
      <c r="D869" s="2661" t="s">
        <v>928</v>
      </c>
      <c r="E869" s="2658">
        <f>50+Bono_Fue</f>
        <v>50</v>
      </c>
      <c r="F869" s="2658"/>
      <c r="G869" s="2658">
        <v>20</v>
      </c>
      <c r="H869" s="2658">
        <v>10</v>
      </c>
      <c r="I869" s="2658"/>
      <c r="J869" s="2658"/>
      <c r="K869" s="2658"/>
      <c r="L869" s="2658"/>
      <c r="M869" s="2663"/>
      <c r="N869" s="2663" t="s">
        <v>1459</v>
      </c>
      <c r="O869" s="2663"/>
      <c r="P869" s="2663"/>
      <c r="Q869" s="2663"/>
      <c r="R869" s="2663"/>
      <c r="S869" s="2659">
        <f t="shared" si="228"/>
        <v>1</v>
      </c>
      <c r="T869" s="2658"/>
      <c r="U869" s="2658"/>
      <c r="V869" s="2658"/>
      <c r="W869" s="2658"/>
      <c r="X869" s="2658">
        <f t="shared" si="229"/>
        <v>0</v>
      </c>
      <c r="Y869" s="2658">
        <f>IF(COUNTIF(PDs!$AD$56:$AD$74,Tablas!D869)&gt;0,1,0)</f>
        <v>0</v>
      </c>
      <c r="Z869" s="2662" t="str">
        <f>IF(OR(AA869&lt;200,MAX(AB869,AC869)&lt;120),"NO","-")</f>
        <v>NO</v>
      </c>
      <c r="AA869" s="1086">
        <f>HA_final-PDs!$X$22+MIN(PDs!$X$22+H$917-H869,50)</f>
        <v>-10</v>
      </c>
      <c r="AB869" s="2660">
        <f>HE_final-PDs!$X$24+MIN(PDs!$X$24+I$917-I869,50)</f>
        <v>0</v>
      </c>
      <c r="AC869" s="1338">
        <f>HP_final-PDs!$X$23+MIN(PDs!$X$23+J$917-J869,50)</f>
        <v>0</v>
      </c>
      <c r="AP869" s="592"/>
      <c r="AQ869" s="592"/>
    </row>
    <row r="870" spans="1:43" ht="12.75" customHeight="1" x14ac:dyDescent="0.2">
      <c r="A870" s="237">
        <v>870</v>
      </c>
      <c r="B870" s="5838"/>
      <c r="C870" s="513"/>
      <c r="D870" s="2661" t="s">
        <v>929</v>
      </c>
      <c r="E870" s="2658">
        <f>10+Bono_Fue</f>
        <v>10</v>
      </c>
      <c r="F870" s="2658"/>
      <c r="G870" s="2658">
        <v>0</v>
      </c>
      <c r="H870" s="2658"/>
      <c r="I870" s="2658"/>
      <c r="J870" s="2658"/>
      <c r="K870" s="2658"/>
      <c r="L870" s="2658"/>
      <c r="M870" s="2663"/>
      <c r="N870" s="2663" t="s">
        <v>930</v>
      </c>
      <c r="O870" s="2663"/>
      <c r="P870" s="2663"/>
      <c r="Q870" s="2663"/>
      <c r="R870" s="2663"/>
      <c r="S870" s="2659">
        <f t="shared" si="228"/>
        <v>31</v>
      </c>
      <c r="T870" s="2658"/>
      <c r="U870" s="2658"/>
      <c r="V870" s="2658"/>
      <c r="W870" s="2658"/>
      <c r="X870" s="2658">
        <f t="shared" si="229"/>
        <v>0</v>
      </c>
      <c r="Y870" s="2658">
        <f>IF(OR(Y871&gt;0,COUNTIF(PDs!$AD$56:$AD$74,Tablas!D870)&gt;0),1,0)</f>
        <v>0</v>
      </c>
      <c r="Z870" s="2658" t="str">
        <f>IF(Advertir_final&lt;50,"NO","-")</f>
        <v>NO</v>
      </c>
      <c r="AA870" s="1086">
        <f>HA_final-PDs!$X$22+MIN(PDs!$X$22+H$917-H870,50)</f>
        <v>0</v>
      </c>
      <c r="AB870" s="2660">
        <f>HE_final-PDs!$X$24+MIN(PDs!$X$24+I$917-I870,50)</f>
        <v>0</v>
      </c>
      <c r="AC870" s="1338">
        <f>HP_final-PDs!$X$23+MIN(PDs!$X$23+J$917-J870,50)</f>
        <v>0</v>
      </c>
      <c r="AP870" s="592"/>
      <c r="AQ870" s="592"/>
    </row>
    <row r="871" spans="1:43" ht="12.75" customHeight="1" x14ac:dyDescent="0.2">
      <c r="A871" s="237">
        <v>871</v>
      </c>
      <c r="B871" s="5838"/>
      <c r="C871" s="513"/>
      <c r="D871" s="2661" t="s">
        <v>931</v>
      </c>
      <c r="E871" s="2658">
        <f>20+Bono_Fue</f>
        <v>20</v>
      </c>
      <c r="F871" s="2658"/>
      <c r="G871" s="2658">
        <v>10</v>
      </c>
      <c r="H871" s="2658"/>
      <c r="I871" s="2658">
        <v>10</v>
      </c>
      <c r="J871" s="2658">
        <v>10</v>
      </c>
      <c r="K871" s="2658"/>
      <c r="L871" s="2658"/>
      <c r="M871" s="2663"/>
      <c r="N871" s="2663" t="s">
        <v>932</v>
      </c>
      <c r="O871" s="2663"/>
      <c r="P871" s="2663"/>
      <c r="Q871" s="2663"/>
      <c r="R871" s="2663"/>
      <c r="S871" s="2659">
        <f t="shared" si="228"/>
        <v>26</v>
      </c>
      <c r="T871" s="2658"/>
      <c r="U871" s="2658"/>
      <c r="V871" s="2658"/>
      <c r="W871" s="2658"/>
      <c r="X871" s="2658">
        <f t="shared" si="229"/>
        <v>0</v>
      </c>
      <c r="Y871" s="2658">
        <f>IF(OR(Y872&gt;0,COUNTIF(PDs!$AD$56:$AD$74,Tablas!D871)&gt;0),1,0)</f>
        <v>0</v>
      </c>
      <c r="Z871" s="2658" t="str">
        <f>IF(OR(Advertir_final&lt;90,MAX(AB871,AC871)&lt;120),"NO","-")</f>
        <v>NO</v>
      </c>
      <c r="AA871" s="1086">
        <f>HA_final-PDs!$X$22+MIN(PDs!$X$22+H$917-H871,50)</f>
        <v>0</v>
      </c>
      <c r="AB871" s="2660">
        <f>HE_final-PDs!$X$24+MIN(PDs!$X$24+I$917-I871,50)</f>
        <v>-10</v>
      </c>
      <c r="AC871" s="1338">
        <f>HP_final-PDs!$X$23+MIN(PDs!$X$23+J$917-J871,50)</f>
        <v>-10</v>
      </c>
      <c r="AP871" s="592"/>
      <c r="AQ871" s="592"/>
    </row>
    <row r="872" spans="1:43" ht="12.75" customHeight="1" x14ac:dyDescent="0.2">
      <c r="A872" s="237">
        <v>872</v>
      </c>
      <c r="B872" s="5838"/>
      <c r="C872" s="513"/>
      <c r="D872" s="2661" t="s">
        <v>933</v>
      </c>
      <c r="E872" s="2658">
        <f>30+Bono_Fue</f>
        <v>30</v>
      </c>
      <c r="F872" s="2658"/>
      <c r="G872" s="2658">
        <v>20</v>
      </c>
      <c r="H872" s="2658"/>
      <c r="I872" s="2658">
        <v>10</v>
      </c>
      <c r="J872" s="2658">
        <v>10</v>
      </c>
      <c r="K872" s="2658"/>
      <c r="L872" s="2658"/>
      <c r="M872" s="2663"/>
      <c r="N872" s="2663" t="s">
        <v>8983</v>
      </c>
      <c r="O872" s="2663"/>
      <c r="P872" s="2663"/>
      <c r="Q872" s="2663"/>
      <c r="R872" s="2663"/>
      <c r="S872" s="2659">
        <f t="shared" si="228"/>
        <v>38</v>
      </c>
      <c r="T872" s="2658"/>
      <c r="U872" s="2658"/>
      <c r="V872" s="2658"/>
      <c r="W872" s="2658"/>
      <c r="X872" s="2658">
        <f t="shared" si="229"/>
        <v>0</v>
      </c>
      <c r="Y872" s="2658">
        <f>IF(COUNTIF(PDs!$AD$56:$AD$74,Tablas!D872)&gt;0,1,0)</f>
        <v>0</v>
      </c>
      <c r="Z872" s="2658" t="str">
        <f>IF(OR(Advertir_final&lt;120,Acrobacias_final&lt;60,MAX(AB872,AC872)&lt;200),"NO","-")</f>
        <v>NO</v>
      </c>
      <c r="AA872" s="1086">
        <f>HA_final-PDs!$X$22+MIN(PDs!$X$22+H$917-H872,50)</f>
        <v>0</v>
      </c>
      <c r="AB872" s="2660">
        <f>HE_final-PDs!$X$24+MIN(PDs!$X$24+I$917-I872,50)</f>
        <v>-10</v>
      </c>
      <c r="AC872" s="1338">
        <f>HP_final-PDs!$X$23+MIN(PDs!$X$23+J$917-J872,50)</f>
        <v>-10</v>
      </c>
      <c r="AP872" s="592"/>
      <c r="AQ872" s="592"/>
    </row>
    <row r="873" spans="1:43" ht="12.75" customHeight="1" x14ac:dyDescent="0.2">
      <c r="A873" s="237">
        <v>873</v>
      </c>
      <c r="B873" s="5838"/>
      <c r="C873" s="513"/>
      <c r="D873" s="2661" t="s">
        <v>934</v>
      </c>
      <c r="E873" s="2658">
        <f>10+Bono_Fue</f>
        <v>10</v>
      </c>
      <c r="F873" s="2658"/>
      <c r="G873" s="2658">
        <v>0</v>
      </c>
      <c r="H873" s="2658"/>
      <c r="I873" s="2658"/>
      <c r="J873" s="2658"/>
      <c r="K873" s="2658"/>
      <c r="L873" s="2658"/>
      <c r="M873" s="2663"/>
      <c r="N873" s="2663" t="s">
        <v>935</v>
      </c>
      <c r="O873" s="2663"/>
      <c r="P873" s="2663"/>
      <c r="Q873" s="2663"/>
      <c r="R873" s="2663"/>
      <c r="S873" s="2659">
        <f t="shared" si="228"/>
        <v>54</v>
      </c>
      <c r="T873" s="2658"/>
      <c r="U873" s="2658"/>
      <c r="V873" s="2658"/>
      <c r="W873" s="2658"/>
      <c r="X873" s="2658">
        <f t="shared" si="229"/>
        <v>0</v>
      </c>
      <c r="Y873" s="2658">
        <f>IF(OR(Y874&gt;0,COUNTIF(PDs!$AD$56:$AD$74,Tablas!D873)&gt;0),1,0)</f>
        <v>0</v>
      </c>
      <c r="Z873" s="2658" t="s">
        <v>1459</v>
      </c>
      <c r="AA873" s="1086">
        <f>HA_final-PDs!$X$22+MIN(PDs!$X$22+H$917-H873,50)</f>
        <v>0</v>
      </c>
      <c r="AB873" s="2660">
        <f>HE_final-PDs!$X$24+MIN(PDs!$X$24+I$917-I873,50)</f>
        <v>0</v>
      </c>
      <c r="AC873" s="1338">
        <f>HP_final-PDs!$X$23+MIN(PDs!$X$23+J$917-J873,50)</f>
        <v>0</v>
      </c>
      <c r="AP873" s="592"/>
      <c r="AQ873" s="592"/>
    </row>
    <row r="874" spans="1:43" ht="12.75" customHeight="1" x14ac:dyDescent="0.2">
      <c r="A874" s="237">
        <v>874</v>
      </c>
      <c r="B874" s="5838"/>
      <c r="C874" s="513"/>
      <c r="D874" s="2661" t="s">
        <v>936</v>
      </c>
      <c r="E874" s="2658">
        <f>20+Bono_Fue</f>
        <v>20</v>
      </c>
      <c r="F874" s="2658"/>
      <c r="G874" s="2658">
        <v>10</v>
      </c>
      <c r="H874" s="2658"/>
      <c r="I874" s="2658"/>
      <c r="J874" s="2658"/>
      <c r="K874" s="2658"/>
      <c r="L874" s="2658"/>
      <c r="M874" s="2663"/>
      <c r="N874" s="2663" t="s">
        <v>937</v>
      </c>
      <c r="O874" s="2663"/>
      <c r="P874" s="2663"/>
      <c r="Q874" s="2663"/>
      <c r="R874" s="2663"/>
      <c r="S874" s="2659">
        <f t="shared" si="228"/>
        <v>54</v>
      </c>
      <c r="T874" s="2658"/>
      <c r="U874" s="2658"/>
      <c r="V874" s="2658"/>
      <c r="W874" s="2658"/>
      <c r="X874" s="2658">
        <f t="shared" si="229"/>
        <v>0</v>
      </c>
      <c r="Y874" s="2658">
        <f>IF(OR(Y875&gt;0,COUNTIF(PDs!$AD$56:$AD$74,Tablas!D874)&gt;0),1,0)</f>
        <v>0</v>
      </c>
      <c r="Z874" s="2658" t="str">
        <f>IF(OR(AA874&lt;130,MAX(AB874,AC874)&lt;100),"NO","-")</f>
        <v>NO</v>
      </c>
      <c r="AA874" s="1086">
        <f>HA_final-PDs!$X$22+MIN(PDs!$X$22+H$917-H874,50)</f>
        <v>0</v>
      </c>
      <c r="AB874" s="2660">
        <f>HE_final-PDs!$X$24+MIN(PDs!$X$24+I$917-I874,50)</f>
        <v>0</v>
      </c>
      <c r="AC874" s="1338">
        <f>HP_final-PDs!$X$23+MIN(PDs!$X$23+J$917-J874,50)</f>
        <v>0</v>
      </c>
      <c r="AP874" s="592"/>
      <c r="AQ874" s="592"/>
    </row>
    <row r="875" spans="1:43" ht="12.75" customHeight="1" x14ac:dyDescent="0.2">
      <c r="A875" s="237">
        <v>875</v>
      </c>
      <c r="B875" s="5838"/>
      <c r="C875" s="513"/>
      <c r="D875" s="2661" t="s">
        <v>938</v>
      </c>
      <c r="E875" s="2658">
        <f>20+Bono_Fue</f>
        <v>20</v>
      </c>
      <c r="F875" s="2658"/>
      <c r="G875" s="2658">
        <v>20</v>
      </c>
      <c r="H875" s="2658"/>
      <c r="I875" s="2658"/>
      <c r="J875" s="2658"/>
      <c r="K875" s="2658"/>
      <c r="L875" s="2658"/>
      <c r="M875" s="2663"/>
      <c r="N875" s="2663" t="s">
        <v>939</v>
      </c>
      <c r="O875" s="2663"/>
      <c r="P875" s="2663"/>
      <c r="Q875" s="2663"/>
      <c r="R875" s="2663"/>
      <c r="S875" s="2659">
        <f t="shared" si="228"/>
        <v>64</v>
      </c>
      <c r="T875" s="2658"/>
      <c r="U875" s="2658"/>
      <c r="V875" s="2658"/>
      <c r="W875" s="2658"/>
      <c r="X875" s="2658">
        <f t="shared" si="229"/>
        <v>0</v>
      </c>
      <c r="Y875" s="2658">
        <f>IF(COUNTIF(PDs!$AD$56:$AD$74,Tablas!D875)&gt;0,1,0)</f>
        <v>0</v>
      </c>
      <c r="Z875" s="2658" t="str">
        <f>IF(OR(AA875&lt;200,MAX(AB875,AC875)&lt;100),"NO","-")</f>
        <v>NO</v>
      </c>
      <c r="AA875" s="1086">
        <f>HA_final-PDs!$X$22+MIN(PDs!$X$22+H$917-H875,50)</f>
        <v>0</v>
      </c>
      <c r="AB875" s="2660">
        <f>HE_final-PDs!$X$24+MIN(PDs!$X$24+I$917-I875,50)</f>
        <v>0</v>
      </c>
      <c r="AC875" s="1338">
        <f>HP_final-PDs!$X$23+MIN(PDs!$X$23+J$917-J875,50)</f>
        <v>0</v>
      </c>
      <c r="AP875" s="592"/>
      <c r="AQ875" s="592"/>
    </row>
    <row r="876" spans="1:43" ht="12.75" customHeight="1" x14ac:dyDescent="0.2">
      <c r="A876" s="237">
        <v>876</v>
      </c>
      <c r="B876" s="5838"/>
      <c r="C876" s="513"/>
      <c r="D876" s="2661" t="s">
        <v>940</v>
      </c>
      <c r="E876" s="2658">
        <f>20+Bono_Pod</f>
        <v>20</v>
      </c>
      <c r="F876" s="2658"/>
      <c r="G876" s="2658">
        <v>10</v>
      </c>
      <c r="H876" s="2658"/>
      <c r="I876" s="2658"/>
      <c r="J876" s="2658"/>
      <c r="K876" s="2658"/>
      <c r="L876" s="2658"/>
      <c r="M876" s="2663"/>
      <c r="N876" s="2663" t="s">
        <v>1459</v>
      </c>
      <c r="O876" s="2663"/>
      <c r="P876" s="2663"/>
      <c r="Q876" s="2663"/>
      <c r="R876" s="2663"/>
      <c r="S876" s="2659">
        <f t="shared" si="228"/>
        <v>1</v>
      </c>
      <c r="T876" s="2658"/>
      <c r="U876" s="2658"/>
      <c r="V876" s="2658"/>
      <c r="W876" s="2658"/>
      <c r="X876" s="2658">
        <f t="shared" si="229"/>
        <v>0</v>
      </c>
      <c r="Y876" s="2658">
        <f>IF(OR(Y877&gt;0,COUNTIF(PDs!$AD$56:$AD$74,Tablas!D876)&gt;0),1,0)</f>
        <v>0</v>
      </c>
      <c r="Z876" s="2658" t="s">
        <v>1459</v>
      </c>
      <c r="AA876" s="1086">
        <f>HA_final-PDs!$X$22+MIN(PDs!$X$22+H$917-H876,50)</f>
        <v>0</v>
      </c>
      <c r="AB876" s="2660">
        <f>HE_final-PDs!$X$24+MIN(PDs!$X$24+I$917-I876,50)</f>
        <v>0</v>
      </c>
      <c r="AC876" s="1338">
        <f>HP_final-PDs!$X$23+MIN(PDs!$X$23+J$917-J876,50)</f>
        <v>0</v>
      </c>
      <c r="AP876" s="592"/>
      <c r="AQ876" s="592"/>
    </row>
    <row r="877" spans="1:43" ht="12.75" customHeight="1" x14ac:dyDescent="0.2">
      <c r="A877" s="237">
        <v>877</v>
      </c>
      <c r="B877" s="5838"/>
      <c r="C877" s="513"/>
      <c r="D877" s="2661" t="s">
        <v>941</v>
      </c>
      <c r="E877" s="2658">
        <f>20+2*Bono_Pod</f>
        <v>20</v>
      </c>
      <c r="F877" s="2658"/>
      <c r="G877" s="2658">
        <v>30</v>
      </c>
      <c r="H877" s="2658"/>
      <c r="I877" s="2658"/>
      <c r="J877" s="2658"/>
      <c r="K877" s="2658"/>
      <c r="L877" s="2658"/>
      <c r="M877" s="2663"/>
      <c r="N877" s="2663" t="s">
        <v>1459</v>
      </c>
      <c r="O877" s="2663"/>
      <c r="P877" s="2663"/>
      <c r="Q877" s="2663"/>
      <c r="R877" s="2663"/>
      <c r="S877" s="2659">
        <f t="shared" si="228"/>
        <v>1</v>
      </c>
      <c r="T877" s="2658"/>
      <c r="U877" s="2658"/>
      <c r="V877" s="2658"/>
      <c r="W877" s="2658"/>
      <c r="X877" s="2658">
        <f t="shared" si="229"/>
        <v>0</v>
      </c>
      <c r="Y877" s="2658">
        <f>IF(OR(Y878&gt;0,COUNTIF(PDs!$AD$56:$AD$74,Tablas!D877)&gt;0),1,0)</f>
        <v>0</v>
      </c>
      <c r="Z877" s="2658" t="str">
        <f>IF(OR(NOT(UsodelKi)),"NO","-")</f>
        <v>NO</v>
      </c>
      <c r="AA877" s="1086">
        <f>HA_final-PDs!$X$22+MIN(PDs!$X$22+H$917-H877,50)</f>
        <v>0</v>
      </c>
      <c r="AB877" s="2660">
        <f>HE_final-PDs!$X$24+MIN(PDs!$X$24+I$917-I877,50)</f>
        <v>0</v>
      </c>
      <c r="AC877" s="1338">
        <f>HP_final-PDs!$X$23+MIN(PDs!$X$23+J$917-J877,50)</f>
        <v>0</v>
      </c>
      <c r="AP877" s="592"/>
      <c r="AQ877" s="592"/>
    </row>
    <row r="878" spans="1:43" ht="12.75" customHeight="1" x14ac:dyDescent="0.2">
      <c r="A878" s="237">
        <v>878</v>
      </c>
      <c r="B878" s="5838"/>
      <c r="C878" s="513"/>
      <c r="D878" s="2661" t="s">
        <v>942</v>
      </c>
      <c r="E878" s="2658">
        <f>20+2*Bono_Pod</f>
        <v>20</v>
      </c>
      <c r="F878" s="2658">
        <f>Bono_Pod</f>
        <v>0</v>
      </c>
      <c r="G878" s="2658">
        <v>60</v>
      </c>
      <c r="H878" s="2658"/>
      <c r="I878" s="2658"/>
      <c r="J878" s="2658"/>
      <c r="K878" s="2658"/>
      <c r="L878" s="2658"/>
      <c r="M878" s="2663"/>
      <c r="N878" s="2663" t="s">
        <v>1459</v>
      </c>
      <c r="O878" s="2663"/>
      <c r="P878" s="2663"/>
      <c r="Q878" s="2663"/>
      <c r="R878" s="2663"/>
      <c r="S878" s="2659">
        <f t="shared" si="228"/>
        <v>1</v>
      </c>
      <c r="T878" s="2658"/>
      <c r="U878" s="2658"/>
      <c r="V878" s="2658"/>
      <c r="W878" s="2658"/>
      <c r="X878" s="2658">
        <f t="shared" si="229"/>
        <v>0</v>
      </c>
      <c r="Y878" s="2658">
        <f>IF(COUNTIF(PDs!$AD$56:$AD$74,Tablas!D878)&gt;0,1,0)</f>
        <v>0</v>
      </c>
      <c r="Z878" s="2658" t="str">
        <f>IF(OR(NOT(UsodelKi),NOT(Usodelaenergíanecesaria),AA878&lt;180,MAX(AB878,AC878)&lt;180),"NO","-")</f>
        <v>NO</v>
      </c>
      <c r="AA878" s="1086">
        <f>HA_final-PDs!$X$22+MIN(PDs!$X$22+H$917-H878,50)</f>
        <v>0</v>
      </c>
      <c r="AB878" s="2660">
        <f>HE_final-PDs!$X$24+MIN(PDs!$X$24+I$917-I878,50)</f>
        <v>0</v>
      </c>
      <c r="AC878" s="1338">
        <f>HP_final-PDs!$X$23+MIN(PDs!$X$23+J$917-J878,50)</f>
        <v>0</v>
      </c>
      <c r="AP878" s="592"/>
      <c r="AQ878" s="592"/>
    </row>
    <row r="879" spans="1:43" ht="12.75" customHeight="1" x14ac:dyDescent="0.2">
      <c r="A879" s="237">
        <v>879</v>
      </c>
      <c r="B879" s="5838"/>
      <c r="C879" s="513"/>
      <c r="D879" s="2661" t="s">
        <v>943</v>
      </c>
      <c r="E879" s="2658">
        <f>10+Bono_Fue</f>
        <v>10</v>
      </c>
      <c r="F879" s="2658"/>
      <c r="G879" s="2658">
        <v>0</v>
      </c>
      <c r="H879" s="2658"/>
      <c r="I879" s="2658"/>
      <c r="J879" s="2658"/>
      <c r="K879" s="2658"/>
      <c r="L879" s="2658"/>
      <c r="M879" s="2663"/>
      <c r="N879" s="2663" t="s">
        <v>944</v>
      </c>
      <c r="O879" s="2663"/>
      <c r="P879" s="2663"/>
      <c r="Q879" s="2663"/>
      <c r="R879" s="2663"/>
      <c r="S879" s="2659">
        <f t="shared" si="228"/>
        <v>62</v>
      </c>
      <c r="T879" s="2658"/>
      <c r="U879" s="2658"/>
      <c r="V879" s="2658"/>
      <c r="W879" s="2658"/>
      <c r="X879" s="2658">
        <f t="shared" si="229"/>
        <v>0</v>
      </c>
      <c r="Y879" s="2658">
        <f>IF(OR(Y880&gt;0,COUNTIF(PDs!$AD$56:$AD$74,Tablas!D879)&gt;0),1,0)</f>
        <v>0</v>
      </c>
      <c r="Z879" s="2658" t="str">
        <f>IF(T.Manos_final&lt;20,"NO","-")</f>
        <v>NO</v>
      </c>
      <c r="AA879" s="1086">
        <f>HA_final-PDs!$X$22+MIN(PDs!$X$22+H$917-H879,50)</f>
        <v>0</v>
      </c>
      <c r="AB879" s="2660">
        <f>HE_final-PDs!$X$24+MIN(PDs!$X$24+I$917-I879,50)</f>
        <v>0</v>
      </c>
      <c r="AC879" s="1338">
        <f>HP_final-PDs!$X$23+MIN(PDs!$X$23+J$917-J879,50)</f>
        <v>0</v>
      </c>
      <c r="AP879" s="592"/>
      <c r="AQ879" s="592"/>
    </row>
    <row r="880" spans="1:43" ht="12.75" customHeight="1" x14ac:dyDescent="0.2">
      <c r="A880" s="237">
        <v>880</v>
      </c>
      <c r="B880" s="5838"/>
      <c r="C880" s="513"/>
      <c r="D880" s="2661" t="s">
        <v>945</v>
      </c>
      <c r="E880" s="2658">
        <f>20+Bono_Fue</f>
        <v>20</v>
      </c>
      <c r="F880" s="2658"/>
      <c r="G880" s="2658">
        <v>10</v>
      </c>
      <c r="H880" s="2658"/>
      <c r="I880" s="2658"/>
      <c r="J880" s="2658"/>
      <c r="K880" s="2658"/>
      <c r="L880" s="2658"/>
      <c r="M880" s="2663"/>
      <c r="N880" s="2663" t="s">
        <v>946</v>
      </c>
      <c r="O880" s="2663"/>
      <c r="P880" s="2663"/>
      <c r="Q880" s="2663"/>
      <c r="R880" s="2663"/>
      <c r="S880" s="2659">
        <f t="shared" si="228"/>
        <v>62</v>
      </c>
      <c r="T880" s="2658"/>
      <c r="U880" s="2658"/>
      <c r="V880" s="2658"/>
      <c r="W880" s="2658"/>
      <c r="X880" s="2658">
        <f t="shared" si="229"/>
        <v>0</v>
      </c>
      <c r="Y880" s="2658">
        <f>IF(OR(Y881&gt;0,COUNTIF(PDs!$AD$56:$AD$74,Tablas!D880)&gt;0),1,0)</f>
        <v>0</v>
      </c>
      <c r="Z880" s="2658" t="str">
        <f>IF(OR(T.Manos_final&lt;50,Turno_SinArmas_final-IFERROR(VLOOKUP(Combate!E20,Tablas!AC594:AF598,3,FALSE),0)&lt;100,AA880&lt;120),"NO","-")</f>
        <v>NO</v>
      </c>
      <c r="AA880" s="1086">
        <f>HA_final-PDs!$X$22+MIN(PDs!$X$22+H$917-H880,50)</f>
        <v>0</v>
      </c>
      <c r="AB880" s="2660">
        <f>HE_final-PDs!$X$24+MIN(PDs!$X$24+I$917-I880,50)</f>
        <v>0</v>
      </c>
      <c r="AC880" s="1338">
        <f>HP_final-PDs!$X$23+MIN(PDs!$X$23+J$917-J880,50)</f>
        <v>0</v>
      </c>
      <c r="AP880" s="592"/>
      <c r="AQ880" s="592"/>
    </row>
    <row r="881" spans="1:43" ht="12.75" customHeight="1" x14ac:dyDescent="0.2">
      <c r="A881" s="237">
        <v>881</v>
      </c>
      <c r="B881" s="5838"/>
      <c r="C881" s="513"/>
      <c r="D881" s="2661" t="s">
        <v>947</v>
      </c>
      <c r="E881" s="2658">
        <f>30+Bono_Fue</f>
        <v>30</v>
      </c>
      <c r="F881" s="2658"/>
      <c r="G881" s="2658">
        <v>20</v>
      </c>
      <c r="H881" s="2658"/>
      <c r="I881" s="2658"/>
      <c r="J881" s="2658"/>
      <c r="K881" s="2658"/>
      <c r="L881" s="2658"/>
      <c r="M881" s="2663"/>
      <c r="N881" s="2663" t="s">
        <v>948</v>
      </c>
      <c r="O881" s="2663"/>
      <c r="P881" s="2663"/>
      <c r="Q881" s="2663"/>
      <c r="R881" s="2663"/>
      <c r="S881" s="2659">
        <f t="shared" si="228"/>
        <v>62</v>
      </c>
      <c r="T881" s="2658"/>
      <c r="U881" s="2658"/>
      <c r="V881" s="2658"/>
      <c r="W881" s="2658"/>
      <c r="X881" s="2658">
        <f t="shared" si="229"/>
        <v>0</v>
      </c>
      <c r="Y881" s="2658">
        <f>IF(COUNTIF(PDs!$AD$56:$AD$74,Tablas!D881)&gt;0,1,0)</f>
        <v>0</v>
      </c>
      <c r="Z881" s="2658" t="str">
        <f>IF(OR(T.Manos_final&lt;100,Turno_SinArmas_final-IFERROR(VLOOKUP(Combate!E20,Tablas!AC594:AF598,3,FALSE),0)&lt;120,AA881&lt;200),"NO","-")</f>
        <v>NO</v>
      </c>
      <c r="AA881" s="1086">
        <f>HA_final-PDs!$X$22+MIN(PDs!$X$22+H$917-H881,50)</f>
        <v>0</v>
      </c>
      <c r="AB881" s="2660">
        <f>HE_final-PDs!$X$24+MIN(PDs!$X$24+I$917-I881,50)</f>
        <v>0</v>
      </c>
      <c r="AC881" s="1338">
        <f>HP_final-PDs!$X$23+MIN(PDs!$X$23+J$917-J881,50)</f>
        <v>0</v>
      </c>
      <c r="AP881" s="592"/>
      <c r="AQ881" s="592"/>
    </row>
    <row r="882" spans="1:43" ht="12.75" customHeight="1" x14ac:dyDescent="0.2">
      <c r="A882" s="237">
        <v>882</v>
      </c>
      <c r="B882" s="5838"/>
      <c r="C882" s="513"/>
      <c r="D882" s="2657" t="s">
        <v>949</v>
      </c>
      <c r="E882" s="2658"/>
      <c r="F882" s="2658"/>
      <c r="G882" s="2658"/>
      <c r="H882" s="2658"/>
      <c r="I882" s="2658"/>
      <c r="J882" s="2658"/>
      <c r="K882" s="2658"/>
      <c r="L882" s="2658"/>
      <c r="M882" s="2663"/>
      <c r="N882" s="2663" t="s">
        <v>1459</v>
      </c>
      <c r="O882" s="2663"/>
      <c r="P882" s="2663"/>
      <c r="Q882" s="2663"/>
      <c r="R882" s="2663"/>
      <c r="S882" s="2659">
        <f t="shared" si="228"/>
        <v>1</v>
      </c>
      <c r="T882" s="2658"/>
      <c r="U882" s="2658"/>
      <c r="V882" s="2658"/>
      <c r="W882" s="2658"/>
      <c r="X882" s="2658">
        <f t="shared" si="229"/>
        <v>0</v>
      </c>
      <c r="Y882" s="2658">
        <f>IF(OR(Y883&gt;0,COUNTIF(PDs!$AD$56:$AD$74,Tablas!D882)&gt;0),1,0)</f>
        <v>0</v>
      </c>
      <c r="Z882" s="2658" t="s">
        <v>1459</v>
      </c>
      <c r="AA882" s="1086"/>
      <c r="AB882" s="2660"/>
      <c r="AC882" s="1338"/>
      <c r="AP882" s="592"/>
      <c r="AQ882" s="592"/>
    </row>
    <row r="883" spans="1:43" ht="12.75" customHeight="1" x14ac:dyDescent="0.2">
      <c r="A883" s="237">
        <v>883</v>
      </c>
      <c r="B883" s="5838"/>
      <c r="C883" s="513"/>
      <c r="D883" s="2661" t="s">
        <v>950</v>
      </c>
      <c r="E883" s="2658">
        <v>0</v>
      </c>
      <c r="F883" s="2658">
        <v>10</v>
      </c>
      <c r="G883" s="2658">
        <v>10</v>
      </c>
      <c r="H883" s="2658">
        <v>10</v>
      </c>
      <c r="I883" s="2658">
        <v>10</v>
      </c>
      <c r="J883" s="2658">
        <v>10</v>
      </c>
      <c r="K883" s="2658">
        <v>10</v>
      </c>
      <c r="L883" s="2658"/>
      <c r="M883" s="2663"/>
      <c r="N883" s="2663" t="s">
        <v>1459</v>
      </c>
      <c r="O883" s="2663"/>
      <c r="P883" s="2663"/>
      <c r="Q883" s="2663"/>
      <c r="R883" s="2663"/>
      <c r="S883" s="2659">
        <f t="shared" si="228"/>
        <v>1</v>
      </c>
      <c r="T883" s="2658"/>
      <c r="U883" s="2658"/>
      <c r="V883" s="2658"/>
      <c r="W883" s="2658"/>
      <c r="X883" s="2658">
        <f t="shared" si="229"/>
        <v>0</v>
      </c>
      <c r="Y883" s="2658">
        <f>IF(OR(Y884&gt;0,COUNTIF(PDs!$AD$56:$AD$74,Tablas!D883)&gt;0),1,0)</f>
        <v>0</v>
      </c>
      <c r="Z883" s="2658" t="str">
        <f>IF(OR(AA883&lt;160,MAX(AB883,AC883)&lt;160,$Y$850=0),"NO","-")</f>
        <v>NO</v>
      </c>
      <c r="AA883" s="1086">
        <f t="array" ref="AA883">HA_final-PDs!$X$22+MIN(PDs!$X$22+H$917-H883,50)+MAX(V$827:V882*$Y$827:$Y882,V884:V$916*$Y884:$Y$916)</f>
        <v>-10</v>
      </c>
      <c r="AB883" s="2660">
        <f t="array" ref="AB883">HE_final-PDs!$X$24+MIN(PDs!$X$24+I$917-I883,50)+MAX(W$827:W882*$Y$827:$Y882,W884:W$916*$Y884:$Y$916)</f>
        <v>-10</v>
      </c>
      <c r="AC883" s="1338">
        <f t="array" ref="AC883">HP_final-PDs!$X$23+MIN(PDs!$X$23+J$917-J883,50)+MAX(W$827:W882*$Y$827:$Y882,W884:W$916*$Y884:$Y$916)</f>
        <v>-10</v>
      </c>
      <c r="AP883" s="592"/>
      <c r="AQ883" s="592"/>
    </row>
    <row r="884" spans="1:43" ht="12.75" customHeight="1" x14ac:dyDescent="0.2">
      <c r="A884" s="237">
        <v>884</v>
      </c>
      <c r="B884" s="5838"/>
      <c r="C884" s="513"/>
      <c r="D884" s="2661" t="s">
        <v>951</v>
      </c>
      <c r="E884" s="2658">
        <v>0</v>
      </c>
      <c r="F884" s="2658"/>
      <c r="G884" s="2658">
        <v>20</v>
      </c>
      <c r="H884" s="2658"/>
      <c r="I884" s="2658"/>
      <c r="J884" s="2658"/>
      <c r="K884" s="2658"/>
      <c r="L884" s="2658"/>
      <c r="M884" s="2663"/>
      <c r="N884" s="2663" t="s">
        <v>952</v>
      </c>
      <c r="O884" s="2663"/>
      <c r="P884" s="2663"/>
      <c r="Q884" s="2663"/>
      <c r="R884" s="2663"/>
      <c r="S884" s="2659">
        <f t="shared" si="228"/>
        <v>61</v>
      </c>
      <c r="T884" s="2658"/>
      <c r="U884" s="2658"/>
      <c r="V884" s="2658">
        <v>10</v>
      </c>
      <c r="W884" s="2658">
        <v>10</v>
      </c>
      <c r="X884" s="2658">
        <f t="shared" si="229"/>
        <v>0</v>
      </c>
      <c r="Y884" s="2658">
        <f>IF(COUNTIF(PDs!$AD$56:$AD$74,Tablas!D884)&gt;0,1,0)</f>
        <v>0</v>
      </c>
      <c r="Z884" s="2658" t="str">
        <f>IF(OR(AA884&lt;280,MAX(AB884,AC884)&lt;280,$Y$851=0,NOT(Inhumanidad)),"NO","-")</f>
        <v>NO</v>
      </c>
      <c r="AA884" s="1086">
        <f t="array" ref="AA884">HA_final-PDs!$X$22+MIN(PDs!$X$22+H$917-H884,50)+MAX(V$827:V883*$Y$827:$Y883,V885:V$916*$Y885:$Y$916)</f>
        <v>0</v>
      </c>
      <c r="AB884" s="2660">
        <f t="array" ref="AB884">HE_final-PDs!$X$24+MIN(PDs!$X$24+I$917-I884,50)+MAX(W$827:W883*$Y$827:$Y883,W885:W$916*$Y885:$Y$916)</f>
        <v>0</v>
      </c>
      <c r="AC884" s="1338">
        <f t="array" ref="AC884">HP_final-PDs!$X$23+MIN(PDs!$X$23+J$917-J884,50)+MAX(W$827:W883*$Y$827:$Y883,W885:W$916*$Y885:$Y$916)</f>
        <v>0</v>
      </c>
      <c r="AP884" s="592"/>
      <c r="AQ884" s="592"/>
    </row>
    <row r="885" spans="1:43" ht="12.75" customHeight="1" x14ac:dyDescent="0.2">
      <c r="A885" s="237">
        <v>885</v>
      </c>
      <c r="B885" s="5838"/>
      <c r="C885" s="513"/>
      <c r="D885" s="2661" t="s">
        <v>953</v>
      </c>
      <c r="E885" s="2658">
        <v>0</v>
      </c>
      <c r="F885" s="2658">
        <v>10</v>
      </c>
      <c r="G885" s="2658">
        <v>10</v>
      </c>
      <c r="H885" s="2658">
        <v>20</v>
      </c>
      <c r="I885" s="2658"/>
      <c r="J885" s="2658"/>
      <c r="K885" s="2658"/>
      <c r="L885" s="2658"/>
      <c r="M885" s="2658">
        <v>10</v>
      </c>
      <c r="N885" s="2663" t="s">
        <v>10211</v>
      </c>
      <c r="O885" s="2663"/>
      <c r="P885" s="2663"/>
      <c r="Q885" s="2663"/>
      <c r="R885" s="2663"/>
      <c r="S885" s="2659">
        <f t="shared" si="228"/>
        <v>43</v>
      </c>
      <c r="T885" s="2658" t="s">
        <v>1555</v>
      </c>
      <c r="U885" s="2658" t="s">
        <v>1556</v>
      </c>
      <c r="V885" s="2658"/>
      <c r="W885" s="2658"/>
      <c r="X885" s="2658">
        <f t="shared" si="229"/>
        <v>0</v>
      </c>
      <c r="Y885" s="2658">
        <f>IF(OR(Y886&gt;0,COUNTIF(PDs!$AD$56:$AD$74,Tablas!D885)&gt;0),1,0)</f>
        <v>0</v>
      </c>
      <c r="Z885" s="2658" t="str">
        <f>IF(OR(NOT(OR($Y$844=1,$Y$835=1)),NOT(Extrusióndepresencia)),"NO","-")</f>
        <v>NO</v>
      </c>
      <c r="AA885" s="1086">
        <f t="array" ref="AA885">HA_final-PDs!$X$22+MIN(PDs!$X$22+H$917-H885,50)+MAX(V$827:V884*$Y$827:$Y884,V886:V$916*$Y886:$Y$916)</f>
        <v>-20</v>
      </c>
      <c r="AB885" s="2660">
        <f t="array" ref="AB885">HE_final-PDs!$X$24+MIN(PDs!$X$24+I$917-I885,50)+MAX(W$827:W884*$Y$827:$Y884,W886:W$916*$Y886:$Y$916)</f>
        <v>0</v>
      </c>
      <c r="AC885" s="1338">
        <f t="array" ref="AC885">HP_final-PDs!$X$23+MIN(PDs!$X$23+J$917-J885,50)+MAX(W$827:W884*$Y$827:$Y884,W886:W$916*$Y886:$Y$916)</f>
        <v>0</v>
      </c>
      <c r="AP885" s="592"/>
      <c r="AQ885" s="592"/>
    </row>
    <row r="886" spans="1:43" ht="12.75" customHeight="1" x14ac:dyDescent="0.2">
      <c r="A886" s="237">
        <v>886</v>
      </c>
      <c r="B886" s="5838"/>
      <c r="C886" s="513"/>
      <c r="D886" s="2661" t="s">
        <v>954</v>
      </c>
      <c r="E886" s="2658">
        <v>0</v>
      </c>
      <c r="F886" s="2658">
        <v>10</v>
      </c>
      <c r="G886" s="2658">
        <v>20</v>
      </c>
      <c r="H886" s="2658"/>
      <c r="I886" s="2658"/>
      <c r="J886" s="2658"/>
      <c r="K886" s="2658"/>
      <c r="L886" s="2658"/>
      <c r="M886" s="2658">
        <v>15</v>
      </c>
      <c r="N886" s="2663" t="s">
        <v>10212</v>
      </c>
      <c r="O886" s="2663"/>
      <c r="P886" s="2663"/>
      <c r="Q886" s="2663"/>
      <c r="R886" s="2663"/>
      <c r="S886" s="2659">
        <f t="shared" si="228"/>
        <v>67</v>
      </c>
      <c r="T886" s="2658"/>
      <c r="U886" s="2658"/>
      <c r="V886" s="2658">
        <v>20</v>
      </c>
      <c r="W886" s="2658"/>
      <c r="X886" s="2658">
        <f t="shared" si="229"/>
        <v>0</v>
      </c>
      <c r="Y886" s="2658">
        <f>IF(COUNTIF(PDs!$AD$56:$AD$74,Tablas!D886)&gt;0,1,0)</f>
        <v>0</v>
      </c>
      <c r="Z886" s="2658" t="str">
        <f>IF(OR(NOT(OR($Y$845=1,$Y$836=1)),NOT(Extrusióndepresencia),NOT(Inhumanidad),AA886&lt;280),"NO","-")</f>
        <v>NO</v>
      </c>
      <c r="AA886" s="1086">
        <f t="array" ref="AA886">HA_final-PDs!$X$22+MIN(PDs!$X$22+H$917-H886,50)+MAX(V$827:V885*$Y$827:$Y885,V887:V$916*$Y887:$Y$916)</f>
        <v>0</v>
      </c>
      <c r="AB886" s="2660">
        <f t="array" ref="AB886">HE_final-PDs!$X$24+MIN(PDs!$X$24+I$917-I886,50)+MAX(W$827:W885*$Y$827:$Y885,W887:W$916*$Y887:$Y$916)</f>
        <v>0</v>
      </c>
      <c r="AC886" s="1338">
        <f t="array" ref="AC886">HP_final-PDs!$X$23+MIN(PDs!$X$23+J$917-J886,50)+MAX(W$827:W885*$Y$827:$Y885,W887:W$916*$Y887:$Y$916)</f>
        <v>0</v>
      </c>
      <c r="AP886" s="592"/>
      <c r="AQ886" s="592"/>
    </row>
    <row r="887" spans="1:43" ht="12.75" customHeight="1" x14ac:dyDescent="0.2">
      <c r="A887" s="237">
        <v>887</v>
      </c>
      <c r="B887" s="5838"/>
      <c r="C887" s="513"/>
      <c r="D887" s="2661" t="s">
        <v>955</v>
      </c>
      <c r="E887" s="2658">
        <v>0</v>
      </c>
      <c r="F887" s="2658"/>
      <c r="G887" s="2658">
        <v>10</v>
      </c>
      <c r="H887" s="2658">
        <v>20</v>
      </c>
      <c r="I887" s="2658"/>
      <c r="J887" s="2658"/>
      <c r="K887" s="2658">
        <v>10</v>
      </c>
      <c r="L887" s="2658"/>
      <c r="M887" s="2663"/>
      <c r="N887" s="2663" t="str">
        <f>IF($Y$857=0,"Desarmar sin penalizador y con +3 a los controles enfrentados","Desarmar sin penalizador y con +4 a los controles enfrentados")</f>
        <v>Desarmar sin penalizador y con +3 a los controles enfrentados</v>
      </c>
      <c r="O887" s="2663"/>
      <c r="P887" s="2663"/>
      <c r="Q887" s="2663"/>
      <c r="R887" s="2663"/>
      <c r="S887" s="2659">
        <f t="shared" si="228"/>
        <v>61</v>
      </c>
      <c r="T887" s="2658"/>
      <c r="U887" s="2658"/>
      <c r="V887" s="2658"/>
      <c r="W887" s="2658"/>
      <c r="X887" s="2658">
        <f t="shared" si="229"/>
        <v>0</v>
      </c>
      <c r="Y887" s="2658">
        <f>IF(OR(Y888&gt;0,COUNTIF(PDs!$AD$56:$AD$74,Tablas!D887)&gt;0),1,0)</f>
        <v>0</v>
      </c>
      <c r="Z887" s="2658" t="str">
        <f>IF(OR(NOT(OR($Y$844=1,$Y$846=1,$Y$856=1)),AA887&lt;200),"NO","-")</f>
        <v>NO</v>
      </c>
      <c r="AA887" s="1086">
        <f t="array" ref="AA887">HA_final-PDs!$X$22+MIN(PDs!$X$22+H$917-H887,50)+MAX(V$827:V886*$Y$827:$Y886,V888:V$916*$Y888:$Y$916)</f>
        <v>-20</v>
      </c>
      <c r="AB887" s="2660">
        <f t="array" ref="AB887">HE_final-PDs!$X$24+MIN(PDs!$X$24+I$917-I887,50)+MAX(W$827:W886*$Y$827:$Y886,W888:W$916*$Y888:$Y$916)</f>
        <v>0</v>
      </c>
      <c r="AC887" s="1338">
        <f t="array" ref="AC887">HP_final-PDs!$X$23+MIN(PDs!$X$23+J$917-J887,50)+MAX(W$827:W886*$Y$827:$Y886,W888:W$916*$Y888:$Y$916)</f>
        <v>0</v>
      </c>
      <c r="AP887" s="592"/>
      <c r="AQ887" s="592"/>
    </row>
    <row r="888" spans="1:43" ht="12.75" customHeight="1" x14ac:dyDescent="0.2">
      <c r="A888" s="237">
        <v>888</v>
      </c>
      <c r="B888" s="5838"/>
      <c r="C888" s="513"/>
      <c r="D888" s="2661" t="s">
        <v>956</v>
      </c>
      <c r="E888" s="2658">
        <v>0</v>
      </c>
      <c r="F888" s="2658"/>
      <c r="G888" s="2658">
        <v>20</v>
      </c>
      <c r="H888" s="2658"/>
      <c r="I888" s="2658"/>
      <c r="J888" s="2658"/>
      <c r="K888" s="2658">
        <v>10</v>
      </c>
      <c r="L888" s="2658"/>
      <c r="M888" s="2663"/>
      <c r="N888" s="2663" t="str">
        <f>IF($Y$857=0,"Desarmar bono +3 y sin penalizador","Desarmar bono +4 y sin penalizador")&amp;". Chequeo de Desarmar en cada Parada con éxito"</f>
        <v>Desarmar bono +3 y sin penalizador. Chequeo de Desarmar en cada Parada con éxito</v>
      </c>
      <c r="O888" s="2663"/>
      <c r="P888" s="2663"/>
      <c r="Q888" s="2663"/>
      <c r="R888" s="2663"/>
      <c r="S888" s="2659">
        <f t="shared" si="228"/>
        <v>80</v>
      </c>
      <c r="T888" s="2658"/>
      <c r="U888" s="2658"/>
      <c r="V888" s="2658">
        <v>20</v>
      </c>
      <c r="W888" s="2658"/>
      <c r="X888" s="2658">
        <f t="shared" si="229"/>
        <v>0</v>
      </c>
      <c r="Y888" s="2658">
        <f>IF(COUNTIF(PDs!$AD$56:$AD$74,Tablas!D888)&gt;0,1,0)</f>
        <v>0</v>
      </c>
      <c r="Z888" s="2658" t="str">
        <f>IF(OR(NOT(OR($Y$845=1,$Y$848=1,$Y$857=1)),AA888&lt;280,MAX(AB888,AC888)&lt;260),"NO","-")</f>
        <v>NO</v>
      </c>
      <c r="AA888" s="1086">
        <f t="array" ref="AA888">HA_final-PDs!$X$22+MIN(PDs!$X$22+H$917-H888,50)+MAX(V$827:V887*$Y$827:$Y887,V889:V$916*$Y889:$Y$916)</f>
        <v>0</v>
      </c>
      <c r="AB888" s="2660">
        <f t="array" ref="AB888">HE_final-PDs!$X$24+MIN(PDs!$X$24+I$917-I888,50)+MAX(W$827:W887*$Y$827:$Y887,W889:W$916*$Y889:$Y$916)</f>
        <v>0</v>
      </c>
      <c r="AC888" s="1338">
        <f t="array" ref="AC888">HP_final-PDs!$X$23+MIN(PDs!$X$23+J$917-J888,50)+MAX(W$827:W887*$Y$827:$Y887,W889:W$916*$Y889:$Y$916)</f>
        <v>0</v>
      </c>
      <c r="AP888" s="592"/>
      <c r="AQ888" s="592"/>
    </row>
    <row r="889" spans="1:43" ht="12.75" customHeight="1" x14ac:dyDescent="0.2">
      <c r="A889" s="237">
        <v>889</v>
      </c>
      <c r="B889" s="5838"/>
      <c r="C889" s="513"/>
      <c r="D889" s="2661" t="s">
        <v>957</v>
      </c>
      <c r="E889" s="2658">
        <v>0</v>
      </c>
      <c r="F889" s="2658"/>
      <c r="G889" s="2658">
        <v>10</v>
      </c>
      <c r="H889" s="2658"/>
      <c r="I889" s="2658">
        <v>20</v>
      </c>
      <c r="J889" s="2658">
        <v>20</v>
      </c>
      <c r="K889" s="2658"/>
      <c r="L889" s="2658"/>
      <c r="M889" s="2663"/>
      <c r="N889" s="2663" t="s">
        <v>958</v>
      </c>
      <c r="O889" s="2663"/>
      <c r="P889" s="2663"/>
      <c r="Q889" s="2663"/>
      <c r="R889" s="2663"/>
      <c r="S889" s="2659">
        <f t="shared" si="228"/>
        <v>62</v>
      </c>
      <c r="T889" s="2658"/>
      <c r="U889" s="2658"/>
      <c r="V889" s="2658"/>
      <c r="W889" s="2658"/>
      <c r="X889" s="2658">
        <f t="shared" si="229"/>
        <v>0</v>
      </c>
      <c r="Y889" s="2658">
        <f>IF(OR(Y890&gt;0,COUNTIF(PDs!$AD$56:$AD$74,Tablas!D889)&gt;0),1,0)</f>
        <v>0</v>
      </c>
      <c r="Z889" s="2658" t="str">
        <f>IF(OR(NOT(OR($Y$865=1,$Y$868=1)),AA889&lt;160,MAX(AB889,AC889)&lt;160),"NO","-")</f>
        <v>NO</v>
      </c>
      <c r="AA889" s="1086">
        <f t="array" ref="AA889">HA_final-PDs!$X$22+MIN(PDs!$X$22+H$917-H889,50)+MAX(V$827:V888*$Y$827:$Y888,V890:V$916*$Y890:$Y$916)</f>
        <v>0</v>
      </c>
      <c r="AB889" s="2660">
        <f t="array" ref="AB889">HE_final-PDs!$X$24+MIN(PDs!$X$24+I$917-I889,50)+MAX(W$827:W888*$Y$827:$Y888,W890:W$916*$Y890:$Y$916)</f>
        <v>-20</v>
      </c>
      <c r="AC889" s="1338">
        <f t="array" ref="AC889">HP_final-PDs!$X$23+MIN(PDs!$X$23+J$917-J889,50)+MAX(W$827:W888*$Y$827:$Y888,W890:W$916*$Y890:$Y$916)</f>
        <v>-20</v>
      </c>
      <c r="AP889" s="592"/>
      <c r="AQ889" s="592"/>
    </row>
    <row r="890" spans="1:43" ht="12.75" customHeight="1" x14ac:dyDescent="0.2">
      <c r="A890" s="237">
        <v>890</v>
      </c>
      <c r="B890" s="5838"/>
      <c r="C890" s="513"/>
      <c r="D890" s="2661" t="s">
        <v>959</v>
      </c>
      <c r="E890" s="2658">
        <v>0</v>
      </c>
      <c r="F890" s="2658"/>
      <c r="G890" s="2658">
        <v>20</v>
      </c>
      <c r="H890" s="2658"/>
      <c r="I890" s="2658"/>
      <c r="J890" s="2658"/>
      <c r="K890" s="2658"/>
      <c r="L890" s="2658"/>
      <c r="M890" s="2663"/>
      <c r="N890" s="2663" t="s">
        <v>8984</v>
      </c>
      <c r="O890" s="2663"/>
      <c r="P890" s="2663"/>
      <c r="Q890" s="2663"/>
      <c r="R890" s="2663"/>
      <c r="S890" s="2659">
        <f t="shared" si="228"/>
        <v>84</v>
      </c>
      <c r="T890" s="2658"/>
      <c r="U890" s="2658"/>
      <c r="V890" s="2658">
        <v>15</v>
      </c>
      <c r="W890" s="2658">
        <v>15</v>
      </c>
      <c r="X890" s="2658">
        <f t="shared" si="229"/>
        <v>0</v>
      </c>
      <c r="Y890" s="2658">
        <f>IF(COUNTIF(PDs!$AD$56:$AD$74,Tablas!D890)&gt;0,1,0)</f>
        <v>0</v>
      </c>
      <c r="Z890" s="2658" t="str">
        <f>IF(OR(NOT(OR($Y$866=1,$Y$869=1)),AA890&lt;280,MAX(AB890,AC890)&lt;280,NOT(Inhumanidad),NOT(Erudición)),"NO","-")</f>
        <v>NO</v>
      </c>
      <c r="AA890" s="1086">
        <f t="array" ref="AA890">HA_final-PDs!$X$22+MIN(PDs!$X$22+H$917-H890,50)+MAX(V$827:V889*$Y$827:$Y889,V891:V$916*$Y891:$Y$916)</f>
        <v>0</v>
      </c>
      <c r="AB890" s="2660">
        <f t="array" ref="AB890">HE_final-PDs!$X$24+MIN(PDs!$X$24+I$917-I890,50)+MAX(W$827:W889*$Y$827:$Y889,W891:W$916*$Y891:$Y$916)</f>
        <v>0</v>
      </c>
      <c r="AC890" s="1338">
        <f t="array" ref="AC890">HP_final-PDs!$X$23+MIN(PDs!$X$23+J$917-J890,50)+MAX(W$827:W889*$Y$827:$Y889,W891:W$916*$Y891:$Y$916)</f>
        <v>0</v>
      </c>
      <c r="AP890" s="592"/>
      <c r="AQ890" s="592"/>
    </row>
    <row r="891" spans="1:43" ht="12.75" customHeight="1" x14ac:dyDescent="0.2">
      <c r="A891" s="237">
        <v>891</v>
      </c>
      <c r="B891" s="5838"/>
      <c r="C891" s="513"/>
      <c r="D891" s="2661" t="s">
        <v>960</v>
      </c>
      <c r="E891" s="2658">
        <f>2*Presencia_final+Bono_Pod-Combate!$L$24</f>
        <v>40</v>
      </c>
      <c r="F891" s="2658"/>
      <c r="G891" s="2658">
        <v>15</v>
      </c>
      <c r="H891" s="2658">
        <v>10</v>
      </c>
      <c r="I891" s="2658"/>
      <c r="J891" s="2658"/>
      <c r="K891" s="2658"/>
      <c r="L891" s="2658"/>
      <c r="M891" s="2663"/>
      <c r="N891" s="2663" t="s">
        <v>961</v>
      </c>
      <c r="O891" s="2663"/>
      <c r="P891" s="2663"/>
      <c r="Q891" s="2663"/>
      <c r="R891" s="2663"/>
      <c r="S891" s="2659">
        <f t="shared" ref="S891:S916" si="230">LEN(N891)</f>
        <v>37</v>
      </c>
      <c r="T891" s="2658"/>
      <c r="U891" s="2658"/>
      <c r="V891" s="2658"/>
      <c r="W891" s="2658"/>
      <c r="X891" s="2658">
        <f t="shared" ref="X891:X916" si="231">Y891*E891</f>
        <v>0</v>
      </c>
      <c r="Y891" s="2658">
        <f>IF(OR(Y892&gt;0,COUNTIF(PDs!$AD$56:$AD$74,Tablas!D891)&gt;0),1,0)</f>
        <v>0</v>
      </c>
      <c r="Z891" s="2658" t="str">
        <f>IF(OR(NOT(OR($Y$841=1,$Y$877=1)),AA891&lt;200,NOT(Extensióndelauraalarma)),"NO","-")</f>
        <v>NO</v>
      </c>
      <c r="AA891" s="1086">
        <f t="array" ref="AA891">HA_final-PDs!$X$22+MIN(PDs!$X$22+H$917-H891,50)+MAX(V$827:V890*$Y$827:$Y890,V892:V$916*$Y892:$Y$916)</f>
        <v>-10</v>
      </c>
      <c r="AB891" s="2660">
        <f t="array" ref="AB891">HE_final-PDs!$X$24+MIN(PDs!$X$24+I$917-I891,50)+MAX(W$827:W890*$Y$827:$Y890,W892:W$916*$Y892:$Y$916)</f>
        <v>0</v>
      </c>
      <c r="AC891" s="1338">
        <f t="array" ref="AC891">HP_final-PDs!$X$23+MIN(PDs!$X$23+J$917-J891,50)+MAX(W$827:W890*$Y$827:$Y890,W892:W$916*$Y892:$Y$916)</f>
        <v>0</v>
      </c>
      <c r="AP891" s="592"/>
      <c r="AQ891" s="592"/>
    </row>
    <row r="892" spans="1:43" ht="12.75" customHeight="1" x14ac:dyDescent="0.2">
      <c r="A892" s="237">
        <v>892</v>
      </c>
      <c r="B892" s="5838"/>
      <c r="C892" s="513"/>
      <c r="D892" s="2661" t="s">
        <v>962</v>
      </c>
      <c r="E892" s="2658">
        <f>2*Presencia_final+Bono_Pod-Combate!$L$24</f>
        <v>40</v>
      </c>
      <c r="F892" s="2658"/>
      <c r="G892" s="2658">
        <v>35</v>
      </c>
      <c r="H892" s="2658"/>
      <c r="I892" s="2658"/>
      <c r="J892" s="2658"/>
      <c r="K892" s="2658"/>
      <c r="L892" s="2658"/>
      <c r="M892" s="2663"/>
      <c r="N892" s="2663" t="s">
        <v>961</v>
      </c>
      <c r="O892" s="2663"/>
      <c r="P892" s="2663"/>
      <c r="Q892" s="2663"/>
      <c r="R892" s="2663"/>
      <c r="S892" s="2659">
        <f t="shared" si="230"/>
        <v>37</v>
      </c>
      <c r="T892" s="2658"/>
      <c r="U892" s="2658"/>
      <c r="V892" s="2658">
        <v>25</v>
      </c>
      <c r="W892" s="2658"/>
      <c r="X892" s="2658">
        <f t="shared" si="231"/>
        <v>0</v>
      </c>
      <c r="Y892" s="2658">
        <f>IF(COUNTIF(PDs!$AD$56:$AD$74,Tablas!D892)&gt;0,1,0)</f>
        <v>0</v>
      </c>
      <c r="Z892" s="2658" t="str">
        <f>IF(OR(NOT(OR($Y$842=1,$Y$878=1)),AA892&lt;300,NOT(Extensióndelauraalarma),NOT(Inhumanidad)),"NO","-")</f>
        <v>NO</v>
      </c>
      <c r="AA892" s="1086">
        <f t="array" ref="AA892">HA_final-PDs!$X$22+MIN(PDs!$X$22+H$917-H892,50)+MAX(V$827:V891*$Y$827:$Y891,V893:V$916*$Y893:$Y$916)</f>
        <v>0</v>
      </c>
      <c r="AB892" s="2660">
        <f t="array" ref="AB892">HE_final-PDs!$X$24+MIN(PDs!$X$24+I$917-I892,50)+MAX(W$827:W891*$Y$827:$Y891,W893:W$916*$Y893:$Y$916)</f>
        <v>0</v>
      </c>
      <c r="AC892" s="1338">
        <f t="array" ref="AC892">HP_final-PDs!$X$23+MIN(PDs!$X$23+J$917-J892,50)+MAX(W$827:W891*$Y$827:$Y891,W893:W$916*$Y893:$Y$916)</f>
        <v>0</v>
      </c>
      <c r="AP892" s="592"/>
      <c r="AQ892" s="592"/>
    </row>
    <row r="893" spans="1:43" ht="12.75" customHeight="1" x14ac:dyDescent="0.2">
      <c r="A893" s="237">
        <v>893</v>
      </c>
      <c r="B893" s="5838"/>
      <c r="C893" s="513"/>
      <c r="D893" s="2661" t="s">
        <v>963</v>
      </c>
      <c r="E893" s="2658">
        <v>0</v>
      </c>
      <c r="F893" s="2658"/>
      <c r="G893" s="2658">
        <v>10</v>
      </c>
      <c r="H893" s="2658">
        <v>10</v>
      </c>
      <c r="I893" s="2658"/>
      <c r="J893" s="2658"/>
      <c r="K893" s="2658"/>
      <c r="L893" s="2658"/>
      <c r="M893" s="2663"/>
      <c r="N893" s="2663" t="s">
        <v>964</v>
      </c>
      <c r="O893" s="2663"/>
      <c r="P893" s="2663"/>
      <c r="Q893" s="2663"/>
      <c r="R893" s="2663"/>
      <c r="S893" s="2659">
        <f t="shared" si="230"/>
        <v>64</v>
      </c>
      <c r="T893" s="2658"/>
      <c r="U893" s="2658"/>
      <c r="V893" s="2658"/>
      <c r="W893" s="2658"/>
      <c r="X893" s="2658">
        <f t="shared" si="231"/>
        <v>0</v>
      </c>
      <c r="Y893" s="2658">
        <f>IF(OR(Y894&gt;0,COUNTIF(PDs!$AD$56:$AD$74,Tablas!D893)&gt;0),1,0)</f>
        <v>0</v>
      </c>
      <c r="Z893" s="2658" t="str">
        <f>IF(OR(NOT(OR($Y$832=1,$Y$868=1)),AA893&lt;200),"NO","-")</f>
        <v>NO</v>
      </c>
      <c r="AA893" s="1086">
        <f t="array" ref="AA893">HA_final-PDs!$X$22+MIN(PDs!$X$22+H$917-H893,50)+MAX(V$827:V892*$Y$827:$Y892,V894:V$916*$Y894:$Y$916)</f>
        <v>-10</v>
      </c>
      <c r="AB893" s="2660">
        <f t="array" ref="AB893">HE_final-PDs!$X$24+MIN(PDs!$X$24+I$917-I893,50)+MAX(W$827:W892*$Y$827:$Y892,W894:W$916*$Y894:$Y$916)</f>
        <v>0</v>
      </c>
      <c r="AC893" s="1338">
        <f t="array" ref="AC893">HP_final-PDs!$X$23+MIN(PDs!$X$23+J$917-J893,50)+MAX(W$827:W892*$Y$827:$Y892,W894:W$916*$Y894:$Y$916)</f>
        <v>0</v>
      </c>
      <c r="AP893" s="592"/>
      <c r="AQ893" s="592"/>
    </row>
    <row r="894" spans="1:43" ht="12.75" customHeight="1" x14ac:dyDescent="0.2">
      <c r="A894" s="237">
        <v>894</v>
      </c>
      <c r="B894" s="5838"/>
      <c r="C894" s="513"/>
      <c r="D894" s="2661" t="s">
        <v>965</v>
      </c>
      <c r="E894" s="2658">
        <v>0</v>
      </c>
      <c r="F894" s="2658"/>
      <c r="G894" s="2658">
        <v>20</v>
      </c>
      <c r="H894" s="2658"/>
      <c r="I894" s="2658"/>
      <c r="J894" s="2658"/>
      <c r="K894" s="2658"/>
      <c r="L894" s="2658"/>
      <c r="M894" s="2663"/>
      <c r="N894" s="2663" t="s">
        <v>8985</v>
      </c>
      <c r="O894" s="2663"/>
      <c r="P894" s="2663"/>
      <c r="Q894" s="2663"/>
      <c r="R894" s="2663"/>
      <c r="S894" s="2659">
        <f t="shared" si="230"/>
        <v>65</v>
      </c>
      <c r="T894" s="2658"/>
      <c r="U894" s="2658"/>
      <c r="V894" s="2658">
        <v>15</v>
      </c>
      <c r="W894" s="2658"/>
      <c r="X894" s="2658">
        <f t="shared" si="231"/>
        <v>0</v>
      </c>
      <c r="Y894" s="2658">
        <f>IF(COUNTIF(PDs!$AD$56:$AD$74,Tablas!D894)&gt;0,1,0)</f>
        <v>0</v>
      </c>
      <c r="Z894" s="2658" t="str">
        <f>IF(OR(NOT(OR($Y$833=1,$Y$869=1)),AA894&lt;300,NOT(Extrusióndepresencia),NOT(Inhumanidad)),"NO","-")</f>
        <v>NO</v>
      </c>
      <c r="AA894" s="1086">
        <f t="array" ref="AA894">HA_final-PDs!$X$22+MIN(PDs!$X$22+H$917-H894,50)+MAX(V$827:V893*$Y$827:$Y893,V895:V$916*$Y895:$Y$916)</f>
        <v>0</v>
      </c>
      <c r="AB894" s="2660">
        <f t="array" ref="AB894">HE_final-PDs!$X$24+MIN(PDs!$X$24+I$917-I894,50)+MAX(W$827:W893*$Y$827:$Y893,W895:W$916*$Y895:$Y$916)</f>
        <v>0</v>
      </c>
      <c r="AC894" s="1338">
        <f t="array" ref="AC894">HP_final-PDs!$X$23+MIN(PDs!$X$23+J$917-J894,50)+MAX(W$827:W893*$Y$827:$Y893,W895:W$916*$Y895:$Y$916)</f>
        <v>0</v>
      </c>
      <c r="AP894" s="592"/>
      <c r="AQ894" s="592"/>
    </row>
    <row r="895" spans="1:43" ht="12.75" customHeight="1" x14ac:dyDescent="0.2">
      <c r="A895" s="237">
        <v>895</v>
      </c>
      <c r="B895" s="5838"/>
      <c r="C895" s="513"/>
      <c r="D895" s="2661" t="s">
        <v>966</v>
      </c>
      <c r="E895" s="2658">
        <v>0</v>
      </c>
      <c r="F895" s="2658">
        <v>20</v>
      </c>
      <c r="G895" s="2658">
        <v>10</v>
      </c>
      <c r="H895" s="2658">
        <v>10</v>
      </c>
      <c r="I895" s="2658"/>
      <c r="J895" s="2658"/>
      <c r="K895" s="2658">
        <v>20</v>
      </c>
      <c r="L895" s="2658"/>
      <c r="M895" s="2663"/>
      <c r="N895" s="2663" t="s">
        <v>967</v>
      </c>
      <c r="O895" s="2663"/>
      <c r="P895" s="2663"/>
      <c r="Q895" s="2663"/>
      <c r="R895" s="2663"/>
      <c r="S895" s="2659">
        <f t="shared" si="230"/>
        <v>66</v>
      </c>
      <c r="T895" s="2658"/>
      <c r="U895" s="2658"/>
      <c r="V895" s="2658"/>
      <c r="W895" s="2658"/>
      <c r="X895" s="2658">
        <f t="shared" si="231"/>
        <v>0</v>
      </c>
      <c r="Y895" s="2658">
        <f>IF(OR(Y896&gt;0,COUNTIF(PDs!$AD$56:$AD$74,Tablas!D895)&gt;0),1,0)</f>
        <v>0</v>
      </c>
      <c r="Z895" s="2658" t="str">
        <f>IF(OR(NOT(OR($Y$859=1,$Y$868=1)),AA895&lt;200),"NO","-")</f>
        <v>NO</v>
      </c>
      <c r="AA895" s="1086">
        <f t="array" ref="AA895">HA_final-PDs!$X$22+MIN(PDs!$X$22+H$917-H895,50)+MAX(V$827:V894*$Y$827:$Y894,V896:V$916*$Y896:$Y$916)</f>
        <v>-10</v>
      </c>
      <c r="AB895" s="2660">
        <f t="array" ref="AB895">HE_final-PDs!$X$24+MIN(PDs!$X$24+I$917-I895,50)+MAX(W$827:W894*$Y$827:$Y894,W896:W$916*$Y896:$Y$916)</f>
        <v>0</v>
      </c>
      <c r="AC895" s="1338">
        <f t="array" ref="AC895">HP_final-PDs!$X$23+MIN(PDs!$X$23+J$917-J895,50)+MAX(W$827:W894*$Y$827:$Y894,W896:W$916*$Y896:$Y$916)</f>
        <v>0</v>
      </c>
      <c r="AP895" s="592"/>
      <c r="AQ895" s="592"/>
    </row>
    <row r="896" spans="1:43" ht="12.75" customHeight="1" x14ac:dyDescent="0.2">
      <c r="A896" s="237">
        <v>896</v>
      </c>
      <c r="B896" s="5838"/>
      <c r="C896" s="513"/>
      <c r="D896" s="2661" t="s">
        <v>968</v>
      </c>
      <c r="E896" s="2658">
        <v>0</v>
      </c>
      <c r="F896" s="2658">
        <v>10</v>
      </c>
      <c r="G896" s="2658">
        <v>20</v>
      </c>
      <c r="H896" s="2658"/>
      <c r="I896" s="2658"/>
      <c r="J896" s="2658"/>
      <c r="K896" s="2658">
        <v>20</v>
      </c>
      <c r="L896" s="2658"/>
      <c r="M896" s="2663"/>
      <c r="N896" s="2663" t="s">
        <v>969</v>
      </c>
      <c r="O896" s="2663"/>
      <c r="P896" s="2663"/>
      <c r="Q896" s="2663"/>
      <c r="R896" s="2663"/>
      <c r="S896" s="2659">
        <f t="shared" si="230"/>
        <v>53</v>
      </c>
      <c r="T896" s="2658"/>
      <c r="U896" s="2658"/>
      <c r="V896" s="2658">
        <v>20</v>
      </c>
      <c r="W896" s="2658"/>
      <c r="X896" s="2658">
        <f t="shared" si="231"/>
        <v>0</v>
      </c>
      <c r="Y896" s="2658">
        <f>IF(COUNTIF(PDs!$AD$56:$AD$74,Tablas!D896)&gt;0,1,0)</f>
        <v>0</v>
      </c>
      <c r="Z896" s="2658" t="str">
        <f>IF(OR(NOT(OR($Y$860=1,$Y$869=1)),AA896&lt;300,NOT(Usodelaenergíanecesaria),NOT(Inhumanidad)),"NO","-")</f>
        <v>NO</v>
      </c>
      <c r="AA896" s="1086">
        <f t="array" ref="AA896">HA_final-PDs!$X$22+MIN(PDs!$X$22+H$917-H896,50)+MAX(V$827:V895*$Y$827:$Y895,V897:V$916*$Y897:$Y$916)</f>
        <v>0</v>
      </c>
      <c r="AB896" s="2660">
        <f t="array" ref="AB896">HE_final-PDs!$X$24+MIN(PDs!$X$24+I$917-I896,50)+MAX(W$827:W895*$Y$827:$Y895,W897:W$916*$Y897:$Y$916)</f>
        <v>0</v>
      </c>
      <c r="AC896" s="1338">
        <f t="array" ref="AC896">HP_final-PDs!$X$23+MIN(PDs!$X$23+J$917-J896,50)+MAX(W$827:W895*$Y$827:$Y895,W897:W$916*$Y897:$Y$916)</f>
        <v>0</v>
      </c>
      <c r="AP896" s="592"/>
      <c r="AQ896" s="592"/>
    </row>
    <row r="897" spans="1:43" ht="12.75" customHeight="1" x14ac:dyDescent="0.2">
      <c r="A897" s="237">
        <v>897</v>
      </c>
      <c r="B897" s="5838"/>
      <c r="C897" s="513"/>
      <c r="D897" s="2661" t="s">
        <v>970</v>
      </c>
      <c r="E897" s="2658">
        <v>0</v>
      </c>
      <c r="F897" s="2658"/>
      <c r="G897" s="2658">
        <v>10</v>
      </c>
      <c r="H897" s="2658"/>
      <c r="I897" s="2658">
        <v>10</v>
      </c>
      <c r="J897" s="2658">
        <v>10</v>
      </c>
      <c r="K897" s="2658"/>
      <c r="L897" s="2658"/>
      <c r="M897" s="2663"/>
      <c r="N897" s="2663" t="s">
        <v>8986</v>
      </c>
      <c r="O897" s="2663"/>
      <c r="P897" s="2663"/>
      <c r="Q897" s="2663"/>
      <c r="R897" s="2663"/>
      <c r="S897" s="2659">
        <f t="shared" si="230"/>
        <v>46</v>
      </c>
      <c r="T897" s="2658"/>
      <c r="U897" s="2658"/>
      <c r="V897" s="2658"/>
      <c r="W897" s="2658"/>
      <c r="X897" s="2658">
        <f t="shared" si="231"/>
        <v>0</v>
      </c>
      <c r="Y897" s="2658">
        <f>IF(OR(Y898&gt;0,COUNTIF(PDs!$AD$56:$AD$74,Tablas!D897)&gt;0),1,0)</f>
        <v>0</v>
      </c>
      <c r="Z897" s="2658" t="str">
        <f>IF(OR($Y$871=0,Advertir_final&lt;200,MAX(AB897,AC897)&lt;200,NOT(DeteccióndelKi)),"NO","-")</f>
        <v>NO</v>
      </c>
      <c r="AA897" s="1086">
        <f t="array" ref="AA897">HA_final-PDs!$X$22+MIN(PDs!$X$22+H$917-H897,50)+MAX(V$827:V896*$Y$827:$Y896,V898:V$916*$Y898:$Y$916)</f>
        <v>0</v>
      </c>
      <c r="AB897" s="2660">
        <f t="array" ref="AB897">HE_final-PDs!$X$24+MIN(PDs!$X$24+I$917-I897,50)+MAX(W$827:W896*$Y$827:$Y896,W898:W$916*$Y898:$Y$916)</f>
        <v>-10</v>
      </c>
      <c r="AC897" s="1338">
        <f t="array" ref="AC897">HP_final-PDs!$X$23+MIN(PDs!$X$23+J$917-J897,50)+MAX(W$827:W896*$Y$827:$Y896,W898:W$916*$Y898:$Y$916)</f>
        <v>-10</v>
      </c>
      <c r="AP897" s="592"/>
      <c r="AQ897" s="592"/>
    </row>
    <row r="898" spans="1:43" ht="12.75" customHeight="1" x14ac:dyDescent="0.2">
      <c r="A898" s="237">
        <v>898</v>
      </c>
      <c r="B898" s="5838"/>
      <c r="C898" s="513"/>
      <c r="D898" s="2661" t="s">
        <v>971</v>
      </c>
      <c r="E898" s="2658">
        <v>0</v>
      </c>
      <c r="F898" s="2658"/>
      <c r="G898" s="2658">
        <v>20</v>
      </c>
      <c r="H898" s="2658"/>
      <c r="I898" s="2658"/>
      <c r="J898" s="2658"/>
      <c r="K898" s="2658"/>
      <c r="L898" s="2658"/>
      <c r="M898" s="2663"/>
      <c r="N898" s="2663" t="s">
        <v>8987</v>
      </c>
      <c r="O898" s="2663"/>
      <c r="P898" s="2663"/>
      <c r="Q898" s="2663"/>
      <c r="R898" s="2663"/>
      <c r="S898" s="2659">
        <f t="shared" si="230"/>
        <v>84</v>
      </c>
      <c r="T898" s="2658"/>
      <c r="U898" s="2658"/>
      <c r="V898" s="2658">
        <v>20</v>
      </c>
      <c r="W898" s="2658"/>
      <c r="X898" s="2658">
        <f t="shared" si="231"/>
        <v>0</v>
      </c>
      <c r="Y898" s="2658">
        <f>IF(COUNTIF(PDs!$AD$56:$AD$74,Tablas!D898)&gt;0,1,0)</f>
        <v>0</v>
      </c>
      <c r="Z898" s="2658" t="str">
        <f>IF(OR($Y$872=0,Advertir_final&lt;240,MAX(AB898,AC898)&lt;300,NOT(Inhumanidad),NOT(Erudición)),"NO","-")</f>
        <v>NO</v>
      </c>
      <c r="AA898" s="1086">
        <f t="array" ref="AA898">HA_final-PDs!$X$22+MIN(PDs!$X$22+H$917-H898,50)+MAX(V$827:V897*$Y$827:$Y897,V899:V$916*$Y899:$Y$916)</f>
        <v>0</v>
      </c>
      <c r="AB898" s="2660">
        <f t="array" ref="AB898">HE_final-PDs!$X$24+MIN(PDs!$X$24+I$917-I898,50)+MAX(W$827:W897*$Y$827:$Y897,W899:W$916*$Y899:$Y$916)</f>
        <v>0</v>
      </c>
      <c r="AC898" s="1338">
        <f t="array" ref="AC898">HP_final-PDs!$X$23+MIN(PDs!$X$23+J$917-J898,50)+MAX(W$827:W897*$Y$827:$Y897,W899:W$916*$Y899:$Y$916)</f>
        <v>0</v>
      </c>
      <c r="AP898" s="592"/>
      <c r="AQ898" s="592"/>
    </row>
    <row r="899" spans="1:43" ht="12.75" customHeight="1" x14ac:dyDescent="0.2">
      <c r="A899" s="237">
        <v>899</v>
      </c>
      <c r="B899" s="5838"/>
      <c r="C899" s="513"/>
      <c r="D899" s="2661" t="s">
        <v>972</v>
      </c>
      <c r="E899" s="2658">
        <v>0</v>
      </c>
      <c r="F899" s="2658"/>
      <c r="G899" s="2658">
        <v>10</v>
      </c>
      <c r="H899" s="2658"/>
      <c r="I899" s="2658">
        <v>20</v>
      </c>
      <c r="J899" s="2658">
        <v>20</v>
      </c>
      <c r="K899" s="2658"/>
      <c r="L899" s="2658"/>
      <c r="M899" s="2663"/>
      <c r="N899" s="2663" t="s">
        <v>973</v>
      </c>
      <c r="O899" s="2663"/>
      <c r="P899" s="2663"/>
      <c r="Q899" s="2663"/>
      <c r="R899" s="2663"/>
      <c r="S899" s="2659">
        <f t="shared" si="230"/>
        <v>44</v>
      </c>
      <c r="T899" s="2658"/>
      <c r="U899" s="2658"/>
      <c r="V899" s="2658"/>
      <c r="W899" s="2658"/>
      <c r="X899" s="2658">
        <f t="shared" si="231"/>
        <v>0</v>
      </c>
      <c r="Y899" s="2658">
        <f>IF(OR(Y900&gt;0,COUNTIF(PDs!$AD$56:$AD$74,Tablas!D899)&gt;0),1,0)</f>
        <v>0</v>
      </c>
      <c r="Z899" s="2658" t="str">
        <f>IF(OR($Y$853=0,Estilo_final&lt;120,MAX(AB899,AC899)&lt;220,NOT(DeteccióndelKi)),"NO","-")</f>
        <v>NO</v>
      </c>
      <c r="AA899" s="1086">
        <f t="array" ref="AA899">HA_final-PDs!$X$22+MIN(PDs!$X$22+H$917-H899,50)+MAX(V$827:V898*$Y$827:$Y898,V900:V$916*$Y900:$Y$916)</f>
        <v>0</v>
      </c>
      <c r="AB899" s="2660">
        <f t="array" ref="AB899">HE_final-PDs!$X$24+MIN(PDs!$X$24+I$917-I899,50)+MAX(W$827:W898*$Y$827:$Y898,W900:W$916*$Y900:$Y$916)</f>
        <v>-20</v>
      </c>
      <c r="AC899" s="1338">
        <f t="array" ref="AC899">HP_final-PDs!$X$23+MIN(PDs!$X$23+J$917-J899,50)+MAX(W$827:W898*$Y$827:$Y898,W900:W$916*$Y900:$Y$916)</f>
        <v>-20</v>
      </c>
      <c r="AP899" s="592"/>
      <c r="AQ899" s="592"/>
    </row>
    <row r="900" spans="1:43" ht="12.75" customHeight="1" x14ac:dyDescent="0.2">
      <c r="A900" s="237">
        <v>900</v>
      </c>
      <c r="B900" s="5838"/>
      <c r="C900" s="513"/>
      <c r="D900" s="2661" t="s">
        <v>974</v>
      </c>
      <c r="E900" s="2658">
        <v>0</v>
      </c>
      <c r="F900" s="2658"/>
      <c r="G900" s="2658">
        <v>20</v>
      </c>
      <c r="H900" s="2658"/>
      <c r="I900" s="2658"/>
      <c r="J900" s="2658"/>
      <c r="K900" s="2658"/>
      <c r="L900" s="2658"/>
      <c r="M900" s="2663"/>
      <c r="N900" s="2663" t="s">
        <v>975</v>
      </c>
      <c r="O900" s="2663"/>
      <c r="P900" s="2663"/>
      <c r="Q900" s="2663"/>
      <c r="R900" s="2663"/>
      <c r="S900" s="2659">
        <f t="shared" si="230"/>
        <v>49</v>
      </c>
      <c r="T900" s="2658"/>
      <c r="U900" s="2658"/>
      <c r="V900" s="2658"/>
      <c r="W900" s="2658">
        <v>20</v>
      </c>
      <c r="X900" s="2658">
        <f t="shared" si="231"/>
        <v>0</v>
      </c>
      <c r="Y900" s="2658">
        <f>IF(COUNTIF(PDs!$AD$56:$AD$74,Tablas!D900)&gt;0,1,0)</f>
        <v>0</v>
      </c>
      <c r="Z900" s="2658" t="str">
        <f>IF(OR($Y$854=0,Estilo_final&lt;140,MAX(AB900,AC900)&lt;300,NOT(DeteccióndelKi),NOT(Erudición)),"NO","-")</f>
        <v>NO</v>
      </c>
      <c r="AA900" s="1086">
        <f t="array" ref="AA900">HA_final-PDs!$X$22+MIN(PDs!$X$22+H$917-H900,50)+MAX(V$827:V899*$Y$827:$Y899,V901:V$916*$Y901:$Y$916)</f>
        <v>0</v>
      </c>
      <c r="AB900" s="2660">
        <f t="array" ref="AB900">HE_final-PDs!$X$24+MIN(PDs!$X$24+I$917-I900,50)+MAX(W$827:W899*$Y$827:$Y899,W901:W$916*$Y901:$Y$916)</f>
        <v>0</v>
      </c>
      <c r="AC900" s="1338">
        <f t="array" ref="AC900">HP_final-PDs!$X$23+MIN(PDs!$X$23+J$917-J900,50)+MAX(W$827:W899*$Y$827:$Y899,W901:W$916*$Y901:$Y$916)</f>
        <v>0</v>
      </c>
      <c r="AP900" s="592"/>
      <c r="AQ900" s="592"/>
    </row>
    <row r="901" spans="1:43" ht="12.75" customHeight="1" x14ac:dyDescent="0.2">
      <c r="A901" s="237">
        <v>901</v>
      </c>
      <c r="B901" s="5838"/>
      <c r="C901" s="513"/>
      <c r="D901" s="2661" t="s">
        <v>976</v>
      </c>
      <c r="E901" s="2658">
        <v>0</v>
      </c>
      <c r="F901" s="2658"/>
      <c r="G901" s="2658">
        <v>10</v>
      </c>
      <c r="H901" s="2658">
        <v>10</v>
      </c>
      <c r="I901" s="2658"/>
      <c r="J901" s="2658"/>
      <c r="K901" s="2658"/>
      <c r="L901" s="2658"/>
      <c r="M901" s="2663"/>
      <c r="N901" s="2663" t="s">
        <v>977</v>
      </c>
      <c r="O901" s="2663"/>
      <c r="P901" s="2663"/>
      <c r="Q901" s="2663"/>
      <c r="R901" s="2663"/>
      <c r="S901" s="2659">
        <f t="shared" si="230"/>
        <v>52</v>
      </c>
      <c r="T901" s="2658"/>
      <c r="U901" s="2658"/>
      <c r="V901" s="2658"/>
      <c r="W901" s="2658"/>
      <c r="X901" s="2658">
        <f t="shared" si="231"/>
        <v>0</v>
      </c>
      <c r="Y901" s="2658">
        <f>IF(OR(Y902&gt;0,COUNTIF(PDs!$AD$56:$AD$74,Tablas!D901)&gt;0),1,0)</f>
        <v>0</v>
      </c>
      <c r="Z901" s="2658" t="str">
        <f>IF(OR(NOT(OR($Y$838=1,$Y$862=1)),AA901&lt;160,MAX(AB901,AC901)&lt;160,NOT(Inhumanidad)),"NO","-")</f>
        <v>NO</v>
      </c>
      <c r="AA901" s="1086">
        <f t="array" ref="AA901">HA_final-PDs!$X$22+MIN(PDs!$X$22+H$917-H901,50)+MAX(V$827:V900*$Y$827:$Y900,V902:V$916*$Y902:$Y$916)</f>
        <v>-10</v>
      </c>
      <c r="AB901" s="2660">
        <f t="array" ref="AB901">HE_final-PDs!$X$24+MIN(PDs!$X$24+I$917-I901,50)+MAX(W$827:W900*$Y$827:$Y900,W902:W$916*$Y902:$Y$916)</f>
        <v>0</v>
      </c>
      <c r="AC901" s="1338">
        <f t="array" ref="AC901">HP_final-PDs!$X$23+MIN(PDs!$X$23+J$917-J901,50)+MAX(W$827:W900*$Y$827:$Y900,W902:W$916*$Y902:$Y$916)</f>
        <v>0</v>
      </c>
      <c r="AP901" s="592"/>
      <c r="AQ901" s="592"/>
    </row>
    <row r="902" spans="1:43" ht="12.75" customHeight="1" x14ac:dyDescent="0.2">
      <c r="A902" s="237">
        <v>902</v>
      </c>
      <c r="B902" s="5838"/>
      <c r="C902" s="513"/>
      <c r="D902" s="2661" t="s">
        <v>978</v>
      </c>
      <c r="E902" s="2658">
        <v>0</v>
      </c>
      <c r="F902" s="2658"/>
      <c r="G902" s="2658">
        <v>20</v>
      </c>
      <c r="H902" s="2658"/>
      <c r="I902" s="2658"/>
      <c r="J902" s="2658"/>
      <c r="K902" s="2658"/>
      <c r="L902" s="2658"/>
      <c r="M902" s="2663"/>
      <c r="N902" s="2663" t="s">
        <v>8988</v>
      </c>
      <c r="O902" s="2663"/>
      <c r="P902" s="2663"/>
      <c r="Q902" s="2663"/>
      <c r="R902" s="2663"/>
      <c r="S902" s="2659">
        <f t="shared" si="230"/>
        <v>83</v>
      </c>
      <c r="T902" s="2658"/>
      <c r="U902" s="2658"/>
      <c r="V902" s="2658">
        <v>10</v>
      </c>
      <c r="W902" s="2658">
        <v>10</v>
      </c>
      <c r="X902" s="2658">
        <f t="shared" si="231"/>
        <v>0</v>
      </c>
      <c r="Y902" s="2658">
        <f>IF(COUNTIF(PDs!$AD$56:$AD$74,Tablas!D902)&gt;0,1,0)</f>
        <v>0</v>
      </c>
      <c r="Z902" s="2658" t="str">
        <f>IF(OR(NOT(OR($Y$839=1,$Y$863=1)),AA902&lt;260,MAX(AB902,AC902)&lt;260,NOT(Inhumanidad)),"NO","-")</f>
        <v>NO</v>
      </c>
      <c r="AA902" s="1086">
        <f t="array" ref="AA902">HA_final-PDs!$X$22+MIN(PDs!$X$22+H$917-H902,50)+MAX(V$827:V901*$Y$827:$Y901,V903:V$916*$Y903:$Y$916)</f>
        <v>0</v>
      </c>
      <c r="AB902" s="2660">
        <f t="array" ref="AB902">HE_final-PDs!$X$24+MIN(PDs!$X$24+I$917-I902,50)+MAX(W$827:W901*$Y$827:$Y901,W903:W$916*$Y903:$Y$916)</f>
        <v>0</v>
      </c>
      <c r="AC902" s="1338">
        <f t="array" ref="AC902">HP_final-PDs!$X$23+MIN(PDs!$X$23+J$917-J902,50)+MAX(W$827:W901*$Y$827:$Y901,W903:W$916*$Y903:$Y$916)</f>
        <v>0</v>
      </c>
      <c r="AP902" s="592"/>
      <c r="AQ902" s="592"/>
    </row>
    <row r="903" spans="1:43" ht="12.75" customHeight="1" x14ac:dyDescent="0.2">
      <c r="A903" s="237">
        <v>903</v>
      </c>
      <c r="B903" s="5838"/>
      <c r="C903" s="513"/>
      <c r="D903" s="2661" t="s">
        <v>979</v>
      </c>
      <c r="E903" s="2658">
        <v>0</v>
      </c>
      <c r="F903" s="2658"/>
      <c r="G903" s="2658">
        <v>15</v>
      </c>
      <c r="H903" s="2658">
        <v>10</v>
      </c>
      <c r="I903" s="2658"/>
      <c r="J903" s="2658"/>
      <c r="K903" s="2658"/>
      <c r="L903" s="2658"/>
      <c r="M903" s="2663"/>
      <c r="N903" s="2663" t="s">
        <v>8989</v>
      </c>
      <c r="O903" s="2663"/>
      <c r="P903" s="2663"/>
      <c r="Q903" s="2663"/>
      <c r="R903" s="2663"/>
      <c r="S903" s="2659">
        <f t="shared" si="230"/>
        <v>66</v>
      </c>
      <c r="T903" s="2658"/>
      <c r="U903" s="2658"/>
      <c r="V903" s="2658"/>
      <c r="W903" s="2658"/>
      <c r="X903" s="2658">
        <f t="shared" si="231"/>
        <v>0</v>
      </c>
      <c r="Y903" s="2658">
        <f>IF(OR(Y904&gt;0,COUNTIF(PDs!$AD$56:$AD$74,Tablas!D903)&gt;0),1,0)</f>
        <v>0</v>
      </c>
      <c r="Z903" s="2658" t="str">
        <f>IF(OR(NOT(OR($Y$850=1,$Y$880=1)),Medicina_final="-",NOT(OR(Medicina_final&gt;=100,AND(PDs!I149="Anatomía",Medicina_final&gt;=60))),AA903&lt;200),"NO","-")</f>
        <v>NO</v>
      </c>
      <c r="AA903" s="1086">
        <f t="array" ref="AA903">HA_final-PDs!$X$22+MIN(PDs!$X$22+H$917-H903,50)+MAX(V$827:V902*$Y$827:$Y902,V904:V$916*$Y904:$Y$916)</f>
        <v>-10</v>
      </c>
      <c r="AB903" s="2660">
        <f t="array" ref="AB903">HE_final-PDs!$X$24+MIN(PDs!$X$24+I$917-I903,50)+MAX(W$827:W902*$Y$827:$Y902,W904:W$916*$Y904:$Y$916)</f>
        <v>0</v>
      </c>
      <c r="AC903" s="1338">
        <f t="array" ref="AC903">HP_final-PDs!$X$23+MIN(PDs!$X$23+J$917-J903,50)+MAX(W$827:W902*$Y$827:$Y902,W904:W$916*$Y904:$Y$916)</f>
        <v>0</v>
      </c>
      <c r="AP903" s="592"/>
      <c r="AQ903" s="592"/>
    </row>
    <row r="904" spans="1:43" ht="12.75" customHeight="1" x14ac:dyDescent="0.2">
      <c r="A904" s="237">
        <v>904</v>
      </c>
      <c r="B904" s="5838"/>
      <c r="C904" s="513"/>
      <c r="D904" s="2661" t="s">
        <v>980</v>
      </c>
      <c r="E904" s="2658">
        <v>0</v>
      </c>
      <c r="F904" s="2658"/>
      <c r="G904" s="2658">
        <v>30</v>
      </c>
      <c r="H904" s="2658"/>
      <c r="I904" s="2658"/>
      <c r="J904" s="2658"/>
      <c r="K904" s="2658"/>
      <c r="L904" s="2658"/>
      <c r="M904" s="2663"/>
      <c r="N904" s="2663" t="s">
        <v>8990</v>
      </c>
      <c r="O904" s="2663"/>
      <c r="P904" s="2663"/>
      <c r="Q904" s="2663"/>
      <c r="R904" s="2663"/>
      <c r="S904" s="2659">
        <f t="shared" si="230"/>
        <v>80</v>
      </c>
      <c r="T904" s="2658"/>
      <c r="U904" s="2658"/>
      <c r="V904" s="2658">
        <v>20</v>
      </c>
      <c r="W904" s="2658"/>
      <c r="X904" s="2658">
        <f t="shared" si="231"/>
        <v>0</v>
      </c>
      <c r="Y904" s="2658">
        <f>IF(COUNTIF(PDs!$AD$56:$AD$74,Tablas!D904)&gt;0,1,0)</f>
        <v>0</v>
      </c>
      <c r="Z904" s="2658" t="str">
        <f>IF(OR(NOT(OR($Y$851=1,$Y$881=1)),Medicina_final="-",NOT(OR(Medicina_final&gt;=120,AND(PDs!I149="Anatomía",Medicina_final&gt;=80))),AA904&lt;300,NOT(Inhumanidad)),"NO","-")</f>
        <v>NO</v>
      </c>
      <c r="AA904" s="1086">
        <f t="array" ref="AA904">HA_final-PDs!$X$22+MIN(PDs!$X$22+H$917-H904,50)+MAX(V$827:V903*$Y$827:$Y903,V905:V$916*$Y905:$Y$916)</f>
        <v>0</v>
      </c>
      <c r="AB904" s="2660">
        <f t="array" ref="AB904">HE_final-PDs!$X$24+MIN(PDs!$X$24+I$917-I904,50)+MAX(W$827:W903*$Y$827:$Y903,W905:W$916*$Y905:$Y$916)</f>
        <v>0</v>
      </c>
      <c r="AC904" s="1338">
        <f t="array" ref="AC904">HP_final-PDs!$X$23+MIN(PDs!$X$23+J$917-J904,50)+MAX(W$827:W903*$Y$827:$Y903,W905:W$916*$Y905:$Y$916)</f>
        <v>0</v>
      </c>
      <c r="AP904" s="592"/>
      <c r="AQ904" s="592"/>
    </row>
    <row r="905" spans="1:43" ht="12.75" customHeight="1" x14ac:dyDescent="0.2">
      <c r="A905" s="237">
        <v>905</v>
      </c>
      <c r="B905" s="5838"/>
      <c r="C905" s="513"/>
      <c r="D905" s="2661" t="s">
        <v>981</v>
      </c>
      <c r="E905" s="2658">
        <v>0</v>
      </c>
      <c r="F905" s="2658"/>
      <c r="G905" s="2658">
        <v>10</v>
      </c>
      <c r="H905" s="2658"/>
      <c r="I905" s="2658">
        <v>10</v>
      </c>
      <c r="J905" s="2658">
        <v>10</v>
      </c>
      <c r="K905" s="2658"/>
      <c r="L905" s="2658"/>
      <c r="M905" s="2663"/>
      <c r="N905" s="2663" t="s">
        <v>982</v>
      </c>
      <c r="O905" s="2663"/>
      <c r="P905" s="2663"/>
      <c r="Q905" s="2663"/>
      <c r="R905" s="2663"/>
      <c r="S905" s="2659">
        <f t="shared" si="230"/>
        <v>36</v>
      </c>
      <c r="T905" s="2658"/>
      <c r="U905" s="2658"/>
      <c r="V905" s="2658"/>
      <c r="W905" s="2658"/>
      <c r="X905" s="2658">
        <f t="shared" si="231"/>
        <v>0</v>
      </c>
      <c r="Y905" s="2658">
        <f>IF(OR(Y906&gt;0,COUNTIF(PDs!$AD$56:$AD$74,Tablas!D905)&gt;0),1,0)</f>
        <v>0</v>
      </c>
      <c r="Z905" s="2658" t="str">
        <f>IF(OR(NOT(OR($Y$859=1,$Y$856=1)),MAX(AB905,AC905)&lt;200,NOT(Inhumanidad)),"NO","-")</f>
        <v>NO</v>
      </c>
      <c r="AA905" s="1086">
        <f t="array" ref="AA905">HA_final-PDs!$X$22+MIN(PDs!$X$22+H$917-H905,50)+MAX(V$827:V904*$Y$827:$Y904,V906:V$916*$Y906:$Y$916)</f>
        <v>0</v>
      </c>
      <c r="AB905" s="2660">
        <f t="array" ref="AB905">HE_final-PDs!$X$24+MIN(PDs!$X$24+I$917-I905,50)+MAX(W$827:W904*$Y$827:$Y904,W906:W$916*$Y906:$Y$916)</f>
        <v>-10</v>
      </c>
      <c r="AC905" s="1338">
        <f t="array" ref="AC905">HP_final-PDs!$X$23+MIN(PDs!$X$23+J$917-J905,50)+MAX(W$827:W904*$Y$827:$Y904,W906:W$916*$Y906:$Y$916)</f>
        <v>-10</v>
      </c>
      <c r="AP905" s="592"/>
      <c r="AQ905" s="592"/>
    </row>
    <row r="906" spans="1:43" ht="12.75" customHeight="1" x14ac:dyDescent="0.2">
      <c r="A906" s="237">
        <v>906</v>
      </c>
      <c r="B906" s="5838"/>
      <c r="C906" s="513"/>
      <c r="D906" s="2661" t="s">
        <v>983</v>
      </c>
      <c r="E906" s="2658">
        <v>0</v>
      </c>
      <c r="F906" s="2658"/>
      <c r="G906" s="2658">
        <v>30</v>
      </c>
      <c r="H906" s="2658"/>
      <c r="I906" s="2658"/>
      <c r="J906" s="2658"/>
      <c r="K906" s="2658"/>
      <c r="L906" s="2658"/>
      <c r="M906" s="2663"/>
      <c r="N906" s="2663" t="s">
        <v>984</v>
      </c>
      <c r="O906" s="2663"/>
      <c r="P906" s="2663"/>
      <c r="Q906" s="2663"/>
      <c r="R906" s="2663"/>
      <c r="S906" s="2659">
        <f t="shared" si="230"/>
        <v>37</v>
      </c>
      <c r="T906" s="2658"/>
      <c r="U906" s="2658"/>
      <c r="V906" s="2658"/>
      <c r="W906" s="2658">
        <v>20</v>
      </c>
      <c r="X906" s="2658">
        <f t="shared" si="231"/>
        <v>0</v>
      </c>
      <c r="Y906" s="2658">
        <f>IF(COUNTIF(PDs!$AD$56:$AD$74,Tablas!D906)&gt;0,1,0)</f>
        <v>0</v>
      </c>
      <c r="Z906" s="2658" t="str">
        <f>IF(OR(NOT(OR($Y$860=1,$Y$857=1)),MAX(AB906,AC906)&lt;300,NOT(Zen)),"NO","-")</f>
        <v>NO</v>
      </c>
      <c r="AA906" s="1086">
        <f t="array" ref="AA906">HA_final-PDs!$X$22+MIN(PDs!$X$22+H$917-H906,50)+MAX(V$827:V905*$Y$827:$Y905,V907:V$916*$Y907:$Y$916)</f>
        <v>0</v>
      </c>
      <c r="AB906" s="2660">
        <f t="array" ref="AB906">HE_final-PDs!$X$24+MIN(PDs!$X$24+I$917-I906,50)+MAX(W$827:W905*$Y$827:$Y905,W907:W$916*$Y907:$Y$916)</f>
        <v>0</v>
      </c>
      <c r="AC906" s="1338">
        <f t="array" ref="AC906">HP_final-PDs!$X$23+MIN(PDs!$X$23+J$917-J906,50)+MAX(W$827:W905*$Y$827:$Y905,W907:W$916*$Y907:$Y$916)</f>
        <v>0</v>
      </c>
      <c r="AP906" s="592"/>
      <c r="AQ906" s="592"/>
    </row>
    <row r="907" spans="1:43" ht="12.75" customHeight="1" x14ac:dyDescent="0.2">
      <c r="A907" s="237">
        <v>907</v>
      </c>
      <c r="B907" s="5838"/>
      <c r="C907" s="513"/>
      <c r="D907" s="2661" t="s">
        <v>985</v>
      </c>
      <c r="E907" s="2658">
        <v>0</v>
      </c>
      <c r="F907" s="2658"/>
      <c r="G907" s="2658">
        <v>10</v>
      </c>
      <c r="H907" s="2658"/>
      <c r="I907" s="2658">
        <v>20</v>
      </c>
      <c r="J907" s="2658">
        <v>20</v>
      </c>
      <c r="K907" s="2658"/>
      <c r="L907" s="2658"/>
      <c r="M907" s="2663"/>
      <c r="N907" s="2663" t="s">
        <v>8991</v>
      </c>
      <c r="O907" s="2663"/>
      <c r="P907" s="2663"/>
      <c r="Q907" s="2663"/>
      <c r="R907" s="2663"/>
      <c r="S907" s="2659">
        <f t="shared" si="230"/>
        <v>49</v>
      </c>
      <c r="T907" s="2658"/>
      <c r="U907" s="2658"/>
      <c r="V907" s="2658"/>
      <c r="W907" s="2658"/>
      <c r="X907" s="2658">
        <f t="shared" si="231"/>
        <v>0</v>
      </c>
      <c r="Y907" s="2658">
        <f>IF(OR(Y908&gt;0,COUNTIF(PDs!$AD$56:$AD$74,Tablas!D907)&gt;0),1,0)</f>
        <v>0</v>
      </c>
      <c r="Z907" s="2658" t="str">
        <f>IF(OR($Y$829=0,MAX(AB907,AC907)&lt;200),"NO","-")</f>
        <v>NO</v>
      </c>
      <c r="AA907" s="1086">
        <f t="array" ref="AA907">HA_final-PDs!$X$22+MIN(PDs!$X$22+H$917-H907,50)+MAX(V$827:V906*$Y$827:$Y906,V908:V$916*$Y908:$Y$916)</f>
        <v>0</v>
      </c>
      <c r="AB907" s="2660">
        <f t="array" ref="AB907">HE_final-PDs!$X$24+MIN(PDs!$X$24+I$917-I907,50)+MAX(W$827:W906*$Y$827:$Y906,W908:W$916*$Y908:$Y$916)</f>
        <v>-20</v>
      </c>
      <c r="AC907" s="1338">
        <f t="array" ref="AC907">HP_final-PDs!$X$23+MIN(PDs!$X$23+J$917-J907,50)+MAX(W$827:W906*$Y$827:$Y906,W908:W$916*$Y908:$Y$916)</f>
        <v>-20</v>
      </c>
      <c r="AP907" s="592"/>
      <c r="AQ907" s="592"/>
    </row>
    <row r="908" spans="1:43" ht="12.75" customHeight="1" x14ac:dyDescent="0.2">
      <c r="A908" s="237">
        <v>908</v>
      </c>
      <c r="B908" s="5838"/>
      <c r="C908" s="513"/>
      <c r="D908" s="2661" t="s">
        <v>986</v>
      </c>
      <c r="E908" s="2658">
        <v>0</v>
      </c>
      <c r="F908" s="2658"/>
      <c r="G908" s="2658">
        <v>20</v>
      </c>
      <c r="H908" s="2658"/>
      <c r="I908" s="2658"/>
      <c r="J908" s="2658"/>
      <c r="K908" s="2658"/>
      <c r="L908" s="2658"/>
      <c r="M908" s="2663"/>
      <c r="N908" s="2663" t="s">
        <v>8992</v>
      </c>
      <c r="O908" s="2663"/>
      <c r="P908" s="2663"/>
      <c r="Q908" s="2663"/>
      <c r="R908" s="2663"/>
      <c r="S908" s="2659">
        <f t="shared" si="230"/>
        <v>69</v>
      </c>
      <c r="T908" s="2658"/>
      <c r="U908" s="2658"/>
      <c r="V908" s="2658"/>
      <c r="W908" s="2658">
        <v>20</v>
      </c>
      <c r="X908" s="2658">
        <f t="shared" si="231"/>
        <v>0</v>
      </c>
      <c r="Y908" s="2658">
        <f>IF(COUNTIF(PDs!$AD$56:$AD$74,Tablas!D908)&gt;0,1,0)</f>
        <v>0</v>
      </c>
      <c r="Z908" s="2658" t="str">
        <f>IF(OR($Y$830=0,MAX(AB908,AC908)&lt;300,NOT(Inhumanidad)),"NO","-")</f>
        <v>NO</v>
      </c>
      <c r="AA908" s="1086">
        <f t="array" ref="AA908">HA_final-PDs!$X$22+MIN(PDs!$X$22+H$917-H908,50)+MAX(V$827:V907*$Y$827:$Y907,V909:V$916*$Y909:$Y$916)</f>
        <v>0</v>
      </c>
      <c r="AB908" s="2660">
        <f t="array" ref="AB908">HE_final-PDs!$X$24+MIN(PDs!$X$24+I$917-I908,50)+MAX(W$827:W907*$Y$827:$Y907,W909:W$916*$Y909:$Y$916)</f>
        <v>0</v>
      </c>
      <c r="AC908" s="1338">
        <f t="array" ref="AC908">HP_final-PDs!$X$23+MIN(PDs!$X$23+J$917-J908,50)+MAX(W$827:W907*$Y$827:$Y907,W909:W$916*$Y909:$Y$916)</f>
        <v>0</v>
      </c>
      <c r="AP908" s="592"/>
      <c r="AQ908" s="592"/>
    </row>
    <row r="909" spans="1:43" ht="12.75" customHeight="1" x14ac:dyDescent="0.2">
      <c r="A909" s="237">
        <v>909</v>
      </c>
      <c r="B909" s="5838"/>
      <c r="C909" s="513"/>
      <c r="D909" s="2661" t="s">
        <v>987</v>
      </c>
      <c r="E909" s="2658">
        <v>0</v>
      </c>
      <c r="F909" s="2658">
        <v>10</v>
      </c>
      <c r="G909" s="2658">
        <v>10</v>
      </c>
      <c r="H909" s="2658">
        <v>20</v>
      </c>
      <c r="I909" s="2658"/>
      <c r="J909" s="2658"/>
      <c r="K909" s="2658"/>
      <c r="L909" s="2658"/>
      <c r="M909" s="2663"/>
      <c r="N909" s="2663" t="s">
        <v>8993</v>
      </c>
      <c r="O909" s="2663"/>
      <c r="P909" s="2663"/>
      <c r="Q909" s="2663"/>
      <c r="R909" s="2663"/>
      <c r="S909" s="2659">
        <f t="shared" si="230"/>
        <v>45</v>
      </c>
      <c r="T909" s="2658"/>
      <c r="U909" s="2658"/>
      <c r="V909" s="2658"/>
      <c r="W909" s="2658"/>
      <c r="X909" s="2658">
        <f t="shared" si="231"/>
        <v>0</v>
      </c>
      <c r="Y909" s="2658">
        <f>IF(OR(Y910&gt;0,COUNTIF(PDs!$AD$56:$AD$74,Tablas!D909)&gt;0),1,0)</f>
        <v>0</v>
      </c>
      <c r="Z909" s="2662" t="str">
        <f>IF(OR(NOT(OR($Y$868=1,$Y$844=1)),AA909&lt;180,NOT(Extrusióndepresencia)),"NO","-")</f>
        <v>NO</v>
      </c>
      <c r="AA909" s="1086">
        <f t="array" ref="AA909">HA_final-PDs!$X$22+MIN(PDs!$X$22+H$917-H909,50)+MAX(V$827:V908*$Y$827:$Y908,V910:V$916*$Y910:$Y$916)</f>
        <v>-20</v>
      </c>
      <c r="AB909" s="2660">
        <f t="array" ref="AB909">HE_final-PDs!$X$24+MIN(PDs!$X$24+I$917-I909,50)+MAX(W$827:W908*$Y$827:$Y908,W910:W$916*$Y910:$Y$916)</f>
        <v>0</v>
      </c>
      <c r="AC909" s="1338">
        <f t="array" ref="AC909">HP_final-PDs!$X$23+MIN(PDs!$X$23+J$917-J909,50)+MAX(W$827:W908*$Y$827:$Y908,W910:W$916*$Y910:$Y$916)</f>
        <v>0</v>
      </c>
      <c r="AP909" s="592"/>
      <c r="AQ909" s="592"/>
    </row>
    <row r="910" spans="1:43" ht="12.75" customHeight="1" x14ac:dyDescent="0.2">
      <c r="A910" s="237">
        <v>910</v>
      </c>
      <c r="B910" s="5838"/>
      <c r="C910" s="513"/>
      <c r="D910" s="2661" t="s">
        <v>988</v>
      </c>
      <c r="E910" s="2658">
        <v>0</v>
      </c>
      <c r="F910" s="2658"/>
      <c r="G910" s="2658">
        <v>20</v>
      </c>
      <c r="H910" s="2658"/>
      <c r="I910" s="2658"/>
      <c r="J910" s="2658"/>
      <c r="K910" s="2658"/>
      <c r="L910" s="2658"/>
      <c r="M910" s="2663"/>
      <c r="N910" s="2663" t="s">
        <v>989</v>
      </c>
      <c r="O910" s="2663"/>
      <c r="P910" s="2663"/>
      <c r="Q910" s="2663"/>
      <c r="R910" s="2663"/>
      <c r="S910" s="2659">
        <f t="shared" si="230"/>
        <v>63</v>
      </c>
      <c r="T910" s="2658"/>
      <c r="U910" s="2658"/>
      <c r="V910" s="2658">
        <v>20</v>
      </c>
      <c r="W910" s="2658"/>
      <c r="X910" s="2658">
        <f t="shared" si="231"/>
        <v>0</v>
      </c>
      <c r="Y910" s="2658">
        <f>IF(COUNTIF(PDs!$AD$56:$AD$74,Tablas!D910)&gt;0,1,0)</f>
        <v>0</v>
      </c>
      <c r="Z910" s="2658" t="str">
        <f>IF(OR(NOT(OR($Y$869=1,$Y$845=1)),AA910&lt;300,NOT(Extrusióndepresencia)),"NO","-")</f>
        <v>NO</v>
      </c>
      <c r="AA910" s="1086">
        <f t="array" ref="AA910">HA_final-PDs!$X$22+MIN(PDs!$X$22+H$917-H910,50)+MAX(V$827:V909*$Y$827:$Y909,V911:V$916*$Y911:$Y$916)</f>
        <v>0</v>
      </c>
      <c r="AB910" s="2660">
        <f t="array" ref="AB910">HE_final-PDs!$X$24+MIN(PDs!$X$24+I$917-I910,50)+MAX(W$827:W909*$Y$827:$Y909,W911:W$916*$Y911:$Y$916)</f>
        <v>0</v>
      </c>
      <c r="AC910" s="1338">
        <f t="array" ref="AC910">HP_final-PDs!$X$23+MIN(PDs!$X$23+J$917-J910,50)+MAX(W$827:W909*$Y$827:$Y909,W911:W$916*$Y911:$Y$916)</f>
        <v>0</v>
      </c>
      <c r="AP910" s="592"/>
      <c r="AQ910" s="592"/>
    </row>
    <row r="911" spans="1:43" ht="12.75" customHeight="1" x14ac:dyDescent="0.2">
      <c r="A911" s="237">
        <v>911</v>
      </c>
      <c r="B911" s="5838"/>
      <c r="C911" s="513"/>
      <c r="D911" s="2661" t="s">
        <v>990</v>
      </c>
      <c r="E911" s="2658">
        <v>0</v>
      </c>
      <c r="F911" s="2658"/>
      <c r="G911" s="2658">
        <v>10</v>
      </c>
      <c r="H911" s="2658"/>
      <c r="I911" s="2658">
        <v>20</v>
      </c>
      <c r="J911" s="2658">
        <v>20</v>
      </c>
      <c r="K911" s="2658"/>
      <c r="L911" s="2658"/>
      <c r="M911" s="2663"/>
      <c r="N911" s="2663" t="s">
        <v>991</v>
      </c>
      <c r="O911" s="2663"/>
      <c r="P911" s="2663"/>
      <c r="Q911" s="2663"/>
      <c r="R911" s="2663"/>
      <c r="S911" s="2659">
        <f t="shared" si="230"/>
        <v>36</v>
      </c>
      <c r="T911" s="2658"/>
      <c r="U911" s="2658"/>
      <c r="V911" s="2658"/>
      <c r="W911" s="2658"/>
      <c r="X911" s="2658">
        <f t="shared" si="231"/>
        <v>0</v>
      </c>
      <c r="Y911" s="2658">
        <f>IF(OR(Y912&gt;0,COUNTIF(PDs!$AD$56:$AD$74,Tablas!D911)&gt;0),1,0)</f>
        <v>0</v>
      </c>
      <c r="Z911" s="2662" t="str">
        <f>IF(OR(NOT(OR($Y$829=1,$Y$847=1)),MAX(AC911,AB911)&lt;200,NOT(UsodelKi)),"NO","-")</f>
        <v>NO</v>
      </c>
      <c r="AA911" s="1086">
        <f t="array" ref="AA911">HA_final-PDs!$X$22+MIN(PDs!$X$22+H$917-H911,50)+MAX(V$827:V910*$Y$827:$Y910,V912:V$916*$Y912:$Y$916)</f>
        <v>0</v>
      </c>
      <c r="AB911" s="2660">
        <f t="array" ref="AB911">HE_final-PDs!$X$24+MIN(PDs!$X$24+I$917-I911,50)+MAX(W$827:W910*$Y$827:$Y910,W912:W$916*$Y912:$Y$916)</f>
        <v>-20</v>
      </c>
      <c r="AC911" s="1338">
        <f t="array" ref="AC911">HP_final-PDs!$X$23+MIN(PDs!$X$23+J$917-J911,50)+MAX(W$827:W910*$Y$827:$Y910,W912:W$916*$Y912:$Y$916)</f>
        <v>-20</v>
      </c>
      <c r="AP911" s="592"/>
      <c r="AQ911" s="592"/>
    </row>
    <row r="912" spans="1:43" ht="12.75" customHeight="1" x14ac:dyDescent="0.2">
      <c r="A912" s="237">
        <v>912</v>
      </c>
      <c r="B912" s="5838"/>
      <c r="C912" s="513"/>
      <c r="D912" s="2661" t="s">
        <v>992</v>
      </c>
      <c r="E912" s="2658">
        <v>0</v>
      </c>
      <c r="F912" s="2658"/>
      <c r="G912" s="2658">
        <v>20</v>
      </c>
      <c r="H912" s="2658"/>
      <c r="I912" s="2658"/>
      <c r="J912" s="2658"/>
      <c r="K912" s="2658"/>
      <c r="L912" s="2658"/>
      <c r="M912" s="2663"/>
      <c r="N912" s="2663" t="s">
        <v>993</v>
      </c>
      <c r="O912" s="2663"/>
      <c r="P912" s="2663"/>
      <c r="Q912" s="2663"/>
      <c r="R912" s="2663"/>
      <c r="S912" s="2659">
        <f t="shared" si="230"/>
        <v>37</v>
      </c>
      <c r="T912" s="2658"/>
      <c r="U912" s="2658"/>
      <c r="V912" s="2658"/>
      <c r="W912" s="2658">
        <v>20</v>
      </c>
      <c r="X912" s="2658">
        <f t="shared" si="231"/>
        <v>0</v>
      </c>
      <c r="Y912" s="2658">
        <f>IF(COUNTIF(PDs!$AD$56:$AD$74,Tablas!D912)&gt;0,1,0)</f>
        <v>0</v>
      </c>
      <c r="Z912" s="2662" t="str">
        <f>IF(OR(NOT(OR($Y$830=1,$Y$848=1)),MAX(AB912,AC912)&lt;300,NOT(UsodelKi)),"NO","-")</f>
        <v>NO</v>
      </c>
      <c r="AA912" s="1086">
        <f t="array" ref="AA912">HA_final-PDs!$X$22+MIN(PDs!$X$22+H$917-H912,50)+MAX(V$827:V911*$Y$827:$Y911,V913:V$916*$Y913:$Y$916)</f>
        <v>0</v>
      </c>
      <c r="AB912" s="2660">
        <f t="array" ref="AB912">HE_final-PDs!$X$24+MIN(PDs!$X$24+I$917-I912,50)+MAX(W$827:W911*$Y$827:$Y911,W913:W$916*$Y913:$Y$916)</f>
        <v>0</v>
      </c>
      <c r="AC912" s="1338">
        <f t="array" ref="AC912">HP_final-PDs!$X$23+MIN(PDs!$X$23+J$917-J912,50)+MAX(W$827:W911*$Y$827:$Y911,W913:W$916*$Y913:$Y$916)</f>
        <v>0</v>
      </c>
      <c r="AP912" s="592"/>
      <c r="AQ912" s="592"/>
    </row>
    <row r="913" spans="1:43" ht="12.75" customHeight="1" x14ac:dyDescent="0.2">
      <c r="A913" s="237">
        <v>913</v>
      </c>
      <c r="B913" s="5838"/>
      <c r="C913" s="513"/>
      <c r="D913" s="2661" t="s">
        <v>994</v>
      </c>
      <c r="E913" s="2658">
        <v>0</v>
      </c>
      <c r="F913" s="2658"/>
      <c r="G913" s="2658">
        <v>15</v>
      </c>
      <c r="H913" s="2658">
        <v>10</v>
      </c>
      <c r="I913" s="2658"/>
      <c r="J913" s="2658"/>
      <c r="K913" s="2658"/>
      <c r="L913" s="2658"/>
      <c r="M913" s="2663"/>
      <c r="N913" s="2663" t="s">
        <v>995</v>
      </c>
      <c r="O913" s="2663"/>
      <c r="P913" s="2663"/>
      <c r="Q913" s="2663"/>
      <c r="R913" s="2663"/>
      <c r="S913" s="2659">
        <f t="shared" si="230"/>
        <v>59</v>
      </c>
      <c r="T913" s="2658"/>
      <c r="U913" s="2658"/>
      <c r="V913" s="2658"/>
      <c r="W913" s="2658"/>
      <c r="X913" s="2658">
        <f t="shared" si="231"/>
        <v>0</v>
      </c>
      <c r="Y913" s="2658">
        <f>IF(OR(Y914&gt;0,COUNTIF(PDs!$AD$56:$AD$74,Tablas!D913)&gt;0),1,0)</f>
        <v>0</v>
      </c>
      <c r="Z913" s="2662" t="str">
        <f>IF(OR($Y$877=0,AA913&lt;200,NOT(Extrusióndepresencia)),"NO","-")</f>
        <v>NO</v>
      </c>
      <c r="AA913" s="1086">
        <f t="array" ref="AA913">HA_final-PDs!$X$22+MIN(PDs!$X$22+H$917-H913,50)+MAX(V$827:V912*$Y$827:$Y912,V914:V$916*$Y914:$Y$916)</f>
        <v>-10</v>
      </c>
      <c r="AB913" s="2660">
        <f t="array" ref="AB913">HE_final-PDs!$X$24+MIN(PDs!$X$24+I$917-I913,50)+MAX(W$827:W912*$Y$827:$Y912,W914:W$916*$Y914:$Y$916)</f>
        <v>0</v>
      </c>
      <c r="AC913" s="1338">
        <f t="array" ref="AC913">HP_final-PDs!$X$23+MIN(PDs!$X$23+J$917-J913,50)+MAX(W$827:W912*$Y$827:$Y912,W914:W$916*$Y914:$Y$916)</f>
        <v>0</v>
      </c>
      <c r="AP913" s="592"/>
      <c r="AQ913" s="592"/>
    </row>
    <row r="914" spans="1:43" ht="12.75" customHeight="1" x14ac:dyDescent="0.2">
      <c r="A914" s="237">
        <v>914</v>
      </c>
      <c r="B914" s="5838"/>
      <c r="C914" s="513"/>
      <c r="D914" s="2661" t="s">
        <v>996</v>
      </c>
      <c r="E914" s="2658">
        <v>0</v>
      </c>
      <c r="F914" s="2658">
        <f>Bono_Pod</f>
        <v>0</v>
      </c>
      <c r="G914" s="2658">
        <v>35</v>
      </c>
      <c r="H914" s="2658"/>
      <c r="I914" s="2658"/>
      <c r="J914" s="2658"/>
      <c r="K914" s="2658"/>
      <c r="L914" s="2658"/>
      <c r="M914" s="2663"/>
      <c r="N914" s="2663" t="s">
        <v>997</v>
      </c>
      <c r="O914" s="2663"/>
      <c r="P914" s="2663"/>
      <c r="Q914" s="2663"/>
      <c r="R914" s="2663"/>
      <c r="S914" s="2659">
        <f t="shared" si="230"/>
        <v>40</v>
      </c>
      <c r="T914" s="2658"/>
      <c r="U914" s="2658"/>
      <c r="V914" s="2658">
        <v>15</v>
      </c>
      <c r="W914" s="2658"/>
      <c r="X914" s="2658">
        <f t="shared" si="231"/>
        <v>0</v>
      </c>
      <c r="Y914" s="2658">
        <f>IF(COUNTIF(PDs!$AD$56:$AD$74,Tablas!D914)&gt;0,1,0)</f>
        <v>0</v>
      </c>
      <c r="Z914" s="2662" t="str">
        <f>IF(OR($Y$878=0,AA914&lt;300,NOT(Extrusióndepresencia),NOT(Inhumanidad)),"NO","-")</f>
        <v>NO</v>
      </c>
      <c r="AA914" s="1086">
        <f t="array" ref="AA914">HA_final-PDs!$X$22+MIN(PDs!$X$22+H$917-H914,50)+MAX(V$827:V913*$Y$827:$Y913,V915:V$916*$Y915:$Y$916)</f>
        <v>0</v>
      </c>
      <c r="AB914" s="2660">
        <f t="array" ref="AB914">HE_final-PDs!$X$24+MIN(PDs!$X$24+I$917-I914,50)+MAX(W$827:W913*$Y$827:$Y913,W915:W$916*$Y915:$Y$916)</f>
        <v>0</v>
      </c>
      <c r="AC914" s="1338">
        <f t="array" ref="AC914">HP_final-PDs!$X$23+MIN(PDs!$X$23+J$917-J914,50)+MAX(W$827:W913*$Y$827:$Y913,W915:W$916*$Y915:$Y$916)</f>
        <v>0</v>
      </c>
      <c r="AP914" s="592"/>
      <c r="AQ914" s="592"/>
    </row>
    <row r="915" spans="1:43" ht="12.75" customHeight="1" x14ac:dyDescent="0.2">
      <c r="A915" s="237">
        <v>915</v>
      </c>
      <c r="B915" s="5838"/>
      <c r="C915" s="513"/>
      <c r="D915" s="2661" t="s">
        <v>998</v>
      </c>
      <c r="E915" s="2658">
        <v>0</v>
      </c>
      <c r="F915" s="2658"/>
      <c r="G915" s="2658">
        <v>20</v>
      </c>
      <c r="H915" s="2658"/>
      <c r="I915" s="2658">
        <v>20</v>
      </c>
      <c r="J915" s="2658">
        <v>20</v>
      </c>
      <c r="K915" s="2658"/>
      <c r="L915" s="2658"/>
      <c r="M915" s="2663"/>
      <c r="N915" s="2663" t="s">
        <v>1459</v>
      </c>
      <c r="O915" s="2663"/>
      <c r="P915" s="2663"/>
      <c r="Q915" s="2663"/>
      <c r="R915" s="2663"/>
      <c r="S915" s="2659">
        <f t="shared" si="230"/>
        <v>1</v>
      </c>
      <c r="T915" s="2658" t="s">
        <v>1560</v>
      </c>
      <c r="U915" s="2658"/>
      <c r="V915" s="2658"/>
      <c r="W915" s="2658"/>
      <c r="X915" s="2658">
        <f t="shared" si="231"/>
        <v>0</v>
      </c>
      <c r="Y915" s="2658">
        <f>IF(OR(Y916&gt;0,COUNTIF(PDs!$AD$56:$AD$74,Tablas!D915)&gt;0),1,0)</f>
        <v>0</v>
      </c>
      <c r="Z915" s="2658" t="str">
        <f>IF(OR(NOT(OR($Y$850=1,$Y$877=1)),NOT(Extrusióndepresencia)),"NO","-")</f>
        <v>NO</v>
      </c>
      <c r="AA915" s="1086">
        <f t="array" ref="AA915">HA_final-PDs!$X$22+MIN(PDs!$X$22+H$917-H915,50)+MAX(V$827:V914*$Y$827:$Y914,V916:V$916*$Y916:$Y$916)</f>
        <v>0</v>
      </c>
      <c r="AB915" s="2660">
        <f t="array" ref="AB915">HE_final-PDs!$X$24+MIN(PDs!$X$24+I$917-I915,50)+MAX(W$827:W914*$Y$827:$Y914,W916:W$916*$Y916:$Y$916)</f>
        <v>-20</v>
      </c>
      <c r="AC915" s="1338">
        <f t="array" ref="AC915">HP_final-PDs!$X$23+MIN(PDs!$X$23+J$917-J915,50)+MAX(W$827:W914*$Y$827:$Y914,W916:W$916*$Y916:$Y$916)</f>
        <v>-20</v>
      </c>
      <c r="AP915" s="592"/>
      <c r="AQ915" s="592"/>
    </row>
    <row r="916" spans="1:43" ht="12.75" customHeight="1" thickBot="1" x14ac:dyDescent="0.25">
      <c r="A916" s="237">
        <v>916</v>
      </c>
      <c r="B916" s="5838"/>
      <c r="C916" s="515"/>
      <c r="D916" s="1045" t="s">
        <v>999</v>
      </c>
      <c r="E916" s="2647">
        <v>0</v>
      </c>
      <c r="F916" s="2647"/>
      <c r="G916" s="2647">
        <v>40</v>
      </c>
      <c r="H916" s="2647"/>
      <c r="I916" s="1121"/>
      <c r="J916" s="2647"/>
      <c r="K916" s="2647"/>
      <c r="L916" s="2647"/>
      <c r="M916" s="2648"/>
      <c r="N916" s="2648" t="s">
        <v>1000</v>
      </c>
      <c r="O916" s="2648"/>
      <c r="P916" s="2648"/>
      <c r="Q916" s="2648"/>
      <c r="R916" s="2648"/>
      <c r="S916" s="1979">
        <f t="shared" si="230"/>
        <v>62</v>
      </c>
      <c r="T916" s="2647" t="s">
        <v>1560</v>
      </c>
      <c r="U916" s="2647"/>
      <c r="V916" s="2647"/>
      <c r="W916" s="2647">
        <v>15</v>
      </c>
      <c r="X916" s="2647">
        <f t="shared" si="231"/>
        <v>0</v>
      </c>
      <c r="Y916" s="2647">
        <f>IF(COUNTIF(PDs!$AD$56:$AD$74,Tablas!D916)&gt;0,1,0)</f>
        <v>0</v>
      </c>
      <c r="Z916" s="2647" t="str">
        <f>IF(OR(NOT(OR($Y$851=1,$Y$878=1)),AA916&lt;280,NOT(Extrusióndepresencia)),"NO","-")</f>
        <v>NO</v>
      </c>
      <c r="AA916" s="1305">
        <f t="array" ref="AA916">HA_final-PDs!$X$22+MIN(PDs!$X$22+H$917-H916,50)+MAX(V$827:V915*$Y$827:$Y915)</f>
        <v>0</v>
      </c>
      <c r="AB916" s="1306">
        <f t="array" ref="AB916">HE_final-PDs!$X$24+MIN(PDs!$X$24+I$917-I916,50)+MAX(W$827:W915*$Y$827:$Y915)</f>
        <v>0</v>
      </c>
      <c r="AC916" s="1343">
        <f t="array" ref="AC916">HP_final-PDs!$X$23+MIN(PDs!$X$23+J$917-J916,50)+MAX(W$827:W915*$Y$827:$Y915)</f>
        <v>0</v>
      </c>
      <c r="AP916" s="592"/>
      <c r="AQ916" s="592"/>
    </row>
    <row r="917" spans="1:43" ht="12.75" customHeight="1" thickBot="1" x14ac:dyDescent="0.25">
      <c r="A917" s="237">
        <v>917</v>
      </c>
      <c r="B917" s="5838"/>
      <c r="F917" s="5890">
        <f>SUMPRODUCT($F$828:$F$916,$Y$828:$Y$916)</f>
        <v>0</v>
      </c>
      <c r="G917" s="5764" t="s">
        <v>1001</v>
      </c>
      <c r="H917" s="5766">
        <f>Tablas!H883*Tablas!Y883+Tablas!H833*Tablas!Y833+Tablas!H885*Tablas!Y885+Tablas!H887*Tablas!Y887+Tablas!H891*Tablas!Y891+Tablas!H893*Tablas!Y893+Tablas!H895*Tablas!Y895+Tablas!H845*Tablas!Y845+Tablas!H901*Tablas!Y901+Tablas!H903*Tablas!Y903+Tablas!H909*Tablas!Y909+Tablas!H868*Tablas!Y868+Tablas!H867*Tablas!Y867+Tablas!H869*Tablas!Y869+Tablas!H913*Tablas!Y913</f>
        <v>0</v>
      </c>
      <c r="I917" s="5766">
        <f>Tablas!I829*Tablas!Y829+Tablas!I830*Tablas!Y830+Tablas!I883*Tablas!Y883+Tablas!I835*Tablas!Y835+Tablas!I836*Tablas!Y836+Tablas!I889*Tablas!Y889+Tablas!I897*Tablas!Y897+Tablas!I841*Tablas!Y841+Tablas!I842*Tablas!Y842+Tablas!I852*Tablas!Y852+Tablas!I854*Tablas!Y854+Tablas!I899*Tablas!Y899+Tablas!I863*Tablas!Y863+Tablas!I905*Tablas!Y905+Tablas!I907*Tablas!Y907+Tablas!I911*Tablas!Y911+Tablas!I871*Tablas!Y871+Tablas!I872*Tablas!Y872+Tablas!I915*Tablas!Y915</f>
        <v>0</v>
      </c>
      <c r="J917" s="5766">
        <f>Tablas!J829*Tablas!Y829+Tablas!J830*Tablas!Y830+Tablas!J883*Tablas!Y883+Tablas!J889*Tablas!Y889+Tablas!J897*Tablas!Y897+Tablas!J841*Tablas!Y841+Tablas!J842*Tablas!Y842+Tablas!J847*Tablas!Y847+Tablas!J848*Tablas!Y848+Tablas!J852*Tablas!Y852+Tablas!J854*Tablas!Y854+Tablas!J899*Tablas!Y899+Tablas!J856*Tablas!Y856+Tablas!J857*Tablas!Y857+Tablas!J863*Tablas!Y863+Tablas!J905*Tablas!Y905+Tablas!J865*Tablas!Y865+Tablas!J866*Tablas!Y866+Tablas!J907*Tablas!Y907+Tablas!J911*Tablas!Y911+Tablas!J871*Tablas!Y871+Tablas!J872*Tablas!Y872+Tablas!J915*Tablas!Y915</f>
        <v>0</v>
      </c>
      <c r="K917" s="5766">
        <f>Tablas!$K$883*Tablas!$Y$883+Tablas!K832*Tablas!$Y$832+Tablas!K831*Tablas!$Y$831+Tablas!K833*Tablas!$Y$833+Tablas!K888*Tablas!$Y$888+Tablas!K887*Tablas!$Y$887+Tablas!K896*Tablas!$Y$896+Tablas!K895*Tablas!$Y$895</f>
        <v>0</v>
      </c>
      <c r="L917" s="5766">
        <f>Tablas!$L$855*Tablas!$Y$855</f>
        <v>0</v>
      </c>
      <c r="M917" s="5785">
        <f>Tablas!$M$885*Tablas!$Y$885+Tablas!$M$886*Tablas!$Y$886</f>
        <v>0</v>
      </c>
      <c r="N917" s="5892" t="s">
        <v>1002</v>
      </c>
      <c r="O917" s="5894">
        <f>+MAX(Tablas!V884*Tablas!Y884,Tablas!V886*Tablas!Y886,Tablas!V888*Tablas!Y888,Tablas!V890*Tablas!Y890,Tablas!V892*Tablas!Y892,Tablas!V894*Tablas!Y894,Tablas!V896*Tablas!Y896,Tablas!V898*Tablas!Y898,Tablas!V902*Tablas!Y902,Tablas!V904*Tablas!Y904,Tablas!V910*Tablas!Y910,Tablas!V914*Tablas!Y914)</f>
        <v>0</v>
      </c>
      <c r="P917" s="5774">
        <f>+MAX(Tablas!W884*Tablas!Y884,Tablas!W890*Tablas!Y890,Tablas!W900*Tablas!Y900,Tablas!W902*Tablas!Y902,Tablas!W906*Tablas!Y906,Tablas!W908*Tablas!Y908,Tablas!W912*Tablas!Y912,Tablas!W916*Tablas!Y916)</f>
        <v>0</v>
      </c>
      <c r="Q917" s="1120" t="s">
        <v>867</v>
      </c>
    </row>
    <row r="918" spans="1:43" ht="12.75" customHeight="1" thickBot="1" x14ac:dyDescent="0.25">
      <c r="A918" s="237">
        <v>918</v>
      </c>
      <c r="B918" s="5838"/>
      <c r="F918" s="5891"/>
      <c r="G918" s="5765"/>
      <c r="H918" s="5767"/>
      <c r="I918" s="5767"/>
      <c r="J918" s="5767"/>
      <c r="K918" s="5767"/>
      <c r="L918" s="5767"/>
      <c r="M918" s="5786"/>
      <c r="N918" s="5893"/>
      <c r="O918" s="5895"/>
      <c r="P918" s="5775"/>
      <c r="Q918" s="955">
        <f>MAX(Tablas!$X$827:$X$916)</f>
        <v>0</v>
      </c>
    </row>
    <row r="919" spans="1:43" ht="12.75" customHeight="1" x14ac:dyDescent="0.2">
      <c r="A919" s="237">
        <v>919</v>
      </c>
      <c r="B919" s="5838"/>
      <c r="H919"/>
      <c r="I919" s="592"/>
      <c r="N919"/>
      <c r="O919" s="592"/>
    </row>
    <row r="920" spans="1:43" ht="12.75" customHeight="1" thickBot="1" x14ac:dyDescent="0.25">
      <c r="A920" s="237">
        <v>920</v>
      </c>
      <c r="B920" s="5838"/>
      <c r="H920"/>
      <c r="I920" s="592"/>
      <c r="N920"/>
      <c r="O920" s="592"/>
    </row>
    <row r="921" spans="1:43" ht="12.75" customHeight="1" x14ac:dyDescent="0.2">
      <c r="A921" s="237">
        <v>921</v>
      </c>
      <c r="B921" s="5838"/>
      <c r="C921" s="5899" t="s">
        <v>7419</v>
      </c>
      <c r="D921" s="5900"/>
      <c r="E921" s="5900"/>
      <c r="F921" s="5900"/>
      <c r="G921" s="5900"/>
      <c r="H921" s="5900"/>
      <c r="I921" s="5900"/>
      <c r="J921" s="5900"/>
      <c r="K921" s="5900"/>
      <c r="L921" s="5900"/>
      <c r="M921" s="5900"/>
      <c r="N921" s="5901"/>
      <c r="P921" s="5899" t="s">
        <v>2585</v>
      </c>
      <c r="Q921" s="5900"/>
      <c r="R921" s="5900"/>
      <c r="S921" s="5900"/>
      <c r="T921" s="5900"/>
      <c r="U921" s="5900"/>
      <c r="V921" s="5900"/>
      <c r="W921" s="5900"/>
      <c r="X921" s="5900"/>
      <c r="Y921" s="5900"/>
      <c r="Z921" s="5900"/>
      <c r="AA921" s="5900"/>
      <c r="AB921" s="5900"/>
      <c r="AC921" s="5901"/>
    </row>
    <row r="922" spans="1:43" ht="12.75" customHeight="1" x14ac:dyDescent="0.2">
      <c r="A922" s="237">
        <v>922</v>
      </c>
      <c r="B922" s="5838"/>
      <c r="C922" s="1010"/>
      <c r="D922" s="977"/>
      <c r="E922" s="977">
        <v>1</v>
      </c>
      <c r="F922" s="977">
        <v>2</v>
      </c>
      <c r="G922" s="977">
        <v>3</v>
      </c>
      <c r="H922" s="977">
        <v>4</v>
      </c>
      <c r="I922" s="977">
        <v>5</v>
      </c>
      <c r="J922" s="977">
        <v>6</v>
      </c>
      <c r="K922" s="977">
        <v>7</v>
      </c>
      <c r="L922" s="977">
        <v>8</v>
      </c>
      <c r="M922" s="977">
        <v>9</v>
      </c>
      <c r="N922" s="1011">
        <v>10</v>
      </c>
      <c r="P922" s="5902"/>
      <c r="Q922" s="5972"/>
      <c r="R922" s="5972"/>
      <c r="S922" s="5972"/>
      <c r="T922" s="5972"/>
      <c r="U922" s="5972"/>
      <c r="V922" s="5972"/>
      <c r="W922" s="5972"/>
      <c r="X922" s="5972"/>
      <c r="Y922" s="5972"/>
      <c r="Z922" s="5972"/>
      <c r="AA922" s="5972"/>
      <c r="AB922" s="5972"/>
      <c r="AC922" s="5904"/>
    </row>
    <row r="923" spans="1:43" ht="12.75" customHeight="1" thickBot="1" x14ac:dyDescent="0.25">
      <c r="A923" s="237">
        <v>923</v>
      </c>
      <c r="B923" s="5838"/>
      <c r="C923" s="1010"/>
      <c r="D923" s="977"/>
      <c r="E923" s="985" t="s">
        <v>2553</v>
      </c>
      <c r="F923" s="221" t="s">
        <v>1493</v>
      </c>
      <c r="G923" s="221" t="s">
        <v>2261</v>
      </c>
      <c r="H923" s="221" t="s">
        <v>863</v>
      </c>
      <c r="I923" s="245" t="s">
        <v>1553</v>
      </c>
      <c r="J923" s="245"/>
      <c r="K923" s="977" t="s">
        <v>7420</v>
      </c>
      <c r="L923" s="977" t="s">
        <v>7421</v>
      </c>
      <c r="M923" s="977" t="s">
        <v>7422</v>
      </c>
      <c r="N923" s="988" t="s">
        <v>7423</v>
      </c>
      <c r="P923" s="1255"/>
      <c r="Q923" s="1434"/>
      <c r="R923" s="1434" t="s">
        <v>1444</v>
      </c>
      <c r="S923" s="1434" t="s">
        <v>1493</v>
      </c>
      <c r="T923" s="1434" t="s">
        <v>8739</v>
      </c>
      <c r="U923" s="1435" t="s">
        <v>1553</v>
      </c>
      <c r="V923" s="1284"/>
      <c r="W923" s="1284"/>
      <c r="X923" s="1284"/>
      <c r="Y923" s="1284" t="s">
        <v>8745</v>
      </c>
      <c r="Z923" s="1284"/>
      <c r="AA923" s="1284"/>
      <c r="AB923" s="1434"/>
      <c r="AC923" s="1286" t="s">
        <v>6512</v>
      </c>
    </row>
    <row r="924" spans="1:43" ht="12.75" customHeight="1" x14ac:dyDescent="0.2">
      <c r="A924" s="237">
        <v>924</v>
      </c>
      <c r="B924" s="5838"/>
      <c r="C924" s="513"/>
      <c r="D924" s="23"/>
      <c r="E924" s="225" t="s">
        <v>868</v>
      </c>
      <c r="F924" s="94">
        <v>0</v>
      </c>
      <c r="G924" s="85"/>
      <c r="H924" s="85" t="s">
        <v>1459</v>
      </c>
      <c r="I924" s="85" t="s">
        <v>1459</v>
      </c>
      <c r="J924" s="23"/>
      <c r="K924" s="55"/>
      <c r="L924" s="23"/>
      <c r="M924" s="23"/>
      <c r="N924" s="614"/>
      <c r="P924" s="513"/>
      <c r="Q924" s="2649"/>
      <c r="R924" s="2650" t="s">
        <v>2586</v>
      </c>
      <c r="S924" s="2651">
        <v>30</v>
      </c>
      <c r="T924" s="2651">
        <v>0</v>
      </c>
      <c r="U924" s="2652" t="s">
        <v>2587</v>
      </c>
      <c r="V924" s="2653"/>
      <c r="W924" s="2653"/>
      <c r="X924" s="2653"/>
      <c r="Y924" s="2652" t="s">
        <v>2587</v>
      </c>
      <c r="Z924" s="2649"/>
      <c r="AA924" s="2649"/>
      <c r="AB924" s="712"/>
      <c r="AC924" s="1231">
        <f>COUNTIF(Compra_TablasEstilo,Tablas!R924)</f>
        <v>0</v>
      </c>
    </row>
    <row r="925" spans="1:43" ht="12.75" customHeight="1" x14ac:dyDescent="0.2">
      <c r="A925" s="237">
        <v>925</v>
      </c>
      <c r="B925" s="5838"/>
      <c r="C925" s="1042"/>
      <c r="D925" s="23"/>
      <c r="E925" s="225" t="s">
        <v>1003</v>
      </c>
      <c r="F925" s="85">
        <v>40</v>
      </c>
      <c r="G925" s="85">
        <f>IF(COUNTIF(PDs!$E$75:$E$77,Tablas!E925)&gt;0,1,0)</f>
        <v>0</v>
      </c>
      <c r="H925" s="85" t="str">
        <f>IF(Tablas!Y828=0,"NO","-")</f>
        <v>NO</v>
      </c>
      <c r="I925" s="23" t="s">
        <v>7425</v>
      </c>
      <c r="J925" s="23"/>
      <c r="K925" s="85">
        <f t="shared" ref="K925:K942" si="232">$G925*SUMPRODUCT(H$827:H$916,--ISNUMBER(SEARCH($N925,$D$827:$D$916)),$Y$827:$Y$916)</f>
        <v>0</v>
      </c>
      <c r="L925" s="85">
        <f t="shared" ref="L925:L942" si="233">$G925*SUMPRODUCT(I$827:I$916,--ISNUMBER(SEARCH($N925,$D$827:$D$916)),$Y$827:$Y$916)</f>
        <v>0</v>
      </c>
      <c r="M925" s="85">
        <f t="shared" ref="M925:M942" si="234">$G925*SUMPRODUCT(J$827:J$916,--ISNUMBER(SEARCH($N925,$D$827:$D$916)),$Y$827:$Y$916)</f>
        <v>0</v>
      </c>
      <c r="N925" s="1043" t="s">
        <v>7311</v>
      </c>
      <c r="P925" s="513"/>
      <c r="Q925" s="2649"/>
      <c r="R925" s="2650" t="s">
        <v>2588</v>
      </c>
      <c r="S925" s="2651">
        <v>50</v>
      </c>
      <c r="T925" s="2651">
        <v>0</v>
      </c>
      <c r="U925" s="2652" t="s">
        <v>2589</v>
      </c>
      <c r="V925" s="2653"/>
      <c r="W925" s="2653"/>
      <c r="X925" s="2653"/>
      <c r="Y925" s="2652" t="s">
        <v>2589</v>
      </c>
      <c r="Z925" s="2649"/>
      <c r="AA925" s="2649"/>
      <c r="AB925" s="2649"/>
      <c r="AC925" s="1231">
        <f>COUNTIF(Compra_TablasEstilo,Tablas!R925)</f>
        <v>0</v>
      </c>
    </row>
    <row r="926" spans="1:43" ht="12.75" customHeight="1" x14ac:dyDescent="0.2">
      <c r="A926" s="237">
        <v>926</v>
      </c>
      <c r="B926" s="5838"/>
      <c r="C926" s="1042"/>
      <c r="D926" s="23"/>
      <c r="E926" s="225" t="s">
        <v>1004</v>
      </c>
      <c r="F926" s="85">
        <v>10</v>
      </c>
      <c r="G926" s="85">
        <f>IF(COUNTIF(PDs!$E$75:$E$77,Tablas!E926)&gt;0,1,0)</f>
        <v>0</v>
      </c>
      <c r="H926" s="85" t="str">
        <f>IF(Tablas!Y831=0,"NO","-")</f>
        <v>NO</v>
      </c>
      <c r="I926" s="23" t="s">
        <v>7426</v>
      </c>
      <c r="J926" s="23"/>
      <c r="K926" s="85">
        <f t="shared" si="232"/>
        <v>0</v>
      </c>
      <c r="L926" s="85">
        <f t="shared" si="233"/>
        <v>0</v>
      </c>
      <c r="M926" s="85">
        <f t="shared" si="234"/>
        <v>0</v>
      </c>
      <c r="N926" s="1043" t="s">
        <v>7312</v>
      </c>
      <c r="P926" s="513"/>
      <c r="Q926" s="2649"/>
      <c r="R926" s="2650" t="s">
        <v>2590</v>
      </c>
      <c r="S926" s="2651">
        <v>50</v>
      </c>
      <c r="T926" s="2651">
        <v>0</v>
      </c>
      <c r="U926" s="2652" t="s">
        <v>2591</v>
      </c>
      <c r="V926" s="2653"/>
      <c r="W926" s="2653"/>
      <c r="X926" s="2653"/>
      <c r="Y926" s="2652" t="s">
        <v>2591</v>
      </c>
      <c r="Z926" s="2649"/>
      <c r="AA926" s="2649"/>
      <c r="AB926" s="2649"/>
      <c r="AC926" s="1231">
        <f>COUNTIF(Compra_TablasEstilo,Tablas!R926)</f>
        <v>0</v>
      </c>
    </row>
    <row r="927" spans="1:43" ht="12.75" customHeight="1" x14ac:dyDescent="0.2">
      <c r="A927" s="237">
        <v>927</v>
      </c>
      <c r="B927" s="5838"/>
      <c r="C927" s="1042"/>
      <c r="D927" s="23"/>
      <c r="E927" s="225" t="s">
        <v>1005</v>
      </c>
      <c r="F927" s="85">
        <v>30</v>
      </c>
      <c r="G927" s="85">
        <f>IF(COUNTIF(PDs!$E$75:$E$77,Tablas!E927)&gt;0,1,0)</f>
        <v>0</v>
      </c>
      <c r="H927" s="85" t="str">
        <f>IF(Tablas!Y834=0,"NO","-")</f>
        <v>NO</v>
      </c>
      <c r="I927" s="23" t="s">
        <v>7427</v>
      </c>
      <c r="J927" s="23"/>
      <c r="K927" s="85">
        <f t="shared" si="232"/>
        <v>0</v>
      </c>
      <c r="L927" s="85">
        <f t="shared" si="233"/>
        <v>0</v>
      </c>
      <c r="M927" s="85">
        <f t="shared" si="234"/>
        <v>0</v>
      </c>
      <c r="N927" s="1043" t="s">
        <v>7313</v>
      </c>
      <c r="P927" s="513"/>
      <c r="Q927" s="2649"/>
      <c r="R927" s="2650" t="s">
        <v>2592</v>
      </c>
      <c r="S927" s="2651">
        <v>40</v>
      </c>
      <c r="T927" s="2651">
        <v>0</v>
      </c>
      <c r="U927" s="2652" t="s">
        <v>2593</v>
      </c>
      <c r="V927" s="2653"/>
      <c r="W927" s="2653"/>
      <c r="X927" s="2653"/>
      <c r="Y927" s="2652" t="s">
        <v>2593</v>
      </c>
      <c r="Z927" s="2649"/>
      <c r="AA927" s="2649"/>
      <c r="AB927" s="2649"/>
      <c r="AC927" s="1231">
        <f>COUNTIF(Compra_TablasEstilo,Tablas!R927)</f>
        <v>0</v>
      </c>
    </row>
    <row r="928" spans="1:43" ht="12.75" customHeight="1" x14ac:dyDescent="0.2">
      <c r="A928" s="237">
        <v>928</v>
      </c>
      <c r="B928" s="5838"/>
      <c r="C928" s="1042"/>
      <c r="D928" s="23"/>
      <c r="E928" s="225" t="s">
        <v>1006</v>
      </c>
      <c r="F928" s="85">
        <v>10</v>
      </c>
      <c r="G928" s="85">
        <f>IF(COUNTIF(PDs!$E$75:$E$77,Tablas!E928)&gt;0,1,0)</f>
        <v>0</v>
      </c>
      <c r="H928" s="85" t="str">
        <f>IF(Tablas!Y837=0,"NO","-")</f>
        <v>NO</v>
      </c>
      <c r="I928" s="23" t="s">
        <v>7428</v>
      </c>
      <c r="J928" s="23"/>
      <c r="K928" s="85">
        <f t="shared" si="232"/>
        <v>0</v>
      </c>
      <c r="L928" s="85">
        <f t="shared" si="233"/>
        <v>0</v>
      </c>
      <c r="M928" s="85">
        <f t="shared" si="234"/>
        <v>0</v>
      </c>
      <c r="N928" s="1043" t="s">
        <v>7314</v>
      </c>
      <c r="P928" s="513"/>
      <c r="Q928" s="2649"/>
      <c r="R928" s="2650" t="s">
        <v>2594</v>
      </c>
      <c r="S928" s="2651">
        <v>50</v>
      </c>
      <c r="T928" s="2651">
        <v>0</v>
      </c>
      <c r="U928" s="2652" t="s">
        <v>823</v>
      </c>
      <c r="V928" s="2653"/>
      <c r="W928" s="2653"/>
      <c r="X928" s="2653"/>
      <c r="Y928" s="2652" t="s">
        <v>823</v>
      </c>
      <c r="Z928" s="2649"/>
      <c r="AA928" s="2649"/>
      <c r="AB928" s="2649"/>
      <c r="AC928" s="1231">
        <f>COUNTIF(Compra_TablasEstilo,Tablas!R928)</f>
        <v>0</v>
      </c>
    </row>
    <row r="929" spans="1:29" ht="12.75" customHeight="1" x14ac:dyDescent="0.2">
      <c r="A929" s="237">
        <v>929</v>
      </c>
      <c r="B929" s="5838"/>
      <c r="C929" s="1042"/>
      <c r="D929" s="23"/>
      <c r="E929" s="225" t="s">
        <v>1007</v>
      </c>
      <c r="F929" s="85">
        <v>40</v>
      </c>
      <c r="G929" s="85">
        <f>IF(COUNTIF(PDs!$E$75:$E$77,Tablas!E929)&gt;0,1,0)</f>
        <v>0</v>
      </c>
      <c r="H929" s="85" t="str">
        <f>IF(Tablas!Y840=0,"NO","-")</f>
        <v>NO</v>
      </c>
      <c r="I929" s="23" t="s">
        <v>7429</v>
      </c>
      <c r="J929" s="23"/>
      <c r="K929" s="85">
        <f t="shared" si="232"/>
        <v>0</v>
      </c>
      <c r="L929" s="85">
        <f t="shared" si="233"/>
        <v>0</v>
      </c>
      <c r="M929" s="85">
        <f t="shared" si="234"/>
        <v>0</v>
      </c>
      <c r="N929" s="1043" t="s">
        <v>7315</v>
      </c>
      <c r="P929" s="513"/>
      <c r="Q929" s="2649"/>
      <c r="R929" s="2650" t="s">
        <v>824</v>
      </c>
      <c r="S929" s="2651">
        <v>30</v>
      </c>
      <c r="T929" s="2651">
        <v>0</v>
      </c>
      <c r="U929" s="2652" t="s">
        <v>825</v>
      </c>
      <c r="V929" s="2653"/>
      <c r="W929" s="2653"/>
      <c r="X929" s="2653"/>
      <c r="Y929" s="2652" t="s">
        <v>825</v>
      </c>
      <c r="Z929" s="2649"/>
      <c r="AA929" s="2649"/>
      <c r="AB929" s="2649"/>
      <c r="AC929" s="1231">
        <f>COUNTIF(Compra_TablasEstilo,Tablas!R929)</f>
        <v>0</v>
      </c>
    </row>
    <row r="930" spans="1:29" ht="12.75" customHeight="1" x14ac:dyDescent="0.2">
      <c r="A930" s="237">
        <v>930</v>
      </c>
      <c r="B930" s="5838"/>
      <c r="C930" s="1042"/>
      <c r="D930" s="23"/>
      <c r="E930" s="225" t="s">
        <v>1008</v>
      </c>
      <c r="F930" s="85">
        <v>10</v>
      </c>
      <c r="G930" s="85">
        <f>IF(COUNTIF(PDs!$E$75:$E$77,Tablas!E930)&gt;0,1,0)</f>
        <v>0</v>
      </c>
      <c r="H930" s="85" t="str">
        <f>IF(Tablas!Y843=0,"NO","-")</f>
        <v>NO</v>
      </c>
      <c r="I930" s="23" t="s">
        <v>7430</v>
      </c>
      <c r="J930" s="23"/>
      <c r="K930" s="85">
        <f t="shared" si="232"/>
        <v>0</v>
      </c>
      <c r="L930" s="85">
        <f t="shared" si="233"/>
        <v>0</v>
      </c>
      <c r="M930" s="85">
        <f t="shared" si="234"/>
        <v>0</v>
      </c>
      <c r="N930" s="1043" t="s">
        <v>7316</v>
      </c>
      <c r="P930" s="513"/>
      <c r="Q930" s="2649"/>
      <c r="R930" s="2650" t="s">
        <v>826</v>
      </c>
      <c r="S930" s="2651">
        <v>40</v>
      </c>
      <c r="T930" s="2651">
        <v>1</v>
      </c>
      <c r="U930" s="2652" t="s">
        <v>827</v>
      </c>
      <c r="V930" s="2653"/>
      <c r="W930" s="2653"/>
      <c r="X930" s="2653"/>
      <c r="Y930" s="2652" t="s">
        <v>8746</v>
      </c>
      <c r="Z930" s="2649"/>
      <c r="AA930" s="2649"/>
      <c r="AB930" s="2649"/>
      <c r="AC930" s="1231">
        <f>COUNTIF(Compra_TablasEstilo,Tablas!R930)</f>
        <v>0</v>
      </c>
    </row>
    <row r="931" spans="1:29" ht="12.75" customHeight="1" x14ac:dyDescent="0.2">
      <c r="A931" s="237">
        <v>931</v>
      </c>
      <c r="B931" s="5838"/>
      <c r="C931" s="1042"/>
      <c r="D931" s="23"/>
      <c r="E931" s="225" t="s">
        <v>1009</v>
      </c>
      <c r="F931" s="85">
        <v>30</v>
      </c>
      <c r="G931" s="85">
        <f>IF(COUNTIF(PDs!$E$75:$E$77,Tablas!E931)&gt;0,1,0)</f>
        <v>0</v>
      </c>
      <c r="H931" s="85" t="str">
        <f>IF(Tablas!Y846=0,"NO","-")</f>
        <v>NO</v>
      </c>
      <c r="I931" s="23" t="s">
        <v>7431</v>
      </c>
      <c r="J931" s="23"/>
      <c r="K931" s="85">
        <f t="shared" si="232"/>
        <v>0</v>
      </c>
      <c r="L931" s="85">
        <f t="shared" si="233"/>
        <v>0</v>
      </c>
      <c r="M931" s="85">
        <f t="shared" si="234"/>
        <v>0</v>
      </c>
      <c r="N931" s="1043" t="s">
        <v>7317</v>
      </c>
      <c r="P931" s="513"/>
      <c r="Q931" s="2649"/>
      <c r="R931" s="2650" t="s">
        <v>828</v>
      </c>
      <c r="S931" s="2651">
        <v>40</v>
      </c>
      <c r="T931" s="2651">
        <v>0</v>
      </c>
      <c r="U931" s="2652" t="s">
        <v>8749</v>
      </c>
      <c r="V931" s="2653"/>
      <c r="W931" s="2653"/>
      <c r="X931" s="2653"/>
      <c r="Y931" s="2652" t="s">
        <v>8749</v>
      </c>
      <c r="Z931" s="2649"/>
      <c r="AA931" s="2649"/>
      <c r="AB931" s="2649"/>
      <c r="AC931" s="1231">
        <f>COUNTIF(Compra_TablasEstilo,Tablas!R931)</f>
        <v>0</v>
      </c>
    </row>
    <row r="932" spans="1:29" ht="12.75" customHeight="1" x14ac:dyDescent="0.2">
      <c r="A932" s="237">
        <v>932</v>
      </c>
      <c r="B932" s="5838"/>
      <c r="C932" s="1042"/>
      <c r="D932" s="23"/>
      <c r="E932" s="225" t="s">
        <v>1010</v>
      </c>
      <c r="F932" s="85">
        <v>60</v>
      </c>
      <c r="G932" s="85">
        <f>IF(COUNTIF(PDs!$E$75:$E$77,Tablas!E932)&gt;0,1,0)</f>
        <v>0</v>
      </c>
      <c r="H932" s="85" t="str">
        <f>IF(Tablas!Y849=0,"NO","-")</f>
        <v>NO</v>
      </c>
      <c r="I932" s="23" t="s">
        <v>10214</v>
      </c>
      <c r="J932" s="23"/>
      <c r="K932" s="85">
        <f t="shared" si="232"/>
        <v>0</v>
      </c>
      <c r="L932" s="85">
        <f t="shared" si="233"/>
        <v>0</v>
      </c>
      <c r="M932" s="85">
        <f t="shared" si="234"/>
        <v>0</v>
      </c>
      <c r="N932" s="1043" t="s">
        <v>7318</v>
      </c>
      <c r="P932" s="513"/>
      <c r="Q932" s="2649"/>
      <c r="R932" s="2650" t="s">
        <v>829</v>
      </c>
      <c r="S932" s="2651">
        <v>40</v>
      </c>
      <c r="T932" s="2651">
        <v>0</v>
      </c>
      <c r="U932" s="2652" t="s">
        <v>830</v>
      </c>
      <c r="V932" s="2653"/>
      <c r="W932" s="2653"/>
      <c r="X932" s="2653"/>
      <c r="Y932" s="2652" t="s">
        <v>830</v>
      </c>
      <c r="Z932" s="2649"/>
      <c r="AA932" s="2649"/>
      <c r="AB932" s="2649"/>
      <c r="AC932" s="1231">
        <f>COUNTIF(Compra_TablasEstilo,Tablas!R932)</f>
        <v>0</v>
      </c>
    </row>
    <row r="933" spans="1:29" ht="12.75" customHeight="1" x14ac:dyDescent="0.2">
      <c r="A933" s="237">
        <v>933</v>
      </c>
      <c r="B933" s="5838"/>
      <c r="C933" s="1042"/>
      <c r="D933" s="23"/>
      <c r="E933" s="225" t="s">
        <v>1011</v>
      </c>
      <c r="F933" s="85">
        <v>10</v>
      </c>
      <c r="G933" s="85">
        <f>IF(COUNTIF(PDs!$E$75:$E$77,Tablas!E933)&gt;0,1,0)</f>
        <v>0</v>
      </c>
      <c r="H933" s="85" t="str">
        <f>IF(Tablas!Y852=0,"NO","-")</f>
        <v>NO</v>
      </c>
      <c r="I933" s="23" t="s">
        <v>7432</v>
      </c>
      <c r="J933" s="23"/>
      <c r="K933" s="85">
        <f t="shared" si="232"/>
        <v>0</v>
      </c>
      <c r="L933" s="85">
        <f t="shared" si="233"/>
        <v>0</v>
      </c>
      <c r="M933" s="85">
        <f t="shared" si="234"/>
        <v>0</v>
      </c>
      <c r="N933" s="1043" t="s">
        <v>7319</v>
      </c>
      <c r="P933" s="513"/>
      <c r="Q933" s="2649"/>
      <c r="R933" s="2650" t="s">
        <v>831</v>
      </c>
      <c r="S933" s="2651">
        <v>50</v>
      </c>
      <c r="T933" s="2651">
        <v>0</v>
      </c>
      <c r="U933" s="2652" t="s">
        <v>832</v>
      </c>
      <c r="V933" s="2653"/>
      <c r="W933" s="2653"/>
      <c r="X933" s="2653"/>
      <c r="Y933" s="2652" t="s">
        <v>832</v>
      </c>
      <c r="Z933" s="2649"/>
      <c r="AA933" s="2649"/>
      <c r="AB933" s="2649"/>
      <c r="AC933" s="1231">
        <f>COUNTIF(Compra_TablasEstilo,Tablas!R933)</f>
        <v>0</v>
      </c>
    </row>
    <row r="934" spans="1:29" ht="12.75" customHeight="1" x14ac:dyDescent="0.2">
      <c r="A934" s="237">
        <v>934</v>
      </c>
      <c r="B934" s="5838"/>
      <c r="C934" s="1042"/>
      <c r="D934" s="23"/>
      <c r="E934" s="225" t="s">
        <v>1012</v>
      </c>
      <c r="F934" s="85">
        <v>20</v>
      </c>
      <c r="G934" s="85">
        <f>IF(COUNTIF(PDs!$E$75:$E$77,Tablas!E934)&gt;0,1,0)</f>
        <v>0</v>
      </c>
      <c r="H934" s="85" t="str">
        <f>IF(Tablas!Y855=0,"NO","-")</f>
        <v>NO</v>
      </c>
      <c r="I934" s="23" t="s">
        <v>7433</v>
      </c>
      <c r="J934" s="23"/>
      <c r="K934" s="85">
        <f t="shared" si="232"/>
        <v>0</v>
      </c>
      <c r="L934" s="85">
        <f t="shared" si="233"/>
        <v>0</v>
      </c>
      <c r="M934" s="85">
        <f t="shared" si="234"/>
        <v>0</v>
      </c>
      <c r="N934" s="1043" t="s">
        <v>7320</v>
      </c>
      <c r="P934" s="513"/>
      <c r="Q934" s="2649"/>
      <c r="R934" s="2650" t="s">
        <v>833</v>
      </c>
      <c r="S934" s="2651">
        <v>40</v>
      </c>
      <c r="T934" s="2651">
        <v>0</v>
      </c>
      <c r="U934" s="2652" t="s">
        <v>834</v>
      </c>
      <c r="V934" s="2653"/>
      <c r="W934" s="2653"/>
      <c r="X934" s="2653"/>
      <c r="Y934" s="2652" t="s">
        <v>834</v>
      </c>
      <c r="Z934" s="2649"/>
      <c r="AA934" s="2649"/>
      <c r="AB934" s="2649"/>
      <c r="AC934" s="1231">
        <f>COUNTIF(Compra_TablasEstilo,Tablas!R934)</f>
        <v>0</v>
      </c>
    </row>
    <row r="935" spans="1:29" ht="12.75" customHeight="1" x14ac:dyDescent="0.2">
      <c r="A935" s="237">
        <v>935</v>
      </c>
      <c r="B935" s="5838"/>
      <c r="C935" s="1042"/>
      <c r="D935" s="23"/>
      <c r="E935" s="225" t="s">
        <v>1013</v>
      </c>
      <c r="F935" s="85">
        <v>20</v>
      </c>
      <c r="G935" s="85">
        <f>IF(COUNTIF(PDs!$E$75:$E$77,Tablas!E935)&gt;0,1,0)</f>
        <v>0</v>
      </c>
      <c r="H935" s="85" t="str">
        <f>IF(Tablas!Y858=0,"NO","-")</f>
        <v>NO</v>
      </c>
      <c r="I935" s="23" t="s">
        <v>7434</v>
      </c>
      <c r="J935" s="23"/>
      <c r="K935" s="85">
        <f t="shared" si="232"/>
        <v>0</v>
      </c>
      <c r="L935" s="85">
        <f t="shared" si="233"/>
        <v>0</v>
      </c>
      <c r="M935" s="85">
        <f t="shared" si="234"/>
        <v>0</v>
      </c>
      <c r="N935" s="1043" t="s">
        <v>7321</v>
      </c>
      <c r="P935" s="513"/>
      <c r="Q935" s="2649"/>
      <c r="R935" s="2650" t="s">
        <v>835</v>
      </c>
      <c r="S935" s="2651">
        <v>40</v>
      </c>
      <c r="T935" s="2651">
        <v>0</v>
      </c>
      <c r="U935" s="2652" t="s">
        <v>836</v>
      </c>
      <c r="V935" s="2653"/>
      <c r="W935" s="2653"/>
      <c r="X935" s="2653"/>
      <c r="Y935" s="2652" t="s">
        <v>836</v>
      </c>
      <c r="Z935" s="2649"/>
      <c r="AA935" s="2649"/>
      <c r="AB935" s="2649"/>
      <c r="AC935" s="1231">
        <f>COUNTIF(Compra_TablasEstilo,Tablas!R935)</f>
        <v>0</v>
      </c>
    </row>
    <row r="936" spans="1:29" ht="12.75" customHeight="1" x14ac:dyDescent="0.2">
      <c r="A936" s="237">
        <v>936</v>
      </c>
      <c r="B936" s="5838"/>
      <c r="C936" s="1042"/>
      <c r="D936" s="23"/>
      <c r="E936" s="225" t="s">
        <v>1014</v>
      </c>
      <c r="F936" s="85">
        <v>20</v>
      </c>
      <c r="G936" s="85">
        <f>IF(COUNTIF(PDs!$E$75:$E$77,Tablas!E936)&gt;0,1,0)</f>
        <v>0</v>
      </c>
      <c r="H936" s="85" t="str">
        <f>IF(Tablas!Y861=0,"NO","-")</f>
        <v>NO</v>
      </c>
      <c r="I936" s="23" t="s">
        <v>7435</v>
      </c>
      <c r="J936" s="23"/>
      <c r="K936" s="85">
        <f t="shared" si="232"/>
        <v>0</v>
      </c>
      <c r="L936" s="85">
        <f t="shared" si="233"/>
        <v>0</v>
      </c>
      <c r="M936" s="85">
        <f t="shared" si="234"/>
        <v>0</v>
      </c>
      <c r="N936" s="1043" t="s">
        <v>7322</v>
      </c>
      <c r="P936" s="513"/>
      <c r="Q936" s="2649"/>
      <c r="R936" s="2650" t="s">
        <v>837</v>
      </c>
      <c r="S936" s="2651">
        <v>40</v>
      </c>
      <c r="T936" s="2651">
        <v>1</v>
      </c>
      <c r="U936" s="2652" t="s">
        <v>838</v>
      </c>
      <c r="V936" s="2653"/>
      <c r="W936" s="2653"/>
      <c r="X936" s="2653"/>
      <c r="Y936" s="2652" t="s">
        <v>8747</v>
      </c>
      <c r="Z936" s="2649"/>
      <c r="AA936" s="2649"/>
      <c r="AB936" s="2649"/>
      <c r="AC936" s="1231">
        <f>COUNTIF(Compra_TablasEstilo,Tablas!R936)</f>
        <v>0</v>
      </c>
    </row>
    <row r="937" spans="1:29" ht="12.75" customHeight="1" x14ac:dyDescent="0.2">
      <c r="A937" s="237">
        <v>937</v>
      </c>
      <c r="B937" s="5838"/>
      <c r="C937" s="1042"/>
      <c r="D937" s="23"/>
      <c r="E937" s="225" t="s">
        <v>1015</v>
      </c>
      <c r="F937" s="85">
        <v>30</v>
      </c>
      <c r="G937" s="85">
        <f>IF(COUNTIF(PDs!$E$75:$E$77,Tablas!E937)&gt;0,1,0)</f>
        <v>0</v>
      </c>
      <c r="H937" s="85" t="str">
        <f>IF(Tablas!Y864=0,"NO","-")</f>
        <v>NO</v>
      </c>
      <c r="I937" s="23" t="s">
        <v>7436</v>
      </c>
      <c r="J937" s="23"/>
      <c r="K937" s="85">
        <f t="shared" si="232"/>
        <v>0</v>
      </c>
      <c r="L937" s="85">
        <f t="shared" si="233"/>
        <v>0</v>
      </c>
      <c r="M937" s="85">
        <f t="shared" si="234"/>
        <v>0</v>
      </c>
      <c r="N937" s="1043" t="s">
        <v>7323</v>
      </c>
      <c r="P937" s="513"/>
      <c r="Q937" s="2649"/>
      <c r="R937" s="2650" t="s">
        <v>839</v>
      </c>
      <c r="S937" s="2651">
        <v>20</v>
      </c>
      <c r="T937" s="2651">
        <v>0</v>
      </c>
      <c r="U937" s="2652" t="s">
        <v>840</v>
      </c>
      <c r="V937" s="2653"/>
      <c r="W937" s="2653"/>
      <c r="X937" s="2653"/>
      <c r="Y937" s="2652" t="s">
        <v>840</v>
      </c>
      <c r="Z937" s="2649"/>
      <c r="AA937" s="2649"/>
      <c r="AB937" s="2649"/>
      <c r="AC937" s="1231">
        <f>COUNTIF(Compra_TablasEstilo,Tablas!R937)</f>
        <v>0</v>
      </c>
    </row>
    <row r="938" spans="1:29" ht="12.75" customHeight="1" x14ac:dyDescent="0.2">
      <c r="A938" s="237">
        <v>938</v>
      </c>
      <c r="B938" s="5838"/>
      <c r="C938" s="1042"/>
      <c r="D938" s="23"/>
      <c r="E938" s="225" t="s">
        <v>1016</v>
      </c>
      <c r="F938" s="85">
        <v>20</v>
      </c>
      <c r="G938" s="85">
        <f>IF(COUNTIF(PDs!$E$75:$E$77,Tablas!E938)&gt;0,1,0)</f>
        <v>0</v>
      </c>
      <c r="H938" s="85" t="str">
        <f>IF(Tablas!Y867=0,"NO","-")</f>
        <v>NO</v>
      </c>
      <c r="I938" s="23" t="s">
        <v>8820</v>
      </c>
      <c r="J938" s="23"/>
      <c r="K938" s="85">
        <f t="shared" si="232"/>
        <v>0</v>
      </c>
      <c r="L938" s="85">
        <f t="shared" si="233"/>
        <v>0</v>
      </c>
      <c r="M938" s="85">
        <f t="shared" si="234"/>
        <v>0</v>
      </c>
      <c r="N938" s="1043" t="s">
        <v>7324</v>
      </c>
      <c r="P938" s="513"/>
      <c r="Q938" s="2649"/>
      <c r="R938" s="2650" t="s">
        <v>841</v>
      </c>
      <c r="S938" s="2651">
        <v>30</v>
      </c>
      <c r="T938" s="2651">
        <v>0</v>
      </c>
      <c r="U938" s="2652" t="s">
        <v>842</v>
      </c>
      <c r="V938" s="2653"/>
      <c r="W938" s="2653"/>
      <c r="X938" s="2653"/>
      <c r="Y938" s="2652" t="s">
        <v>842</v>
      </c>
      <c r="Z938" s="2649"/>
      <c r="AA938" s="2649"/>
      <c r="AB938" s="2649"/>
      <c r="AC938" s="1231">
        <f>COUNTIF(Compra_TablasEstilo,Tablas!R938)</f>
        <v>0</v>
      </c>
    </row>
    <row r="939" spans="1:29" ht="12.75" customHeight="1" x14ac:dyDescent="0.2">
      <c r="A939" s="237">
        <v>939</v>
      </c>
      <c r="B939" s="5838"/>
      <c r="C939" s="1042"/>
      <c r="D939" s="23"/>
      <c r="E939" s="225" t="s">
        <v>1017</v>
      </c>
      <c r="F939" s="85">
        <v>10</v>
      </c>
      <c r="G939" s="85">
        <f>IF(COUNTIF(PDs!$E$75:$E$77,Tablas!E939)&gt;0,1,0)</f>
        <v>0</v>
      </c>
      <c r="H939" s="85" t="str">
        <f>IF(Tablas!Y870=0,"NO","-")</f>
        <v>NO</v>
      </c>
      <c r="I939" s="23" t="s">
        <v>7437</v>
      </c>
      <c r="J939" s="23"/>
      <c r="K939" s="85">
        <f t="shared" si="232"/>
        <v>0</v>
      </c>
      <c r="L939" s="85">
        <f t="shared" si="233"/>
        <v>0</v>
      </c>
      <c r="M939" s="85">
        <f t="shared" si="234"/>
        <v>0</v>
      </c>
      <c r="N939" s="1043" t="s">
        <v>7325</v>
      </c>
      <c r="P939" s="513"/>
      <c r="Q939" s="2649"/>
      <c r="R939" s="2650" t="s">
        <v>843</v>
      </c>
      <c r="S939" s="2651">
        <v>20</v>
      </c>
      <c r="T939" s="2651">
        <v>0</v>
      </c>
      <c r="U939" s="2652" t="s">
        <v>844</v>
      </c>
      <c r="V939" s="2653"/>
      <c r="W939" s="2653"/>
      <c r="X939" s="2653"/>
      <c r="Y939" s="2652" t="s">
        <v>8748</v>
      </c>
      <c r="Z939" s="2649"/>
      <c r="AA939" s="2649"/>
      <c r="AB939" s="2649"/>
      <c r="AC939" s="1231">
        <f>COUNTIF(Compra_TablasEstilo,Tablas!R939)</f>
        <v>0</v>
      </c>
    </row>
    <row r="940" spans="1:29" ht="12.75" customHeight="1" x14ac:dyDescent="0.2">
      <c r="A940" s="237">
        <v>940</v>
      </c>
      <c r="B940" s="5838"/>
      <c r="C940" s="1042"/>
      <c r="D940" s="23"/>
      <c r="E940" s="225" t="s">
        <v>1018</v>
      </c>
      <c r="F940" s="85">
        <v>40</v>
      </c>
      <c r="G940" s="85">
        <f>IF(COUNTIF(PDs!$E$75:$E$77,Tablas!E940)&gt;0,1,0)</f>
        <v>0</v>
      </c>
      <c r="H940" s="85" t="str">
        <f>IF(Tablas!Y873=0,"NO","-")</f>
        <v>NO</v>
      </c>
      <c r="I940" s="23" t="s">
        <v>7438</v>
      </c>
      <c r="J940" s="23"/>
      <c r="K940" s="85">
        <f t="shared" si="232"/>
        <v>0</v>
      </c>
      <c r="L940" s="85">
        <f t="shared" si="233"/>
        <v>0</v>
      </c>
      <c r="M940" s="85">
        <f t="shared" si="234"/>
        <v>0</v>
      </c>
      <c r="N940" s="1043" t="s">
        <v>7326</v>
      </c>
      <c r="P940" s="513"/>
      <c r="Q940" s="2649"/>
      <c r="R940" s="2650" t="s">
        <v>845</v>
      </c>
      <c r="S940" s="2651">
        <v>20</v>
      </c>
      <c r="T940" s="2651">
        <v>0</v>
      </c>
      <c r="U940" s="2652" t="s">
        <v>846</v>
      </c>
      <c r="V940" s="2653"/>
      <c r="W940" s="2653"/>
      <c r="X940" s="2653"/>
      <c r="Y940" s="2652" t="s">
        <v>846</v>
      </c>
      <c r="Z940" s="2649"/>
      <c r="AA940" s="2649"/>
      <c r="AB940" s="2649"/>
      <c r="AC940" s="1231">
        <f>COUNTIF(Compra_TablasEstilo,Tablas!R940)</f>
        <v>0</v>
      </c>
    </row>
    <row r="941" spans="1:29" ht="12.75" customHeight="1" x14ac:dyDescent="0.2">
      <c r="A941" s="237">
        <v>941</v>
      </c>
      <c r="B941" s="5838"/>
      <c r="C941" s="1042"/>
      <c r="D941" s="23"/>
      <c r="E941" s="225" t="s">
        <v>1019</v>
      </c>
      <c r="F941" s="85">
        <v>30</v>
      </c>
      <c r="G941" s="85">
        <f>IF(COUNTIF(PDs!$E$75:$E$77,Tablas!E941)&gt;0,1,0)</f>
        <v>0</v>
      </c>
      <c r="H941" s="85" t="str">
        <f>IF(Tablas!Y876=0,"NO","-")</f>
        <v>NO</v>
      </c>
      <c r="I941" s="23" t="s">
        <v>7439</v>
      </c>
      <c r="J941" s="23"/>
      <c r="K941" s="85">
        <f t="shared" si="232"/>
        <v>0</v>
      </c>
      <c r="L941" s="85">
        <f t="shared" si="233"/>
        <v>0</v>
      </c>
      <c r="M941" s="85">
        <f t="shared" si="234"/>
        <v>0</v>
      </c>
      <c r="N941" s="1043" t="s">
        <v>7327</v>
      </c>
      <c r="P941" s="513"/>
      <c r="Q941" s="2649"/>
      <c r="R941" s="2650" t="s">
        <v>847</v>
      </c>
      <c r="S941" s="2651">
        <v>40</v>
      </c>
      <c r="T941" s="2651">
        <v>0</v>
      </c>
      <c r="U941" s="2652" t="s">
        <v>848</v>
      </c>
      <c r="V941" s="2653"/>
      <c r="W941" s="2653"/>
      <c r="X941" s="2653"/>
      <c r="Y941" s="2652" t="s">
        <v>848</v>
      </c>
      <c r="Z941" s="2649"/>
      <c r="AA941" s="2649"/>
      <c r="AB941" s="2649"/>
      <c r="AC941" s="1231">
        <f>COUNTIF(Compra_TablasEstilo,Tablas!R941)</f>
        <v>0</v>
      </c>
    </row>
    <row r="942" spans="1:29" ht="12.75" customHeight="1" x14ac:dyDescent="0.2">
      <c r="A942" s="237">
        <v>942</v>
      </c>
      <c r="B942" s="5838"/>
      <c r="C942" s="1042"/>
      <c r="D942" s="23"/>
      <c r="E942" s="225" t="s">
        <v>1020</v>
      </c>
      <c r="F942" s="85">
        <v>40</v>
      </c>
      <c r="G942" s="85">
        <f>IF(COUNTIF(PDs!$E$75:$E$77,Tablas!E942)&gt;0,1,0)</f>
        <v>0</v>
      </c>
      <c r="H942" s="85" t="str">
        <f>IF(Tablas!Y879=0,"NO","-")</f>
        <v>NO</v>
      </c>
      <c r="I942" s="23" t="s">
        <v>7440</v>
      </c>
      <c r="J942" s="23"/>
      <c r="K942" s="85">
        <f t="shared" si="232"/>
        <v>0</v>
      </c>
      <c r="L942" s="85">
        <f t="shared" si="233"/>
        <v>0</v>
      </c>
      <c r="M942" s="85">
        <f t="shared" si="234"/>
        <v>0</v>
      </c>
      <c r="N942" s="1043" t="s">
        <v>7328</v>
      </c>
      <c r="P942" s="513"/>
      <c r="Q942" s="2649"/>
      <c r="R942" s="2650" t="s">
        <v>849</v>
      </c>
      <c r="S942" s="2651">
        <v>30</v>
      </c>
      <c r="T942" s="2651">
        <v>0</v>
      </c>
      <c r="U942" s="2652" t="s">
        <v>850</v>
      </c>
      <c r="V942" s="2653"/>
      <c r="W942" s="2653"/>
      <c r="X942" s="2653"/>
      <c r="Y942" s="2652" t="s">
        <v>850</v>
      </c>
      <c r="Z942" s="2649"/>
      <c r="AA942" s="2649"/>
      <c r="AB942" s="2649"/>
      <c r="AC942" s="1231">
        <f>COUNTIF(Compra_TablasEstilo,Tablas!R942)</f>
        <v>0</v>
      </c>
    </row>
    <row r="943" spans="1:29" ht="12.75" customHeight="1" x14ac:dyDescent="0.2">
      <c r="A943" s="237">
        <v>943</v>
      </c>
      <c r="B943" s="5838"/>
      <c r="C943" s="1042"/>
      <c r="D943" s="23"/>
      <c r="E943" s="225" t="s">
        <v>949</v>
      </c>
      <c r="F943" s="94">
        <v>0</v>
      </c>
      <c r="G943" s="85"/>
      <c r="H943" s="85" t="s">
        <v>1459</v>
      </c>
      <c r="I943" s="85" t="s">
        <v>7112</v>
      </c>
      <c r="J943" s="23"/>
      <c r="K943" s="85"/>
      <c r="L943" s="85"/>
      <c r="M943" s="85"/>
      <c r="N943" s="1043"/>
      <c r="P943" s="513"/>
      <c r="Q943" s="2649"/>
      <c r="R943" s="2650" t="s">
        <v>851</v>
      </c>
      <c r="S943" s="2651">
        <v>30</v>
      </c>
      <c r="T943" s="2651">
        <v>0</v>
      </c>
      <c r="U943" s="2652" t="s">
        <v>852</v>
      </c>
      <c r="V943" s="2653"/>
      <c r="W943" s="2653"/>
      <c r="X943" s="2653"/>
      <c r="Y943" s="2652" t="s">
        <v>852</v>
      </c>
      <c r="Z943" s="2649"/>
      <c r="AA943" s="2649"/>
      <c r="AB943" s="2649"/>
      <c r="AC943" s="1231">
        <f>COUNTIF(Compra_TablasEstilo,Tablas!R943)</f>
        <v>0</v>
      </c>
    </row>
    <row r="944" spans="1:29" ht="12.75" customHeight="1" x14ac:dyDescent="0.2">
      <c r="A944" s="237">
        <v>944</v>
      </c>
      <c r="B944" s="5838"/>
      <c r="C944" s="1042"/>
      <c r="D944" s="23"/>
      <c r="E944" s="225" t="s">
        <v>1021</v>
      </c>
      <c r="F944" s="85">
        <v>40</v>
      </c>
      <c r="G944" s="85">
        <f>IF(COUNTIF(PDs!$E$75:$E$77,Tablas!E944)&gt;0,1,0)</f>
        <v>0</v>
      </c>
      <c r="H944" s="85" t="str">
        <f>IF(Tablas!Y887=0,"NO","-")</f>
        <v>NO</v>
      </c>
      <c r="I944" s="23" t="s">
        <v>7441</v>
      </c>
      <c r="J944" s="23"/>
      <c r="K944" s="85">
        <f t="shared" ref="K944:K954" si="235">$G944*SUMPRODUCT(H$827:H$916,--ISNUMBER(SEARCH($N944,$D$827:$D$916)),$Y$827:$Y$916)</f>
        <v>0</v>
      </c>
      <c r="L944" s="85">
        <f t="shared" ref="L944:L954" si="236">$G944*SUMPRODUCT(I$827:I$916,--ISNUMBER(SEARCH($N944,$D$827:$D$916)),$Y$827:$Y$916)</f>
        <v>0</v>
      </c>
      <c r="M944" s="85">
        <f t="shared" ref="M944:M954" si="237">$G944*SUMPRODUCT(J$827:J$916,--ISNUMBER(SEARCH($N944,$D$827:$D$916)),$Y$827:$Y$916)</f>
        <v>0</v>
      </c>
      <c r="N944" s="1043" t="s">
        <v>7331</v>
      </c>
      <c r="P944" s="513"/>
      <c r="Q944" s="2649"/>
      <c r="R944" s="2650" t="s">
        <v>853</v>
      </c>
      <c r="S944" s="2651">
        <v>30</v>
      </c>
      <c r="T944" s="2651">
        <v>0</v>
      </c>
      <c r="U944" s="2652" t="s">
        <v>854</v>
      </c>
      <c r="V944" s="2653"/>
      <c r="W944" s="2653"/>
      <c r="X944" s="2653"/>
      <c r="Y944" s="2652" t="s">
        <v>854</v>
      </c>
      <c r="Z944" s="2649"/>
      <c r="AA944" s="2649"/>
      <c r="AB944" s="2649"/>
      <c r="AC944" s="1231">
        <f>COUNTIF(Compra_TablasEstilo,Tablas!R944)</f>
        <v>0</v>
      </c>
    </row>
    <row r="945" spans="1:29" ht="12.75" customHeight="1" thickBot="1" x14ac:dyDescent="0.25">
      <c r="A945" s="237">
        <v>945</v>
      </c>
      <c r="B945" s="5838"/>
      <c r="C945" s="1042"/>
      <c r="D945" s="23"/>
      <c r="E945" s="225" t="s">
        <v>1022</v>
      </c>
      <c r="F945" s="85">
        <v>10</v>
      </c>
      <c r="G945" s="85">
        <f>IF(COUNTIF(PDs!$E$75:$E$77,Tablas!E945)&gt;0,1,0)</f>
        <v>0</v>
      </c>
      <c r="H945" s="85" t="str">
        <f>IF(Tablas!Y889=0,"NO","-")</f>
        <v>NO</v>
      </c>
      <c r="I945" s="23" t="s">
        <v>7442</v>
      </c>
      <c r="J945" s="23"/>
      <c r="K945" s="85">
        <f t="shared" si="235"/>
        <v>0</v>
      </c>
      <c r="L945" s="85">
        <f t="shared" si="236"/>
        <v>0</v>
      </c>
      <c r="M945" s="85">
        <f t="shared" si="237"/>
        <v>0</v>
      </c>
      <c r="N945" s="1043" t="s">
        <v>7332</v>
      </c>
      <c r="P945" s="515"/>
      <c r="Q945" s="610"/>
      <c r="R945" s="1432" t="s">
        <v>855</v>
      </c>
      <c r="S945" s="518">
        <v>10</v>
      </c>
      <c r="T945" s="518">
        <v>0</v>
      </c>
      <c r="U945" s="1433" t="s">
        <v>856</v>
      </c>
      <c r="V945" s="644"/>
      <c r="W945" s="644"/>
      <c r="X945" s="644"/>
      <c r="Y945" s="1433" t="s">
        <v>856</v>
      </c>
      <c r="Z945" s="610"/>
      <c r="AA945" s="610"/>
      <c r="AB945" s="610"/>
      <c r="AC945" s="2327">
        <f>COUNTIF(Compra_TablasEstilo,Tablas!R945)</f>
        <v>0</v>
      </c>
    </row>
    <row r="946" spans="1:29" ht="12.75" customHeight="1" x14ac:dyDescent="0.2">
      <c r="A946" s="237">
        <v>946</v>
      </c>
      <c r="B946" s="5838"/>
      <c r="C946" s="1042"/>
      <c r="D946" s="23"/>
      <c r="E946" s="225" t="s">
        <v>1023</v>
      </c>
      <c r="F946" s="85">
        <v>20</v>
      </c>
      <c r="G946" s="85">
        <f>IF(COUNTIF(PDs!$E$75:$E$77,Tablas!E946)&gt;0,1,0)</f>
        <v>0</v>
      </c>
      <c r="H946" s="85" t="str">
        <f>IF(Tablas!Y895=0,"NO","-")</f>
        <v>NO</v>
      </c>
      <c r="I946" s="23" t="s">
        <v>7443</v>
      </c>
      <c r="J946" s="23"/>
      <c r="K946" s="85">
        <f t="shared" si="235"/>
        <v>0</v>
      </c>
      <c r="L946" s="85">
        <f t="shared" si="236"/>
        <v>0</v>
      </c>
      <c r="M946" s="85">
        <f t="shared" si="237"/>
        <v>0</v>
      </c>
      <c r="N946" s="1043" t="s">
        <v>7335</v>
      </c>
    </row>
    <row r="947" spans="1:29" ht="12.75" customHeight="1" x14ac:dyDescent="0.2">
      <c r="A947" s="237">
        <v>947</v>
      </c>
      <c r="B947" s="5838"/>
      <c r="C947" s="1042"/>
      <c r="D947" s="23"/>
      <c r="E947" s="225" t="s">
        <v>1024</v>
      </c>
      <c r="F947" s="85">
        <v>20</v>
      </c>
      <c r="G947" s="85">
        <f>IF(COUNTIF(PDs!$E$75:$E$77,Tablas!E947)&gt;0,1,0)</f>
        <v>0</v>
      </c>
      <c r="H947" s="85" t="str">
        <f>IF(Tablas!Y897=0,"NO","-")</f>
        <v>NO</v>
      </c>
      <c r="I947" s="23" t="s">
        <v>7444</v>
      </c>
      <c r="J947" s="23"/>
      <c r="K947" s="85">
        <f t="shared" si="235"/>
        <v>0</v>
      </c>
      <c r="L947" s="85">
        <f t="shared" si="236"/>
        <v>0</v>
      </c>
      <c r="M947" s="85">
        <f t="shared" si="237"/>
        <v>0</v>
      </c>
      <c r="N947" s="1043" t="s">
        <v>7336</v>
      </c>
    </row>
    <row r="948" spans="1:29" ht="12.75" customHeight="1" x14ac:dyDescent="0.2">
      <c r="A948" s="237">
        <v>948</v>
      </c>
      <c r="B948" s="5838"/>
      <c r="C948" s="1042"/>
      <c r="D948" s="23"/>
      <c r="E948" s="225" t="s">
        <v>1025</v>
      </c>
      <c r="F948" s="85">
        <v>20</v>
      </c>
      <c r="G948" s="85">
        <f>IF(COUNTIF(PDs!$E$75:$E$77,Tablas!E948)&gt;0,1,0)</f>
        <v>0</v>
      </c>
      <c r="H948" s="85" t="str">
        <f>IF(Tablas!Y901=0,"NO","-")</f>
        <v>NO</v>
      </c>
      <c r="I948" s="23" t="s">
        <v>7445</v>
      </c>
      <c r="J948" s="23"/>
      <c r="K948" s="85">
        <f t="shared" si="235"/>
        <v>0</v>
      </c>
      <c r="L948" s="85">
        <f t="shared" si="236"/>
        <v>0</v>
      </c>
      <c r="M948" s="85">
        <f t="shared" si="237"/>
        <v>0</v>
      </c>
      <c r="N948" s="1043" t="s">
        <v>7338</v>
      </c>
    </row>
    <row r="949" spans="1:29" ht="12.75" customHeight="1" x14ac:dyDescent="0.2">
      <c r="A949" s="237">
        <v>949</v>
      </c>
      <c r="B949" s="5838"/>
      <c r="C949" s="1042"/>
      <c r="D949" s="23"/>
      <c r="E949" s="225" t="s">
        <v>1026</v>
      </c>
      <c r="F949" s="85">
        <v>10</v>
      </c>
      <c r="G949" s="85">
        <f>IF(COUNTIF(PDs!$E$75:$E$77,Tablas!E949)&gt;0,1,0)</f>
        <v>0</v>
      </c>
      <c r="H949" s="85" t="str">
        <f>IF(Tablas!Y903=0,"NO","-")</f>
        <v>NO</v>
      </c>
      <c r="I949" s="23" t="s">
        <v>7446</v>
      </c>
      <c r="J949" s="23"/>
      <c r="K949" s="85">
        <f t="shared" si="235"/>
        <v>0</v>
      </c>
      <c r="L949" s="85">
        <f t="shared" si="236"/>
        <v>0</v>
      </c>
      <c r="M949" s="85">
        <f t="shared" si="237"/>
        <v>0</v>
      </c>
      <c r="N949" s="1043" t="s">
        <v>7339</v>
      </c>
    </row>
    <row r="950" spans="1:29" ht="12.75" customHeight="1" x14ac:dyDescent="0.2">
      <c r="A950" s="237">
        <v>950</v>
      </c>
      <c r="B950" s="5838"/>
      <c r="C950" s="1042"/>
      <c r="D950" s="23"/>
      <c r="E950" s="225" t="s">
        <v>1027</v>
      </c>
      <c r="F950" s="85">
        <v>40</v>
      </c>
      <c r="G950" s="85">
        <f>IF(COUNTIF(PDs!$E$75:$E$77,Tablas!E950)&gt;0,1,0)</f>
        <v>0</v>
      </c>
      <c r="H950" s="85" t="str">
        <f>IF(Tablas!Y905=0,"NO","-")</f>
        <v>NO</v>
      </c>
      <c r="I950" s="23" t="s">
        <v>7447</v>
      </c>
      <c r="J950" s="23"/>
      <c r="K950" s="85">
        <f t="shared" si="235"/>
        <v>0</v>
      </c>
      <c r="L950" s="85">
        <f t="shared" si="236"/>
        <v>0</v>
      </c>
      <c r="M950" s="85">
        <f t="shared" si="237"/>
        <v>0</v>
      </c>
      <c r="N950" s="1043" t="s">
        <v>7340</v>
      </c>
    </row>
    <row r="951" spans="1:29" ht="12.75" customHeight="1" x14ac:dyDescent="0.2">
      <c r="A951" s="237">
        <v>951</v>
      </c>
      <c r="B951" s="5838"/>
      <c r="C951" s="1042"/>
      <c r="D951" s="23"/>
      <c r="E951" s="225" t="s">
        <v>1028</v>
      </c>
      <c r="F951" s="85">
        <v>40</v>
      </c>
      <c r="G951" s="85">
        <f>IF(COUNTIF(PDs!$E$75:$E$77,Tablas!E951)&gt;0,1,0)</f>
        <v>0</v>
      </c>
      <c r="H951" s="85" t="str">
        <f>IF(Tablas!Y907=0,"NO","-")</f>
        <v>NO</v>
      </c>
      <c r="I951" s="23" t="s">
        <v>7448</v>
      </c>
      <c r="J951" s="23"/>
      <c r="K951" s="85">
        <f t="shared" si="235"/>
        <v>0</v>
      </c>
      <c r="L951" s="85">
        <f t="shared" si="236"/>
        <v>0</v>
      </c>
      <c r="M951" s="85">
        <f t="shared" si="237"/>
        <v>0</v>
      </c>
      <c r="N951" s="1043" t="s">
        <v>7341</v>
      </c>
    </row>
    <row r="952" spans="1:29" ht="12.75" customHeight="1" x14ac:dyDescent="0.2">
      <c r="A952" s="237">
        <v>952</v>
      </c>
      <c r="B952" s="5838"/>
      <c r="C952" s="1042"/>
      <c r="D952" s="23"/>
      <c r="E952" s="225" t="s">
        <v>1029</v>
      </c>
      <c r="F952" s="85">
        <v>30</v>
      </c>
      <c r="G952" s="85">
        <f>IF(COUNTIF(PDs!$E$75:$E$77,Tablas!E952)&gt;0,1,0)</f>
        <v>0</v>
      </c>
      <c r="H952" s="85" t="str">
        <f>IF(Tablas!Y909=0,"NO","-")</f>
        <v>NO</v>
      </c>
      <c r="I952" s="23" t="s">
        <v>7449</v>
      </c>
      <c r="J952" s="23"/>
      <c r="K952" s="85">
        <f t="shared" si="235"/>
        <v>0</v>
      </c>
      <c r="L952" s="85">
        <f t="shared" si="236"/>
        <v>0</v>
      </c>
      <c r="M952" s="85">
        <f t="shared" si="237"/>
        <v>0</v>
      </c>
      <c r="N952" s="1043" t="s">
        <v>7342</v>
      </c>
    </row>
    <row r="953" spans="1:29" ht="12.75" customHeight="1" x14ac:dyDescent="0.2">
      <c r="A953" s="237">
        <v>953</v>
      </c>
      <c r="B953" s="5838"/>
      <c r="C953" s="1042"/>
      <c r="D953" s="23"/>
      <c r="E953" s="225" t="s">
        <v>1030</v>
      </c>
      <c r="F953" s="85">
        <v>20</v>
      </c>
      <c r="G953" s="85">
        <f>IF(COUNTIF(PDs!$E$75:$E$77,Tablas!E953)&gt;0,1,0)</f>
        <v>0</v>
      </c>
      <c r="H953" s="85" t="str">
        <f>IF(Tablas!Y911=0,"NO","-")</f>
        <v>NO</v>
      </c>
      <c r="I953" s="23" t="s">
        <v>7450</v>
      </c>
      <c r="J953" s="23"/>
      <c r="K953" s="85">
        <f t="shared" si="235"/>
        <v>0</v>
      </c>
      <c r="L953" s="85">
        <f t="shared" si="236"/>
        <v>0</v>
      </c>
      <c r="M953" s="85">
        <f t="shared" si="237"/>
        <v>0</v>
      </c>
      <c r="N953" s="1043" t="s">
        <v>7343</v>
      </c>
    </row>
    <row r="954" spans="1:29" ht="12.75" customHeight="1" thickBot="1" x14ac:dyDescent="0.25">
      <c r="A954" s="237">
        <v>954</v>
      </c>
      <c r="B954" s="5838"/>
      <c r="C954" s="1044"/>
      <c r="D954" s="610"/>
      <c r="E954" s="1045" t="s">
        <v>1031</v>
      </c>
      <c r="F954" s="1046">
        <v>20</v>
      </c>
      <c r="G954" s="1046">
        <f>IF(COUNTIF(PDs!$E$75:$E$77,Tablas!E954)&gt;0,1,0)</f>
        <v>0</v>
      </c>
      <c r="H954" s="1046" t="str">
        <f>IF(Tablas!Y913=0,"NO","-")</f>
        <v>NO</v>
      </c>
      <c r="I954" s="610" t="s">
        <v>7451</v>
      </c>
      <c r="J954" s="610"/>
      <c r="K954" s="1046">
        <f t="shared" si="235"/>
        <v>0</v>
      </c>
      <c r="L954" s="1046">
        <f t="shared" si="236"/>
        <v>0</v>
      </c>
      <c r="M954" s="1046">
        <f t="shared" si="237"/>
        <v>0</v>
      </c>
      <c r="N954" s="1047" t="s">
        <v>7344</v>
      </c>
    </row>
    <row r="955" spans="1:29" ht="12.75" customHeight="1" x14ac:dyDescent="0.2">
      <c r="A955" s="237">
        <v>955</v>
      </c>
      <c r="B955" s="5838"/>
      <c r="H955"/>
      <c r="N955"/>
    </row>
    <row r="956" spans="1:29" ht="12.75" customHeight="1" x14ac:dyDescent="0.2">
      <c r="A956" s="237">
        <v>956</v>
      </c>
      <c r="B956" s="5838"/>
      <c r="H956"/>
      <c r="N956"/>
    </row>
    <row r="957" spans="1:29" ht="12.75" customHeight="1" x14ac:dyDescent="0.2">
      <c r="A957" s="237">
        <v>957</v>
      </c>
      <c r="B957" s="5838"/>
      <c r="H957"/>
      <c r="N957"/>
    </row>
    <row r="958" spans="1:29" ht="12.75" customHeight="1" thickBot="1" x14ac:dyDescent="0.25">
      <c r="A958" s="237">
        <v>958</v>
      </c>
      <c r="B958" s="5838"/>
      <c r="H958"/>
      <c r="N958"/>
    </row>
    <row r="959" spans="1:29" ht="12.75" customHeight="1" thickBot="1" x14ac:dyDescent="0.25">
      <c r="A959" s="237">
        <v>959</v>
      </c>
      <c r="B959" s="5838"/>
      <c r="C959" s="5776" t="s">
        <v>1032</v>
      </c>
      <c r="D959" s="5776"/>
      <c r="E959" s="5776"/>
      <c r="F959" s="5776"/>
      <c r="G959" s="5776"/>
      <c r="H959" s="5776"/>
      <c r="I959" s="5776"/>
      <c r="J959" s="5776"/>
      <c r="K959" s="5776"/>
      <c r="L959" s="5776"/>
      <c r="M959" s="5776"/>
      <c r="N959" s="5776"/>
      <c r="O959" s="5776"/>
      <c r="P959" s="5776"/>
      <c r="Q959" s="5776"/>
      <c r="R959" s="5776"/>
    </row>
    <row r="960" spans="1:29" ht="12.75" customHeight="1" x14ac:dyDescent="0.2">
      <c r="A960" s="237">
        <v>960</v>
      </c>
      <c r="B960" s="5838"/>
      <c r="C960" s="5776"/>
      <c r="D960" s="5776"/>
      <c r="E960" s="5776"/>
      <c r="F960" s="5776"/>
      <c r="G960" s="5776"/>
      <c r="H960" s="5776"/>
      <c r="I960" s="5776"/>
      <c r="J960" s="5776"/>
      <c r="K960" s="5776"/>
      <c r="L960" s="5776"/>
      <c r="M960" s="5776"/>
      <c r="N960" s="5776"/>
      <c r="O960" s="5776"/>
      <c r="P960" s="5776"/>
      <c r="Q960" s="5776"/>
      <c r="R960" s="5776"/>
    </row>
    <row r="961" spans="1:18" ht="12.75" customHeight="1" thickBot="1" x14ac:dyDescent="0.25">
      <c r="A961" s="237">
        <v>961</v>
      </c>
      <c r="B961" s="5838"/>
      <c r="C961" s="244"/>
      <c r="D961" s="245"/>
      <c r="E961" s="221" t="s">
        <v>1444</v>
      </c>
      <c r="F961" s="180" t="s">
        <v>1033</v>
      </c>
      <c r="G961" s="180" t="s">
        <v>1503</v>
      </c>
      <c r="H961" s="182" t="s">
        <v>2261</v>
      </c>
      <c r="I961" s="645" t="s">
        <v>863</v>
      </c>
      <c r="J961" s="245" t="s">
        <v>1553</v>
      </c>
      <c r="K961" s="245"/>
      <c r="L961" s="245"/>
      <c r="M961" s="245"/>
      <c r="N961" s="245"/>
      <c r="O961" s="645"/>
      <c r="P961" s="245"/>
      <c r="Q961" s="245"/>
      <c r="R961" s="246"/>
    </row>
    <row r="962" spans="1:18" ht="12.75" customHeight="1" x14ac:dyDescent="0.2">
      <c r="A962" s="237">
        <v>962</v>
      </c>
      <c r="B962" s="5838"/>
      <c r="C962" s="597" t="str">
        <f t="shared" ref="C962:C968" si="238">VLOOKUP(A1,$D$962:$E$968,2,0)</f>
        <v>&gt; ARS MAGNUS MENORES</v>
      </c>
      <c r="D962" s="933">
        <f t="shared" ref="D962:D968" si="239">COUNTIF($E$962:$E$968,"&lt;="&amp;E962)</f>
        <v>1</v>
      </c>
      <c r="E962" s="224" t="s">
        <v>1034</v>
      </c>
      <c r="F962" s="211">
        <v>0</v>
      </c>
      <c r="G962" s="211">
        <v>0</v>
      </c>
      <c r="H962" s="94"/>
      <c r="I962" s="241" t="s">
        <v>1459</v>
      </c>
      <c r="J962" s="247" t="s">
        <v>1459</v>
      </c>
      <c r="K962" s="54"/>
      <c r="L962" s="54"/>
      <c r="M962" s="54"/>
      <c r="N962" s="54"/>
      <c r="O962" s="642"/>
      <c r="P962" s="54"/>
      <c r="Q962" s="54"/>
      <c r="R962" s="91"/>
    </row>
    <row r="963" spans="1:18" ht="12.75" customHeight="1" x14ac:dyDescent="0.2">
      <c r="A963" s="237">
        <v>963</v>
      </c>
      <c r="B963" s="5838"/>
      <c r="C963" s="597" t="str">
        <f t="shared" si="238"/>
        <v>Ataque Final</v>
      </c>
      <c r="D963" s="933">
        <f t="shared" si="239"/>
        <v>3</v>
      </c>
      <c r="E963" s="142" t="s">
        <v>1035</v>
      </c>
      <c r="F963" s="85">
        <v>30</v>
      </c>
      <c r="G963" s="85">
        <v>10</v>
      </c>
      <c r="H963" s="94">
        <f>IF(COUNTIF(PDs!$E$78:$H$82,E963)&gt;0,1,0)</f>
        <v>0</v>
      </c>
      <c r="I963" s="622" t="s">
        <v>1459</v>
      </c>
      <c r="J963" s="15" t="s">
        <v>1036</v>
      </c>
      <c r="K963" s="23"/>
      <c r="L963" s="23"/>
      <c r="M963" s="23"/>
      <c r="N963" s="23"/>
      <c r="O963" s="55"/>
      <c r="P963" s="23"/>
      <c r="Q963" s="23"/>
      <c r="R963" s="39"/>
    </row>
    <row r="964" spans="1:18" ht="12.75" customHeight="1" x14ac:dyDescent="0.2">
      <c r="A964" s="237">
        <v>964</v>
      </c>
      <c r="B964" s="5838"/>
      <c r="C964" s="597" t="str">
        <f t="shared" si="238"/>
        <v>Berserker</v>
      </c>
      <c r="D964" s="933">
        <f t="shared" si="239"/>
        <v>7</v>
      </c>
      <c r="E964" s="142" t="s">
        <v>1037</v>
      </c>
      <c r="F964" s="85">
        <v>20</v>
      </c>
      <c r="G964" s="85">
        <v>10</v>
      </c>
      <c r="H964" s="94">
        <f>IF(COUNTIF(PDs!$E$78:$H$82,E964)&gt;0,1,0)</f>
        <v>0</v>
      </c>
      <c r="I964" s="622" t="str">
        <f>IF(COUNTIF(PDs!$E$46:$H$55,Tablas!$R$924)&gt;0,"-","NO")</f>
        <v>NO</v>
      </c>
      <c r="J964" s="15" t="s">
        <v>1038</v>
      </c>
      <c r="K964" s="23"/>
      <c r="L964" s="23"/>
      <c r="M964" s="23"/>
      <c r="N964" s="23"/>
      <c r="O964" s="55"/>
      <c r="P964" s="23"/>
      <c r="Q964" s="23"/>
      <c r="R964" s="39"/>
    </row>
    <row r="965" spans="1:18" ht="12.75" customHeight="1" x14ac:dyDescent="0.2">
      <c r="A965" s="237">
        <v>965</v>
      </c>
      <c r="B965" s="5838"/>
      <c r="C965" s="597" t="str">
        <f t="shared" si="238"/>
        <v>Guardián</v>
      </c>
      <c r="D965" s="933">
        <f t="shared" si="239"/>
        <v>5</v>
      </c>
      <c r="E965" s="142" t="s">
        <v>1039</v>
      </c>
      <c r="F965" s="85">
        <v>10</v>
      </c>
      <c r="G965" s="85">
        <v>10</v>
      </c>
      <c r="H965" s="94">
        <f>IF(COUNTIF(PDs!$E$78:$H$82,E965)&gt;0,1,0)</f>
        <v>0</v>
      </c>
      <c r="I965" s="622" t="str">
        <f>IF(OR(NOT(UsodelKi),Tablas!$Y$829+Tablas!$Y$832+Tablas!$Y$835+Tablas!$Y$838+Tablas!$Y$841+Tablas!$Y$844+Tablas!$Y$847+Tablas!$Y$850+Tablas!$Y$853+Tablas!$Y$856+Tablas!$Y$859+Tablas!$Y$862+Tablas!$Y$865+Tablas!$Y$868+Tablas!$Y$871+Tablas!$Y$874+Tablas!$Y$877+Tablas!$Y$880=0),"NO","-")</f>
        <v>NO</v>
      </c>
      <c r="J965" s="15" t="s">
        <v>1040</v>
      </c>
      <c r="K965" s="23"/>
      <c r="L965" s="23"/>
      <c r="M965" s="23"/>
      <c r="N965" s="23"/>
      <c r="O965" s="55"/>
      <c r="P965" s="23"/>
      <c r="Q965" s="23"/>
      <c r="R965" s="39"/>
    </row>
    <row r="966" spans="1:18" ht="12.75" customHeight="1" x14ac:dyDescent="0.2">
      <c r="A966" s="237">
        <v>966</v>
      </c>
      <c r="B966" s="5838"/>
      <c r="C966" s="597" t="str">
        <f t="shared" si="238"/>
        <v>Kiai</v>
      </c>
      <c r="D966" s="933">
        <f t="shared" si="239"/>
        <v>4</v>
      </c>
      <c r="E966" s="142" t="s">
        <v>1041</v>
      </c>
      <c r="F966" s="85">
        <v>40</v>
      </c>
      <c r="G966" s="85">
        <v>10</v>
      </c>
      <c r="H966" s="94">
        <f>IF(COUNTIF(PDs!$E$78:$H$82,E966)&gt;0,1,0)</f>
        <v>0</v>
      </c>
      <c r="I966" s="622" t="str">
        <f>IF(Advertir_final&lt;50,"NO","-")</f>
        <v>NO</v>
      </c>
      <c r="J966" s="15" t="s">
        <v>1042</v>
      </c>
      <c r="K966" s="23"/>
      <c r="L966" s="23"/>
      <c r="M966" s="23"/>
      <c r="N966" s="23"/>
      <c r="O966" s="55"/>
      <c r="P966" s="23"/>
      <c r="Q966" s="23"/>
      <c r="R966" s="39"/>
    </row>
    <row r="967" spans="1:18" ht="12.75" customHeight="1" x14ac:dyDescent="0.2">
      <c r="A967" s="237">
        <v>967</v>
      </c>
      <c r="B967" s="5838"/>
      <c r="C967" s="597" t="str">
        <f t="shared" si="238"/>
        <v>Maniobra Especial</v>
      </c>
      <c r="D967" s="933">
        <f t="shared" si="239"/>
        <v>2</v>
      </c>
      <c r="E967" s="142" t="s">
        <v>1043</v>
      </c>
      <c r="F967" s="85">
        <v>30</v>
      </c>
      <c r="G967" s="85">
        <v>10</v>
      </c>
      <c r="H967" s="94">
        <f>IF(COUNTIF(PDs!$E$78:$H$82,E967)&gt;0,1,0)</f>
        <v>0</v>
      </c>
      <c r="I967" s="622" t="s">
        <v>1459</v>
      </c>
      <c r="J967" s="15" t="s">
        <v>1044</v>
      </c>
      <c r="K967" s="23"/>
      <c r="L967" s="23"/>
      <c r="M967" s="23"/>
      <c r="N967" s="23"/>
      <c r="O967" s="55"/>
      <c r="P967" s="23"/>
      <c r="Q967" s="23"/>
      <c r="R967" s="39"/>
    </row>
    <row r="968" spans="1:18" ht="12.75" customHeight="1" x14ac:dyDescent="0.2">
      <c r="A968" s="237">
        <v>968</v>
      </c>
      <c r="B968" s="5838"/>
      <c r="C968" s="597" t="str">
        <f t="shared" si="238"/>
        <v>Yuuse Batojutsu</v>
      </c>
      <c r="D968" s="933">
        <f t="shared" si="239"/>
        <v>6</v>
      </c>
      <c r="E968" s="142" t="s">
        <v>1045</v>
      </c>
      <c r="F968" s="85">
        <v>30</v>
      </c>
      <c r="G968" s="85">
        <v>10</v>
      </c>
      <c r="H968" s="94">
        <f>IF(COUNTIF(PDs!$E$78:$H$82,E968)&gt;0,1,0)</f>
        <v>0</v>
      </c>
      <c r="I968" s="622" t="s">
        <v>1459</v>
      </c>
      <c r="J968" s="15" t="s">
        <v>1046</v>
      </c>
      <c r="K968" s="23"/>
      <c r="L968" s="23"/>
      <c r="M968" s="23"/>
      <c r="N968" s="23"/>
      <c r="O968" s="55"/>
      <c r="P968" s="23"/>
      <c r="Q968" s="23"/>
      <c r="R968" s="39"/>
    </row>
    <row r="969" spans="1:18" ht="12.75" customHeight="1" x14ac:dyDescent="0.2">
      <c r="A969" s="237">
        <v>969</v>
      </c>
      <c r="B969" s="5838"/>
      <c r="C969" s="597" t="str">
        <f t="shared" ref="C969:C989" si="240">VLOOKUP(A1,$D$969:$E$989,2,0)</f>
        <v>&gt; ARS MAGNUS MAYORES</v>
      </c>
      <c r="D969" s="933">
        <f t="shared" ref="D969:D989" si="241">COUNTIF($E$969:$E$989,"&lt;="&amp;E969)</f>
        <v>1</v>
      </c>
      <c r="E969" s="142" t="s">
        <v>1047</v>
      </c>
      <c r="F969" s="85">
        <v>0</v>
      </c>
      <c r="G969" s="85">
        <v>0</v>
      </c>
      <c r="H969" s="94"/>
      <c r="I969" s="622" t="s">
        <v>1459</v>
      </c>
      <c r="J969" s="86" t="s">
        <v>1459</v>
      </c>
      <c r="K969" s="23"/>
      <c r="L969" s="23"/>
      <c r="M969" s="23"/>
      <c r="N969" s="23"/>
      <c r="O969" s="55"/>
      <c r="P969" s="23"/>
      <c r="Q969" s="23"/>
      <c r="R969" s="39"/>
    </row>
    <row r="970" spans="1:18" ht="12.75" customHeight="1" x14ac:dyDescent="0.2">
      <c r="A970" s="237">
        <v>970</v>
      </c>
      <c r="B970" s="5838"/>
      <c r="C970" s="597" t="str">
        <f t="shared" si="240"/>
        <v>Agnitum: Ojo Absoluto</v>
      </c>
      <c r="D970" s="933">
        <f t="shared" si="241"/>
        <v>3</v>
      </c>
      <c r="E970" s="142" t="s">
        <v>1048</v>
      </c>
      <c r="F970" s="85">
        <v>80</v>
      </c>
      <c r="G970" s="85">
        <v>80</v>
      </c>
      <c r="H970" s="94">
        <f>IF(COUNTIF(PDs!$E$78:$H$82,E970)&gt;0,1,0)</f>
        <v>0</v>
      </c>
      <c r="I970" s="622" t="str">
        <f>IF(OR(MAX(HA_final,HA_SinArmas)&lt;220,NOT(Usodelaenergíanecesaria),NOT(Zen),POD&lt;11),"NO","-")</f>
        <v>NO</v>
      </c>
      <c r="J970" s="15" t="s">
        <v>1049</v>
      </c>
      <c r="K970" s="23"/>
      <c r="L970" s="23"/>
      <c r="M970" s="23"/>
      <c r="N970" s="23"/>
      <c r="O970" s="55"/>
      <c r="P970" s="23"/>
      <c r="Q970" s="23"/>
      <c r="R970" s="39"/>
    </row>
    <row r="971" spans="1:18" ht="12.75" customHeight="1" x14ac:dyDescent="0.2">
      <c r="A971" s="237">
        <v>971</v>
      </c>
      <c r="B971" s="5838"/>
      <c r="C971" s="597" t="str">
        <f t="shared" si="240"/>
        <v>Ashuriam: Asalto Dimensional</v>
      </c>
      <c r="D971" s="933">
        <f t="shared" si="241"/>
        <v>2</v>
      </c>
      <c r="E971" s="142" t="s">
        <v>1050</v>
      </c>
      <c r="F971" s="85">
        <v>30</v>
      </c>
      <c r="G971" s="85">
        <v>30</v>
      </c>
      <c r="H971" s="94">
        <f>IF(COUNTIF(PDs!$E$78:$H$82,E971)&gt;0,1,0)</f>
        <v>0</v>
      </c>
      <c r="I971" s="622" t="str">
        <f>IF(OR(MAX(HA_final,HA_SinArmas)&lt;180,NOT(Erudición),PER&lt;11),"NO","-")</f>
        <v>NO</v>
      </c>
      <c r="J971" s="15" t="s">
        <v>1051</v>
      </c>
      <c r="K971" s="23"/>
      <c r="L971" s="23"/>
      <c r="M971" s="23"/>
      <c r="N971" s="23"/>
      <c r="O971" s="55"/>
      <c r="P971" s="23"/>
      <c r="Q971" s="23"/>
      <c r="R971" s="39"/>
    </row>
    <row r="972" spans="1:18" ht="12.75" customHeight="1" x14ac:dyDescent="0.2">
      <c r="A972" s="237">
        <v>972</v>
      </c>
      <c r="B972" s="5838"/>
      <c r="C972" s="597" t="str">
        <f t="shared" si="240"/>
        <v>Caos Meister: Control del Caos</v>
      </c>
      <c r="D972" s="933">
        <f t="shared" si="241"/>
        <v>4</v>
      </c>
      <c r="E972" s="142" t="s">
        <v>1052</v>
      </c>
      <c r="F972" s="85">
        <v>80</v>
      </c>
      <c r="G972" s="85">
        <v>100</v>
      </c>
      <c r="H972" s="94">
        <f>IF(COUNTIF(PDs!$E$78:$H$82,E972)&gt;0,1,0)</f>
        <v>0</v>
      </c>
      <c r="I972" s="622" t="str">
        <f>IF(OR(MAX(HA_final,HA_SinArmas)&lt;250,MAX(HD_final,HD_SinArmas)&lt;250,NOT(Usodelaenergíanecesaria),NOT(Inhumanidad),POD&lt;11),"NO","-")</f>
        <v>NO</v>
      </c>
      <c r="J972" s="15" t="s">
        <v>1053</v>
      </c>
      <c r="K972" s="23"/>
      <c r="L972" s="23"/>
      <c r="M972" s="23"/>
      <c r="N972" s="23"/>
      <c r="O972" s="55"/>
      <c r="P972" s="23"/>
      <c r="Q972" s="23"/>
      <c r="R972" s="39"/>
    </row>
    <row r="973" spans="1:18" ht="12.75" customHeight="1" x14ac:dyDescent="0.2">
      <c r="A973" s="237">
        <v>973</v>
      </c>
      <c r="B973" s="5838"/>
      <c r="C973" s="597" t="str">
        <f t="shared" si="240"/>
        <v>Etherial: Ataques Infinitos</v>
      </c>
      <c r="D973" s="933">
        <f t="shared" si="241"/>
        <v>5</v>
      </c>
      <c r="E973" s="142" t="s">
        <v>1054</v>
      </c>
      <c r="F973" s="85">
        <v>40</v>
      </c>
      <c r="G973" s="85">
        <v>40</v>
      </c>
      <c r="H973" s="94">
        <f>IF(COUNTIF(PDs!$E$78:$H$82,E973)&gt;0,1,0)</f>
        <v>0</v>
      </c>
      <c r="I973" s="622" t="str">
        <f>IF(MAX(HA_final,HA_SinArmas)&lt;200,"NO","-")</f>
        <v>NO</v>
      </c>
      <c r="J973" s="15" t="s">
        <v>1055</v>
      </c>
      <c r="K973" s="23"/>
      <c r="L973" s="23"/>
      <c r="M973" s="23"/>
      <c r="N973" s="23"/>
      <c r="O973" s="55"/>
      <c r="P973" s="23"/>
      <c r="Q973" s="23"/>
      <c r="R973" s="39"/>
    </row>
    <row r="974" spans="1:18" ht="12.75" customHeight="1" x14ac:dyDescent="0.2">
      <c r="A974" s="237">
        <v>974</v>
      </c>
      <c r="B974" s="5838"/>
      <c r="C974" s="597" t="str">
        <f t="shared" si="240"/>
        <v>Haima: Sombra de Sangre</v>
      </c>
      <c r="D974" s="933">
        <f t="shared" si="241"/>
        <v>6</v>
      </c>
      <c r="E974" s="142" t="s">
        <v>1056</v>
      </c>
      <c r="F974" s="85">
        <v>30</v>
      </c>
      <c r="G974" s="85">
        <v>30</v>
      </c>
      <c r="H974" s="94">
        <f>IF(COUNTIF(PDs!$E$78:$H$82,E974)&gt;0,1,0)</f>
        <v>0</v>
      </c>
      <c r="I974" s="622" t="str">
        <f>IF(OR(MAX(HD_final,HD_SinArmas)&lt;200,$P$252=0,VOL&lt;10),"NO","-")</f>
        <v>NO</v>
      </c>
      <c r="J974" s="15" t="s">
        <v>1057</v>
      </c>
      <c r="K974" s="23"/>
      <c r="L974" s="23"/>
      <c r="M974" s="23"/>
      <c r="N974" s="23"/>
      <c r="O974" s="55"/>
      <c r="P974" s="23"/>
      <c r="Q974" s="23"/>
      <c r="R974" s="39"/>
    </row>
    <row r="975" spans="1:18" ht="12.75" customHeight="1" x14ac:dyDescent="0.2">
      <c r="A975" s="237">
        <v>975</v>
      </c>
      <c r="B975" s="5838"/>
      <c r="C975" s="597" t="str">
        <f t="shared" si="240"/>
        <v>Infinium: Fluctuación del Espacio</v>
      </c>
      <c r="D975" s="933">
        <f t="shared" si="241"/>
        <v>8</v>
      </c>
      <c r="E975" s="142" t="s">
        <v>1058</v>
      </c>
      <c r="F975" s="85">
        <v>30</v>
      </c>
      <c r="G975" s="85">
        <v>50</v>
      </c>
      <c r="H975" s="94">
        <f>IF(COUNTIF(PDs!$E$78:$H$82,E975)&gt;0,1,0)</f>
        <v>0</v>
      </c>
      <c r="I975" s="622" t="str">
        <f>IF(OR(MAX(HA_final,HA_SinArmas)&lt;200,NOT(Extensióndelauraalarma)),"NO","-")</f>
        <v>NO</v>
      </c>
      <c r="J975" s="15" t="s">
        <v>1059</v>
      </c>
      <c r="K975" s="23"/>
      <c r="L975" s="23"/>
      <c r="M975" s="23"/>
      <c r="N975" s="23"/>
      <c r="O975" s="55"/>
      <c r="P975" s="23"/>
      <c r="Q975" s="23"/>
      <c r="R975" s="39"/>
    </row>
    <row r="976" spans="1:18" ht="12.75" customHeight="1" x14ac:dyDescent="0.2">
      <c r="A976" s="237">
        <v>976</v>
      </c>
      <c r="B976" s="5838"/>
      <c r="C976" s="597" t="str">
        <f t="shared" si="240"/>
        <v>Magnum: Liberación de Poder</v>
      </c>
      <c r="D976" s="933">
        <f t="shared" si="241"/>
        <v>7</v>
      </c>
      <c r="E976" s="142" t="s">
        <v>1060</v>
      </c>
      <c r="F976" s="85">
        <v>40</v>
      </c>
      <c r="G976" s="85">
        <v>40</v>
      </c>
      <c r="H976" s="94">
        <f>IF(COUNTIF(PDs!$E$78:$H$82,E976)&gt;0,1,0)</f>
        <v>0</v>
      </c>
      <c r="I976" s="622" t="str">
        <f>IF(OR(MAX(HA_final,HA_SinArmas)&lt;200,NOT(Inhumanidad),AGI&lt;11),"NO","-")</f>
        <v>NO</v>
      </c>
      <c r="J976" s="15" t="s">
        <v>1061</v>
      </c>
      <c r="K976" s="23"/>
      <c r="L976" s="23"/>
      <c r="M976" s="23"/>
      <c r="N976" s="23"/>
      <c r="O976" s="55"/>
      <c r="P976" s="23"/>
      <c r="Q976" s="23"/>
      <c r="R976" s="39"/>
    </row>
    <row r="977" spans="1:18" ht="12.75" customHeight="1" x14ac:dyDescent="0.2">
      <c r="A977" s="237">
        <v>977</v>
      </c>
      <c r="B977" s="5838"/>
      <c r="C977" s="597" t="str">
        <f t="shared" si="240"/>
        <v>Matrix: División Existencial</v>
      </c>
      <c r="D977" s="933">
        <f t="shared" si="241"/>
        <v>9</v>
      </c>
      <c r="E977" s="142" t="s">
        <v>1062</v>
      </c>
      <c r="F977" s="85">
        <v>50</v>
      </c>
      <c r="G977" s="85">
        <v>50</v>
      </c>
      <c r="H977" s="94">
        <f>IF(COUNTIF(PDs!$E$78:$H$82,E977)&gt;0,1,0)</f>
        <v>0</v>
      </c>
      <c r="I977" s="622" t="str">
        <f>IF(OR(MAX(HA_final,HA_SinArmas)&lt;150,MAX(HD_final,HD_SinArmas)&lt;150,NOT(MultdeCuerpos)),"NO","-")</f>
        <v>NO</v>
      </c>
      <c r="J977" s="15" t="s">
        <v>1063</v>
      </c>
      <c r="K977" s="23"/>
      <c r="L977" s="23"/>
      <c r="M977" s="23"/>
      <c r="N977" s="23"/>
      <c r="O977" s="55"/>
      <c r="P977" s="23"/>
      <c r="Q977" s="23"/>
      <c r="R977" s="39"/>
    </row>
    <row r="978" spans="1:18" ht="12.75" customHeight="1" x14ac:dyDescent="0.2">
      <c r="A978" s="237">
        <v>978</v>
      </c>
      <c r="B978" s="5838"/>
      <c r="C978" s="597" t="str">
        <f t="shared" si="240"/>
        <v>Mundus: Control del Entorno</v>
      </c>
      <c r="D978" s="933">
        <f t="shared" si="241"/>
        <v>10</v>
      </c>
      <c r="E978" s="142" t="s">
        <v>1064</v>
      </c>
      <c r="F978" s="85">
        <v>30</v>
      </c>
      <c r="G978" s="85">
        <v>50</v>
      </c>
      <c r="H978" s="94">
        <f>IF(COUNTIF(PDs!$E$78:$H$82,E978)&gt;0,1,0)</f>
        <v>0</v>
      </c>
      <c r="I978" s="622" t="str">
        <f>IF(OR(MAX(HA_final,HA_SinArmas)&lt;200,MAX(HD_final,HD_SinArmas)&lt;200,NOT(MovimientodeMasas),NOT(Inhumanidad)),"NO","-")</f>
        <v>NO</v>
      </c>
      <c r="J978" s="15" t="s">
        <v>1065</v>
      </c>
      <c r="K978" s="23"/>
      <c r="L978" s="23"/>
      <c r="M978" s="23"/>
      <c r="N978" s="23"/>
      <c r="O978" s="55"/>
      <c r="P978" s="23"/>
      <c r="Q978" s="23"/>
      <c r="R978" s="39"/>
    </row>
    <row r="979" spans="1:18" ht="12.75" customHeight="1" x14ac:dyDescent="0.2">
      <c r="A979" s="237">
        <v>979</v>
      </c>
      <c r="B979" s="5838"/>
      <c r="C979" s="597" t="str">
        <f t="shared" si="240"/>
        <v>Raikou: Hoja Relámpago</v>
      </c>
      <c r="D979" s="933">
        <f t="shared" si="241"/>
        <v>11</v>
      </c>
      <c r="E979" s="142" t="s">
        <v>1066</v>
      </c>
      <c r="F979" s="85">
        <v>60</v>
      </c>
      <c r="G979" s="85">
        <v>60</v>
      </c>
      <c r="H979" s="94">
        <f>IF(COUNTIF(PDs!$E$78:$H$82,E979)&gt;0,1,0)</f>
        <v>0</v>
      </c>
      <c r="I979" s="622" t="str">
        <f>IF(OR(MAX(HA_final,HA_SinArmas)&lt;200,NOT(Inhumanidad),AGI&lt;10,DES&lt;10),"NO","-")</f>
        <v>NO</v>
      </c>
      <c r="J979" s="15" t="s">
        <v>1067</v>
      </c>
      <c r="K979" s="23"/>
      <c r="L979" s="23"/>
      <c r="M979" s="23"/>
      <c r="N979" s="23"/>
      <c r="O979" s="55"/>
      <c r="P979" s="23"/>
      <c r="Q979" s="23"/>
      <c r="R979" s="39"/>
    </row>
    <row r="980" spans="1:18" ht="12.75" customHeight="1" x14ac:dyDescent="0.2">
      <c r="A980" s="237">
        <v>980</v>
      </c>
      <c r="B980" s="5838"/>
      <c r="C980" s="597" t="str">
        <f t="shared" si="240"/>
        <v>Rem: Los Ojos del Destino</v>
      </c>
      <c r="D980" s="933">
        <f t="shared" si="241"/>
        <v>12</v>
      </c>
      <c r="E980" s="142" t="s">
        <v>1068</v>
      </c>
      <c r="F980" s="85">
        <v>40</v>
      </c>
      <c r="G980" s="85">
        <v>60</v>
      </c>
      <c r="H980" s="94">
        <f>IF(COUNTIF(PDs!$E$78:$H$82,E980)&gt;0,1,0)</f>
        <v>0</v>
      </c>
      <c r="I980" s="622" t="str">
        <f>IF(OR(MAX(HA_final,HA_SinArmas)&lt;180,MAX(HD_final,HD_SinArmas)&lt;180,NOT(Erudición),PER&lt;10),"NO","-")</f>
        <v>NO</v>
      </c>
      <c r="J980" s="15" t="s">
        <v>1069</v>
      </c>
      <c r="K980" s="23"/>
      <c r="L980" s="23"/>
      <c r="M980" s="23"/>
      <c r="N980" s="23"/>
      <c r="O980" s="55"/>
      <c r="P980" s="23"/>
      <c r="Q980" s="23"/>
      <c r="R980" s="39"/>
    </row>
    <row r="981" spans="1:18" ht="12.75" customHeight="1" x14ac:dyDescent="0.2">
      <c r="A981" s="237">
        <v>981</v>
      </c>
      <c r="B981" s="5838"/>
      <c r="C981" s="597" t="str">
        <f t="shared" si="240"/>
        <v>Samiel: Retribución Final</v>
      </c>
      <c r="D981" s="933">
        <f t="shared" si="241"/>
        <v>13</v>
      </c>
      <c r="E981" s="142" t="s">
        <v>1070</v>
      </c>
      <c r="F981" s="85">
        <v>60</v>
      </c>
      <c r="G981" s="85">
        <v>60</v>
      </c>
      <c r="H981" s="94">
        <f>IF(COUNTIF(PDs!$E$78:$H$82,E981)&gt;0,1,0)</f>
        <v>0</v>
      </c>
      <c r="I981" s="622" t="str">
        <f>IF(OR(MAX(HA_final,HA_SinArmas)&lt;200,MAX(HD_final,HD_SinArmas)&lt;200,NOT(Inhumanidad)),"NO","-")</f>
        <v>NO</v>
      </c>
      <c r="J981" s="15" t="s">
        <v>1071</v>
      </c>
      <c r="K981" s="23"/>
      <c r="L981" s="23"/>
      <c r="M981" s="23"/>
      <c r="N981" s="23"/>
      <c r="O981" s="55"/>
      <c r="P981" s="23"/>
      <c r="Q981" s="23"/>
      <c r="R981" s="39"/>
    </row>
    <row r="982" spans="1:18" ht="12.75" customHeight="1" x14ac:dyDescent="0.2">
      <c r="A982" s="237">
        <v>982</v>
      </c>
      <c r="B982" s="5838"/>
      <c r="C982" s="597" t="str">
        <f t="shared" si="240"/>
        <v>Shinkyou: La Posición Espejo</v>
      </c>
      <c r="D982" s="933">
        <f t="shared" si="241"/>
        <v>14</v>
      </c>
      <c r="E982" s="142" t="s">
        <v>1072</v>
      </c>
      <c r="F982" s="85">
        <v>60</v>
      </c>
      <c r="G982" s="85">
        <v>80</v>
      </c>
      <c r="H982" s="94">
        <f>IF(COUNTIF(PDs!$E$78:$H$82,E982)&gt;0,1,0)</f>
        <v>0</v>
      </c>
      <c r="I982" s="622" t="str">
        <f>IF(OR(MAX(HD_final,HD_SinArmas)&lt;250,PER&lt;10),"NO","-")</f>
        <v>NO</v>
      </c>
      <c r="J982" s="15" t="s">
        <v>1073</v>
      </c>
      <c r="K982" s="23"/>
      <c r="L982" s="23"/>
      <c r="M982" s="23"/>
      <c r="N982" s="23"/>
      <c r="O982" s="55"/>
      <c r="P982" s="23"/>
      <c r="Q982" s="23"/>
      <c r="R982" s="39"/>
    </row>
    <row r="983" spans="1:18" ht="12.75" customHeight="1" x14ac:dyDescent="0.2">
      <c r="A983" s="237">
        <v>983</v>
      </c>
      <c r="B983" s="5838"/>
      <c r="C983" s="597" t="str">
        <f t="shared" si="240"/>
        <v>Summun: Acumulación de Energía</v>
      </c>
      <c r="D983" s="933">
        <f t="shared" si="241"/>
        <v>15</v>
      </c>
      <c r="E983" s="142" t="s">
        <v>1074</v>
      </c>
      <c r="F983" s="85">
        <v>30</v>
      </c>
      <c r="G983" s="85">
        <v>30</v>
      </c>
      <c r="H983" s="94">
        <f>IF(COUNTIF(PDs!$E$78:$H$82,E983)&gt;0,1,0)</f>
        <v>0</v>
      </c>
      <c r="I983" s="622" t="str">
        <f>IF(OR(MAX(HA_final,HA_SinArmas)&lt;180,DES&lt;11),"NO","-")</f>
        <v>NO</v>
      </c>
      <c r="J983" s="15" t="s">
        <v>1075</v>
      </c>
      <c r="K983" s="23"/>
      <c r="L983" s="23"/>
      <c r="M983" s="23"/>
      <c r="N983" s="23"/>
      <c r="O983" s="55"/>
      <c r="P983" s="23"/>
      <c r="Q983" s="23"/>
      <c r="R983" s="39"/>
    </row>
    <row r="984" spans="1:18" ht="12.75" customHeight="1" x14ac:dyDescent="0.2">
      <c r="A984" s="237">
        <v>984</v>
      </c>
      <c r="B984" s="5838"/>
      <c r="C984" s="597" t="str">
        <f t="shared" si="240"/>
        <v>Transformación: El Despertar</v>
      </c>
      <c r="D984" s="933">
        <f t="shared" si="241"/>
        <v>16</v>
      </c>
      <c r="E984" s="142" t="s">
        <v>1076</v>
      </c>
      <c r="F984" s="85">
        <v>50</v>
      </c>
      <c r="G984" s="85">
        <v>50</v>
      </c>
      <c r="H984" s="94">
        <f>IF(COUNTIF(PDs!$E$78:$H$82,E984)&gt;0,1,0)</f>
        <v>0</v>
      </c>
      <c r="I984" s="622" t="str">
        <f>IF(OR(MAX(HA_final,HA_SinArmas)&lt;200,MAX(HD_final,HD_SinArmas)&lt;200,NOT(Inhumanidad)),"NO","-")</f>
        <v>NO</v>
      </c>
      <c r="J984" s="15" t="s">
        <v>1077</v>
      </c>
      <c r="K984" s="23"/>
      <c r="L984" s="23"/>
      <c r="M984" s="23"/>
      <c r="N984" s="23"/>
      <c r="O984" s="55"/>
      <c r="P984" s="23"/>
      <c r="Q984" s="23"/>
      <c r="R984" s="39"/>
    </row>
    <row r="985" spans="1:18" ht="12.75" customHeight="1" x14ac:dyDescent="0.2">
      <c r="A985" s="237">
        <v>985</v>
      </c>
      <c r="B985" s="5838"/>
      <c r="C985" s="597" t="str">
        <f t="shared" si="240"/>
        <v>Transformación: Eliodón</v>
      </c>
      <c r="D985" s="933">
        <f t="shared" si="241"/>
        <v>19</v>
      </c>
      <c r="E985" s="142" t="s">
        <v>1078</v>
      </c>
      <c r="F985" s="85">
        <v>30</v>
      </c>
      <c r="G985" s="85">
        <v>50</v>
      </c>
      <c r="H985" s="94">
        <f>IF(COUNTIF(PDs!$E$78:$H$82,E985)&gt;0,1,0)</f>
        <v>0</v>
      </c>
      <c r="I985" s="622" t="str">
        <f>IF(OR(MAX(HA_final,HA_SinArmas)&lt;200,MAX(HD_final,HD_SinArmas)&lt;200,NOT(Usodelaenergíanecesaria),NOT(Inhumanidad)),"NO","-")</f>
        <v>NO</v>
      </c>
      <c r="J985" s="15" t="s">
        <v>1079</v>
      </c>
      <c r="K985" s="23"/>
      <c r="L985" s="23"/>
      <c r="M985" s="23"/>
      <c r="N985" s="23"/>
      <c r="O985" s="55"/>
      <c r="P985" s="23"/>
      <c r="Q985" s="23"/>
      <c r="R985" s="39"/>
    </row>
    <row r="986" spans="1:18" ht="12.75" customHeight="1" x14ac:dyDescent="0.2">
      <c r="A986" s="237">
        <v>986</v>
      </c>
      <c r="B986" s="5838"/>
      <c r="C986" s="597" t="str">
        <f t="shared" si="240"/>
        <v>Transformación: Los Sellos del Dragón</v>
      </c>
      <c r="D986" s="933">
        <f t="shared" si="241"/>
        <v>17</v>
      </c>
      <c r="E986" s="142" t="s">
        <v>1080</v>
      </c>
      <c r="F986" s="85">
        <v>20</v>
      </c>
      <c r="G986" s="85">
        <v>40</v>
      </c>
      <c r="H986" s="94">
        <f>IF(COUNTIF(PDs!$E$78:$H$82,E986)&gt;0,1,0)</f>
        <v>0</v>
      </c>
      <c r="I986" s="622" t="str">
        <f>IF(OR(MAX(HA_final,HA_SinArmas)&lt;150,MAX(HD_final,HD_SinArmas)&lt;150,Tablas!$P$248+Tablas!$P$249+Tablas!$P$250=0),"NO","-")</f>
        <v>NO</v>
      </c>
      <c r="J986" s="15" t="s">
        <v>1081</v>
      </c>
      <c r="K986" s="23"/>
      <c r="L986" s="23"/>
      <c r="M986" s="23"/>
      <c r="N986" s="23"/>
      <c r="O986" s="55"/>
      <c r="P986" s="23"/>
      <c r="Q986" s="23"/>
      <c r="R986" s="39"/>
    </row>
    <row r="987" spans="1:18" ht="12.75" customHeight="1" x14ac:dyDescent="0.2">
      <c r="A987" s="237">
        <v>987</v>
      </c>
      <c r="B987" s="5838"/>
      <c r="C987" s="597" t="str">
        <f t="shared" si="240"/>
        <v>Transformación: Poder Físico</v>
      </c>
      <c r="D987" s="933">
        <f t="shared" si="241"/>
        <v>20</v>
      </c>
      <c r="E987" s="142" t="s">
        <v>1082</v>
      </c>
      <c r="F987" s="85">
        <v>100</v>
      </c>
      <c r="G987" s="85">
        <v>100</v>
      </c>
      <c r="H987" s="94">
        <f>IF(COUNTIF(PDs!$E$78:$H$82,E987)&gt;0,1,0)</f>
        <v>0</v>
      </c>
      <c r="I987" s="622" t="str">
        <f>IF(OR(MAX(HA_final,HA_SinArmas)&lt;250,MAX(HD_final,HD_SinArmas)&lt;250,NOT(Zen)),"NO","-")</f>
        <v>NO</v>
      </c>
      <c r="J987" s="15" t="s">
        <v>1083</v>
      </c>
      <c r="K987" s="23"/>
      <c r="L987" s="23"/>
      <c r="M987" s="23"/>
      <c r="N987" s="23"/>
      <c r="O987" s="55"/>
      <c r="P987" s="23"/>
      <c r="Q987" s="23"/>
      <c r="R987" s="39"/>
    </row>
    <row r="988" spans="1:18" ht="12.75" customHeight="1" x14ac:dyDescent="0.2">
      <c r="A988" s="237">
        <v>988</v>
      </c>
      <c r="B988" s="5838"/>
      <c r="C988" s="597" t="str">
        <f t="shared" si="240"/>
        <v>Transformación: Ruptura del Destino</v>
      </c>
      <c r="D988" s="933">
        <f t="shared" si="241"/>
        <v>18</v>
      </c>
      <c r="E988" s="142" t="s">
        <v>1084</v>
      </c>
      <c r="F988" s="85">
        <v>20</v>
      </c>
      <c r="G988" s="85">
        <v>50</v>
      </c>
      <c r="H988" s="94">
        <f>IF(COUNTIF(PDs!$E$78:$H$82,E988)&gt;0,1,0)</f>
        <v>0</v>
      </c>
      <c r="I988" s="622" t="str">
        <f>IF(OR(MAX(HA_final,HA_SinArmas)&lt;160,MAX(HD_final,HD_SinArmas)&lt;160,Tablas!$P$260=0),"NO","-")</f>
        <v>NO</v>
      </c>
      <c r="J988" s="15" t="s">
        <v>1085</v>
      </c>
      <c r="K988" s="23"/>
      <c r="L988" s="23"/>
      <c r="M988" s="23"/>
      <c r="N988" s="23"/>
      <c r="O988" s="55"/>
      <c r="P988" s="23"/>
      <c r="Q988" s="23"/>
      <c r="R988" s="39"/>
    </row>
    <row r="989" spans="1:18" ht="12.75" customHeight="1" x14ac:dyDescent="0.2">
      <c r="A989" s="237">
        <v>989</v>
      </c>
      <c r="B989" s="5838"/>
      <c r="C989" s="597" t="str">
        <f t="shared" si="240"/>
        <v>Umbra: Ataque de Sombras</v>
      </c>
      <c r="D989" s="933">
        <f t="shared" si="241"/>
        <v>21</v>
      </c>
      <c r="E989" s="142" t="s">
        <v>1086</v>
      </c>
      <c r="F989" s="85">
        <v>30</v>
      </c>
      <c r="G989" s="85">
        <v>50</v>
      </c>
      <c r="H989" s="94">
        <f>IF(COUNTIF(PDs!$E$78:$H$82,E989)&gt;0,1,0)</f>
        <v>0</v>
      </c>
      <c r="I989" s="622" t="str">
        <f>IF(OR(HA_final&lt;150,NOT(Usodelaenergíanecesaria),NOT(Inhumanidad)),"NO","-")</f>
        <v>NO</v>
      </c>
      <c r="J989" s="15" t="s">
        <v>1087</v>
      </c>
      <c r="K989" s="23"/>
      <c r="L989" s="23"/>
      <c r="M989" s="23"/>
      <c r="N989" s="23"/>
      <c r="O989" s="55"/>
      <c r="P989" s="23"/>
      <c r="Q989" s="23"/>
      <c r="R989" s="39"/>
    </row>
    <row r="990" spans="1:18" ht="12.75" customHeight="1" x14ac:dyDescent="0.2">
      <c r="A990" s="237">
        <v>990</v>
      </c>
      <c r="B990" s="5838"/>
      <c r="C990" s="597" t="str">
        <f t="shared" ref="C990:C997" si="242">VLOOKUP(A1,$D$990:$E$1008,2,0)</f>
        <v>&gt; ARMAS IMPOSIBLES</v>
      </c>
      <c r="D990" s="933">
        <f t="shared" ref="D990:D997" si="243">COUNTIF($E$990:$E$1008,"&lt;="&amp;E990)</f>
        <v>1</v>
      </c>
      <c r="E990" s="142" t="s">
        <v>2239</v>
      </c>
      <c r="F990" s="85">
        <v>0</v>
      </c>
      <c r="G990" s="85">
        <v>0</v>
      </c>
      <c r="H990" s="94"/>
      <c r="I990" s="622" t="s">
        <v>1459</v>
      </c>
      <c r="J990" s="86" t="s">
        <v>1459</v>
      </c>
      <c r="K990" s="23"/>
      <c r="L990" s="23"/>
      <c r="M990" s="23"/>
      <c r="N990" s="23"/>
      <c r="O990" s="55"/>
      <c r="P990" s="23"/>
      <c r="Q990" s="23"/>
      <c r="R990" s="39"/>
    </row>
    <row r="991" spans="1:18" ht="12.75" customHeight="1" x14ac:dyDescent="0.2">
      <c r="A991" s="237">
        <v>991</v>
      </c>
      <c r="B991" s="5838"/>
      <c r="C991" s="597" t="str">
        <f t="shared" si="242"/>
        <v>Aquarius: Capas y prendas de vestir</v>
      </c>
      <c r="D991" s="933">
        <f t="shared" si="243"/>
        <v>3</v>
      </c>
      <c r="E991" s="142" t="s">
        <v>1088</v>
      </c>
      <c r="F991" s="85">
        <v>40</v>
      </c>
      <c r="G991" s="85">
        <v>40</v>
      </c>
      <c r="H991" s="94">
        <f>IF(COUNTIF(PDs!$E$78:$H$82,E991)&gt;0,1,0)</f>
        <v>0</v>
      </c>
      <c r="I991" s="622" t="str">
        <f>IF(OR(NOT(Inhumanidad),NOT(UsodelKi),HA_final&lt;150,HD_final&lt;150),"NO","-")</f>
        <v>NO</v>
      </c>
      <c r="J991" s="86" t="s">
        <v>1089</v>
      </c>
      <c r="K991" s="23"/>
      <c r="L991" s="23"/>
      <c r="M991" s="23"/>
      <c r="N991" s="23"/>
      <c r="O991" s="55"/>
      <c r="P991" s="23"/>
      <c r="Q991" s="23"/>
      <c r="R991" s="39"/>
    </row>
    <row r="992" spans="1:18" ht="12.75" customHeight="1" x14ac:dyDescent="0.2">
      <c r="A992" s="237">
        <v>992</v>
      </c>
      <c r="B992" s="5838"/>
      <c r="C992" s="597" t="str">
        <f t="shared" si="242"/>
        <v>Aries: Masificación armas y cadenas</v>
      </c>
      <c r="D992" s="933">
        <f t="shared" si="243"/>
        <v>15</v>
      </c>
      <c r="E992" s="142" t="s">
        <v>1090</v>
      </c>
      <c r="F992" s="85">
        <v>20</v>
      </c>
      <c r="G992" s="85">
        <v>30</v>
      </c>
      <c r="H992" s="94">
        <f>IF(COUNTIF(PDs!$E$78:$H$82,E992)&gt;0,1,0)</f>
        <v>0</v>
      </c>
      <c r="I992" s="622" t="str">
        <f>IF(OR(NOT(Inhumanidad),NOT(UsodelKi),HA_final&lt;120,NOT(OR(L664="Conocida",L681="Conocida",L701="Conocida"))),"NO","-")</f>
        <v>NO</v>
      </c>
      <c r="J992" s="86" t="s">
        <v>1091</v>
      </c>
      <c r="K992" s="23"/>
      <c r="L992" s="23"/>
      <c r="M992" s="23"/>
      <c r="N992" s="23"/>
      <c r="O992" s="55"/>
      <c r="P992" s="23"/>
      <c r="Q992" s="23"/>
      <c r="R992" s="39"/>
    </row>
    <row r="993" spans="1:41" ht="12.75" customHeight="1" x14ac:dyDescent="0.2">
      <c r="A993" s="237">
        <v>993</v>
      </c>
      <c r="B993" s="5838"/>
      <c r="C993" s="597" t="str">
        <f t="shared" si="242"/>
        <v>Cáncer Magister: Monofilos</v>
      </c>
      <c r="D993" s="933">
        <f t="shared" si="243"/>
        <v>7</v>
      </c>
      <c r="E993" s="142" t="s">
        <v>1092</v>
      </c>
      <c r="F993" s="85">
        <v>50</v>
      </c>
      <c r="G993" s="85">
        <v>50</v>
      </c>
      <c r="H993" s="94">
        <f>IF(COUNTIF(PDs!$E$78:$H$82,E993)&gt;0,1,0)</f>
        <v>0</v>
      </c>
      <c r="I993" s="622" t="str">
        <f>IF(OR(NOT(Inhumanidad),NOT(UsodelKi),DES&lt;11),"NO","-")</f>
        <v>NO</v>
      </c>
      <c r="J993" s="86" t="s">
        <v>1093</v>
      </c>
      <c r="K993" s="23"/>
      <c r="L993" s="23"/>
      <c r="M993" s="23"/>
      <c r="N993" s="23"/>
      <c r="O993" s="55"/>
      <c r="P993" s="23"/>
      <c r="Q993" s="23"/>
      <c r="R993" s="39"/>
    </row>
    <row r="994" spans="1:41" ht="12.75" customHeight="1" x14ac:dyDescent="0.2">
      <c r="A994" s="237">
        <v>994</v>
      </c>
      <c r="B994" s="5838"/>
      <c r="C994" s="597" t="str">
        <f t="shared" si="242"/>
        <v>Cáncer: Monofilos</v>
      </c>
      <c r="D994" s="933">
        <f t="shared" si="243"/>
        <v>5</v>
      </c>
      <c r="E994" s="142" t="s">
        <v>1094</v>
      </c>
      <c r="F994" s="85">
        <f>40+IF($H$999&gt;0,-10,0)</f>
        <v>40</v>
      </c>
      <c r="G994" s="85">
        <v>20</v>
      </c>
      <c r="H994" s="94">
        <f>IF(COUNTIF(PDs!$E$78:$H$82,E994)&gt;0,1,0)</f>
        <v>0</v>
      </c>
      <c r="I994" s="622" t="str">
        <f>IF(OR(NOT(Inhumanidad),NOT(UsodelKi),T.Manos_final&lt;50,DES&lt;10),"NO","-")</f>
        <v>NO</v>
      </c>
      <c r="J994" s="86" t="s">
        <v>1095</v>
      </c>
      <c r="K994" s="23"/>
      <c r="L994" s="23"/>
      <c r="M994" s="23"/>
      <c r="N994" s="23"/>
      <c r="O994" s="55"/>
      <c r="P994" s="23"/>
      <c r="Q994" s="23"/>
      <c r="R994" s="39"/>
    </row>
    <row r="995" spans="1:41" ht="12.75" customHeight="1" x14ac:dyDescent="0.2">
      <c r="A995" s="237">
        <v>995</v>
      </c>
      <c r="B995" s="5838"/>
      <c r="C995" s="597" t="str">
        <f t="shared" si="242"/>
        <v>Capricornius: Agujas</v>
      </c>
      <c r="D995" s="933">
        <f t="shared" si="243"/>
        <v>4</v>
      </c>
      <c r="E995" s="142" t="s">
        <v>1096</v>
      </c>
      <c r="F995" s="2942">
        <f>30+IF($H$999&gt;0,-10,0)</f>
        <v>30</v>
      </c>
      <c r="G995" s="85">
        <v>30</v>
      </c>
      <c r="H995" s="94">
        <f>IF(COUNTIF(PDs!$E$78:$H$82,E995)&gt;0,1,0)</f>
        <v>0</v>
      </c>
      <c r="I995" s="622" t="str">
        <f>IF(OR(NOT(Inhumanidad),NOT(UsodelKi),HA_final&lt;200,NOT(Extensióndelauraalarma),DES&lt;11,H994=0),"NO","-")</f>
        <v>NO</v>
      </c>
      <c r="J995" s="86" t="s">
        <v>1097</v>
      </c>
      <c r="K995" s="23"/>
      <c r="L995" s="23"/>
      <c r="M995" s="23"/>
      <c r="N995" s="23"/>
      <c r="O995" s="55"/>
      <c r="P995" s="23"/>
      <c r="Q995" s="23"/>
      <c r="R995" s="39"/>
    </row>
    <row r="996" spans="1:41" ht="12.75" customHeight="1" x14ac:dyDescent="0.2">
      <c r="A996" s="237">
        <v>996</v>
      </c>
      <c r="B996" s="5838"/>
      <c r="C996" s="597" t="str">
        <f t="shared" si="242"/>
        <v>Gémini: Marionetas</v>
      </c>
      <c r="D996" s="933">
        <f t="shared" si="243"/>
        <v>8</v>
      </c>
      <c r="E996" s="142" t="s">
        <v>1098</v>
      </c>
      <c r="F996" s="85">
        <v>20</v>
      </c>
      <c r="G996" s="85">
        <v>10</v>
      </c>
      <c r="H996" s="94">
        <f>IF(COUNTIF(PDs!$E$78:$H$82,E996)&gt;0,1,0)</f>
        <v>0</v>
      </c>
      <c r="I996" s="622" t="str">
        <f>IF(OR(NOT(Inhumanidad),NOT(UsodelKi)),"NO","-")</f>
        <v>NO</v>
      </c>
      <c r="J996" s="86" t="s">
        <v>1099</v>
      </c>
      <c r="K996" s="23"/>
      <c r="L996" s="23"/>
      <c r="M996" s="23"/>
      <c r="N996" s="23"/>
      <c r="O996" s="55"/>
      <c r="P996" s="23"/>
      <c r="Q996" s="23"/>
      <c r="R996" s="39"/>
    </row>
    <row r="997" spans="1:41" ht="12.75" customHeight="1" x14ac:dyDescent="0.2">
      <c r="A997" s="237">
        <v>997</v>
      </c>
      <c r="B997" s="5838"/>
      <c r="C997" s="597" t="str">
        <f t="shared" si="242"/>
        <v>Leo: Armas-pistola</v>
      </c>
      <c r="D997" s="933">
        <f t="shared" si="243"/>
        <v>19</v>
      </c>
      <c r="E997" s="142" t="s">
        <v>10288</v>
      </c>
      <c r="F997" s="85">
        <v>50</v>
      </c>
      <c r="G997" s="85">
        <v>50</v>
      </c>
      <c r="H997" s="94">
        <f>IF(COUNTIF(PDs!$E$78:$H$82,E997)&gt;0,1,0)</f>
        <v>0</v>
      </c>
      <c r="I997" s="622" t="str">
        <f>IF(OR(NOT(Inhumanidad),NOT(UsodelKi),HA_final&lt;140,NOT(Extensióndelauraalarma),Música_final&lt;100,Música_final="-"),"NO","-")</f>
        <v>NO</v>
      </c>
      <c r="J997" s="86" t="s">
        <v>10295</v>
      </c>
      <c r="K997" s="23"/>
      <c r="L997" s="23"/>
      <c r="M997" s="23"/>
      <c r="N997" s="23"/>
      <c r="O997" s="55"/>
      <c r="P997" s="23"/>
      <c r="Q997" s="23"/>
      <c r="R997" s="39"/>
    </row>
    <row r="998" spans="1:41" ht="12.75" customHeight="1" x14ac:dyDescent="0.2">
      <c r="A998" s="237">
        <v>998</v>
      </c>
      <c r="B998" s="5838"/>
      <c r="C998" s="597" t="str">
        <f t="shared" ref="C998:C1008" si="244">VLOOKUP(A9,$D$990:$E$1008,2,0)</f>
        <v>Libra: Arma variable</v>
      </c>
      <c r="D998" s="933">
        <f t="shared" ref="D998:D1008" si="245">COUNTIF($E$990:$E$1008,"&lt;="&amp;E998)</f>
        <v>18</v>
      </c>
      <c r="E998" s="142" t="s">
        <v>10289</v>
      </c>
      <c r="F998" s="2942">
        <v>50</v>
      </c>
      <c r="G998" s="2942">
        <v>50</v>
      </c>
      <c r="H998" s="94">
        <f>IF(COUNTIF(PDs!$E$78:$H$82,E998)&gt;0,1,0)</f>
        <v>0</v>
      </c>
      <c r="I998" s="622" t="str">
        <f>IF(OR(NOT(Inhumanidad),NOT(UsodelKi),HA_final&lt;140,NOT(Extensióndelauraalarma),Música_final&lt;100,Música_final="-"),"NO","-")</f>
        <v>NO</v>
      </c>
      <c r="J998" s="86" t="s">
        <v>10294</v>
      </c>
      <c r="K998" s="23"/>
      <c r="L998" s="23"/>
      <c r="M998" s="23"/>
      <c r="N998" s="23"/>
      <c r="O998" s="55"/>
      <c r="P998" s="23"/>
      <c r="Q998" s="23"/>
      <c r="R998" s="39"/>
      <c r="Y998" s="2943"/>
      <c r="Z998" s="2943"/>
      <c r="AA998" s="2943"/>
      <c r="AB998" s="2943"/>
      <c r="AC998" s="2943"/>
      <c r="AD998" s="2943"/>
      <c r="AE998" s="2943"/>
      <c r="AF998" s="2943"/>
      <c r="AG998" s="2943"/>
      <c r="AH998" s="2943"/>
      <c r="AI998" s="2943"/>
      <c r="AJ998" s="2943"/>
      <c r="AK998" s="2943"/>
      <c r="AL998" s="2943"/>
      <c r="AM998" s="2943"/>
      <c r="AN998" s="2943"/>
      <c r="AO998" s="2943"/>
    </row>
    <row r="999" spans="1:41" ht="12.75" customHeight="1" x14ac:dyDescent="0.2">
      <c r="A999" s="237">
        <v>999</v>
      </c>
      <c r="B999" s="5838"/>
      <c r="C999" s="597" t="str">
        <f t="shared" si="244"/>
        <v>Ophiucos: Señor de Espadas Infinitas</v>
      </c>
      <c r="D999" s="933">
        <f t="shared" si="245"/>
        <v>16</v>
      </c>
      <c r="E999" s="142" t="s">
        <v>10290</v>
      </c>
      <c r="F999" s="2942">
        <v>50</v>
      </c>
      <c r="G999" s="2942">
        <v>50</v>
      </c>
      <c r="H999" s="94">
        <f>IF(COUNTIF(PDs!$E$78:$H$82,E999)&gt;0,1,0)</f>
        <v>0</v>
      </c>
      <c r="I999" s="622" t="str">
        <f>IF(OR(NOT(Inhumanidad),NOT(UsodelKi),HA_final&lt;140,NOT(Extensióndelauraalarma),Música_final&lt;100,Música_final="-"),"NO","-")</f>
        <v>NO</v>
      </c>
      <c r="J999" s="86" t="s">
        <v>10293</v>
      </c>
      <c r="K999" s="23"/>
      <c r="L999" s="23"/>
      <c r="M999" s="23"/>
      <c r="N999" s="23"/>
      <c r="O999" s="55"/>
      <c r="P999" s="23"/>
      <c r="Q999" s="23"/>
      <c r="R999" s="39"/>
      <c r="Y999" s="2943"/>
      <c r="Z999" s="2943"/>
      <c r="AA999" s="2943"/>
      <c r="AB999" s="2943"/>
      <c r="AC999" s="2943"/>
      <c r="AD999" s="2943"/>
      <c r="AE999" s="2943"/>
      <c r="AF999" s="2943"/>
      <c r="AG999" s="2943"/>
      <c r="AH999" s="2943"/>
      <c r="AI999" s="2943"/>
      <c r="AJ999" s="2943"/>
      <c r="AK999" s="2943"/>
      <c r="AL999" s="2943"/>
      <c r="AM999" s="2943"/>
      <c r="AN999" s="2943"/>
      <c r="AO999" s="2943"/>
    </row>
    <row r="1000" spans="1:41" ht="12.75" customHeight="1" x14ac:dyDescent="0.2">
      <c r="A1000" s="237">
        <v>1000</v>
      </c>
      <c r="B1000" s="5838"/>
      <c r="C1000" s="597" t="str">
        <f t="shared" si="244"/>
        <v>Piscis: Yoyó</v>
      </c>
      <c r="D1000" s="933">
        <f t="shared" si="245"/>
        <v>17</v>
      </c>
      <c r="E1000" s="142" t="s">
        <v>10291</v>
      </c>
      <c r="F1000" s="2942">
        <v>50</v>
      </c>
      <c r="G1000" s="2942">
        <v>50</v>
      </c>
      <c r="H1000" s="94">
        <f>IF(COUNTIF(PDs!$E$78:$H$82,E1000)&gt;0,1,0)</f>
        <v>0</v>
      </c>
      <c r="I1000" s="622" t="str">
        <f>IF(OR(NOT(Inhumanidad),NOT(UsodelKi),HA_final&lt;140,NOT(Extensióndelauraalarma),Música_final&lt;100,Música_final="-"),"NO","-")</f>
        <v>NO</v>
      </c>
      <c r="J1000" s="86" t="s">
        <v>10292</v>
      </c>
      <c r="K1000" s="23"/>
      <c r="L1000" s="23"/>
      <c r="M1000" s="23"/>
      <c r="N1000" s="23"/>
      <c r="O1000" s="55"/>
      <c r="P1000" s="23"/>
      <c r="Q1000" s="23"/>
      <c r="R1000" s="39"/>
      <c r="Y1000" s="2943"/>
      <c r="Z1000" s="2943"/>
      <c r="AA1000" s="2943"/>
      <c r="AB1000" s="2943"/>
      <c r="AC1000" s="2943"/>
      <c r="AD1000" s="2943"/>
      <c r="AE1000" s="2943"/>
      <c r="AF1000" s="2943"/>
      <c r="AG1000" s="2943"/>
      <c r="AH1000" s="2943"/>
      <c r="AI1000" s="2943"/>
      <c r="AJ1000" s="2943"/>
      <c r="AK1000" s="2943"/>
      <c r="AL1000" s="2943"/>
      <c r="AM1000" s="2943"/>
      <c r="AN1000" s="2943"/>
      <c r="AO1000" s="2943"/>
    </row>
    <row r="1001" spans="1:41" ht="12.75" customHeight="1" x14ac:dyDescent="0.2">
      <c r="A1001" s="237">
        <v>1001</v>
      </c>
      <c r="B1001" s="5838"/>
      <c r="C1001" s="597" t="str">
        <f t="shared" si="244"/>
        <v>Sagittarius Magister: Obj. arrojadizos</v>
      </c>
      <c r="D1001" s="933">
        <f t="shared" si="245"/>
        <v>9</v>
      </c>
      <c r="E1001" s="142" t="s">
        <v>1100</v>
      </c>
      <c r="F1001" s="85">
        <v>30</v>
      </c>
      <c r="G1001" s="85">
        <v>20</v>
      </c>
      <c r="H1001" s="94">
        <f>IF(COUNTIF(PDs!$E$78:$H$82,E1001)&gt;0,1,0)</f>
        <v>0</v>
      </c>
      <c r="I1001" s="622" t="str">
        <f>IF(OR(NOT(Inhumanidad),NOT(UsodelKi),HA_final&lt;160,HD_final&lt;160,NOT(Extensióndelauraalarma)),"NO","-")</f>
        <v>NO</v>
      </c>
      <c r="J1001" s="86" t="s">
        <v>1101</v>
      </c>
      <c r="K1001" s="23"/>
      <c r="L1001" s="23"/>
      <c r="M1001" s="23"/>
      <c r="N1001" s="23"/>
      <c r="O1001" s="55"/>
      <c r="P1001" s="23"/>
      <c r="Q1001" s="23"/>
      <c r="R1001" s="39"/>
    </row>
    <row r="1002" spans="1:41" ht="12.75" customHeight="1" x14ac:dyDescent="0.2">
      <c r="A1002" s="237">
        <v>1002</v>
      </c>
      <c r="B1002" s="5838"/>
      <c r="C1002" s="597" t="str">
        <f t="shared" si="244"/>
        <v>Sagittarius: Objetos arrojadizos</v>
      </c>
      <c r="D1002" s="933">
        <f t="shared" si="245"/>
        <v>14</v>
      </c>
      <c r="E1002" s="142" t="s">
        <v>1102</v>
      </c>
      <c r="F1002" s="85">
        <v>10</v>
      </c>
      <c r="G1002" s="85">
        <v>10</v>
      </c>
      <c r="H1002" s="94">
        <f>IF(COUNTIF(PDs!$E$78:$H$82,E1002)&gt;0,1,0)</f>
        <v>0</v>
      </c>
      <c r="I1002" s="622" t="str">
        <f>IF(OR(NOT(Inhumanidad),NOT(UsodelKi),HA_final&lt;140,NOT(Extensióndelauraalarma)),"NO","-")</f>
        <v>NO</v>
      </c>
      <c r="J1002" s="86" t="s">
        <v>1103</v>
      </c>
      <c r="K1002" s="23"/>
      <c r="L1002" s="23"/>
      <c r="M1002" s="23"/>
      <c r="N1002" s="23"/>
      <c r="O1002" s="55"/>
      <c r="P1002" s="23"/>
      <c r="Q1002" s="23"/>
      <c r="R1002" s="39"/>
    </row>
    <row r="1003" spans="1:41" ht="12.75" customHeight="1" x14ac:dyDescent="0.2">
      <c r="A1003" s="237">
        <v>1003</v>
      </c>
      <c r="B1003" s="5838"/>
      <c r="C1003" s="597" t="str">
        <f t="shared" si="244"/>
        <v>Scorpio: Espada-látigo</v>
      </c>
      <c r="D1003" s="933">
        <f t="shared" si="245"/>
        <v>13</v>
      </c>
      <c r="E1003" s="142" t="s">
        <v>1104</v>
      </c>
      <c r="F1003" s="85">
        <v>40</v>
      </c>
      <c r="G1003" s="85">
        <v>30</v>
      </c>
      <c r="H1003" s="94">
        <f>IF(COUNTIF(PDs!$E$78:$H$82,E1003)&gt;0,1,0)</f>
        <v>0</v>
      </c>
      <c r="I1003" s="622" t="str">
        <f>IF(OR(NOT(Inhumanidad),NOT(UsodelKi),NOT(Extensióndelauraalarma),T.Manos_final&lt;60,DES&lt;9,HA_final&lt;140,NOT(OR(PDs!$Y$40="Lanzamiento",PDs!$Y$41="Lanzamiento",PDs!$Y$42="Lanzamiento",PDs!$Y$43="Lanzamiento",PDs!$Y$44="Lanzamiento"))),"NO","-")</f>
        <v>NO</v>
      </c>
      <c r="J1003" s="15" t="s">
        <v>1105</v>
      </c>
      <c r="K1003" s="23"/>
      <c r="L1003" s="23"/>
      <c r="M1003" s="23"/>
      <c r="N1003" s="23"/>
      <c r="O1003" s="55"/>
      <c r="P1003" s="23"/>
      <c r="Q1003" s="23"/>
      <c r="R1003" s="39"/>
    </row>
    <row r="1004" spans="1:41" ht="12.75" customHeight="1" x14ac:dyDescent="0.2">
      <c r="A1004" s="237">
        <v>1004</v>
      </c>
      <c r="B1004" s="5838"/>
      <c r="C1004" s="597" t="str">
        <f t="shared" si="244"/>
        <v>Taurus: Enormes armas dobles</v>
      </c>
      <c r="D1004" s="933">
        <f t="shared" si="245"/>
        <v>12</v>
      </c>
      <c r="E1004" s="142" t="s">
        <v>1106</v>
      </c>
      <c r="F1004" s="85">
        <v>30</v>
      </c>
      <c r="G1004" s="85">
        <v>30</v>
      </c>
      <c r="H1004" s="94">
        <f>IF(COUNTIF(PDs!$E$78:$H$82,E1004)&gt;0,1,0)</f>
        <v>0</v>
      </c>
      <c r="I1004" s="622" t="str">
        <f>IF(OR(NOT(Inhumanidad),NOT(UsodelKi),HA_final&lt;200,DES&lt;11,H1003=0),"NO","-")</f>
        <v>NO</v>
      </c>
      <c r="J1004" s="15" t="s">
        <v>1107</v>
      </c>
      <c r="K1004" s="23"/>
      <c r="L1004" s="23"/>
      <c r="M1004" s="23"/>
      <c r="N1004" s="23"/>
      <c r="O1004" s="55"/>
      <c r="P1004" s="23"/>
      <c r="Q1004" s="23"/>
      <c r="R1004" s="39"/>
    </row>
    <row r="1005" spans="1:41" ht="12.75" customHeight="1" x14ac:dyDescent="0.2">
      <c r="A1005" s="237">
        <v>1005</v>
      </c>
      <c r="B1005" s="5838"/>
      <c r="C1005" s="597" t="str">
        <f t="shared" si="244"/>
        <v>Virgo: Instrumentos de cuerda</v>
      </c>
      <c r="D1005" s="933">
        <f t="shared" si="245"/>
        <v>6</v>
      </c>
      <c r="E1005" s="142" t="s">
        <v>1108</v>
      </c>
      <c r="F1005" s="85">
        <v>20</v>
      </c>
      <c r="G1005" s="85">
        <v>20</v>
      </c>
      <c r="H1005" s="94">
        <f>IF(COUNTIF(PDs!$E$78:$H$82,E1005)&gt;0,1,0)</f>
        <v>0</v>
      </c>
      <c r="I1005" s="622" t="str">
        <f>IF(OR(NOT(Inhumanidad),NOT(UsodelKi),HA_final&lt;100,DES&lt;9,Medicina_final="-",Medicina_final&lt;80),"NO","-")</f>
        <v>NO</v>
      </c>
      <c r="J1005" s="15" t="s">
        <v>1109</v>
      </c>
      <c r="K1005" s="23"/>
      <c r="L1005" s="23"/>
      <c r="M1005" s="23"/>
      <c r="N1005" s="23"/>
      <c r="O1005" s="55"/>
      <c r="P1005" s="23"/>
      <c r="Q1005" s="23"/>
      <c r="R1005" s="39"/>
    </row>
    <row r="1006" spans="1:41" ht="12.75" customHeight="1" x14ac:dyDescent="0.2">
      <c r="A1006" s="237">
        <v>1006</v>
      </c>
      <c r="B1006" s="5838"/>
      <c r="C1006" s="597" t="str">
        <f t="shared" si="244"/>
        <v>Virgo: Instrumentos de percusión</v>
      </c>
      <c r="D1006" s="933">
        <f t="shared" si="245"/>
        <v>2</v>
      </c>
      <c r="E1006" s="142" t="s">
        <v>1110</v>
      </c>
      <c r="F1006" s="85">
        <v>20</v>
      </c>
      <c r="G1006" s="85">
        <v>20</v>
      </c>
      <c r="H1006" s="94">
        <f>IF(COUNTIF(PDs!$E$78:$H$82,E1006)&gt;0,1,0)</f>
        <v>0</v>
      </c>
      <c r="I1006" s="622" t="str">
        <f>IF(OR(NOT(Inhumanidad),NOT(UsodelKi),HA_final&lt;150,HD_final&lt;150,NOT(Extensióndelauraalarma)),"NO","-")</f>
        <v>NO</v>
      </c>
      <c r="J1006" s="15" t="s">
        <v>1111</v>
      </c>
      <c r="K1006" s="23"/>
      <c r="L1006" s="23"/>
      <c r="M1006" s="23"/>
      <c r="N1006" s="23"/>
      <c r="O1006" s="55"/>
      <c r="P1006" s="23"/>
      <c r="Q1006" s="23"/>
      <c r="R1006" s="39"/>
    </row>
    <row r="1007" spans="1:41" ht="12.75" customHeight="1" x14ac:dyDescent="0.2">
      <c r="A1007" s="237">
        <v>1007</v>
      </c>
      <c r="B1007" s="5838"/>
      <c r="C1007" s="597" t="str">
        <f t="shared" si="244"/>
        <v>Virgo: Instrumentos grandes de viento</v>
      </c>
      <c r="D1007" s="933">
        <f t="shared" si="245"/>
        <v>11</v>
      </c>
      <c r="E1007" s="142" t="s">
        <v>1112</v>
      </c>
      <c r="F1007" s="85">
        <v>10</v>
      </c>
      <c r="G1007" s="85">
        <v>20</v>
      </c>
      <c r="H1007" s="94">
        <f>IF(COUNTIF(PDs!$E$78:$H$82,E1007)&gt;0,1,0)</f>
        <v>0</v>
      </c>
      <c r="I1007" s="622" t="str">
        <f>IF(OR(NOT(Inhumanidad),NOT(UsodelKi),HA_final&lt;120,DES&lt;10),"NO","-")</f>
        <v>NO</v>
      </c>
      <c r="J1007" s="15" t="s">
        <v>1113</v>
      </c>
      <c r="K1007" s="23"/>
      <c r="L1007" s="23"/>
      <c r="M1007" s="23"/>
      <c r="N1007" s="23"/>
      <c r="O1007" s="55"/>
      <c r="P1007" s="23"/>
      <c r="Q1007" s="23"/>
      <c r="R1007" s="39"/>
    </row>
    <row r="1008" spans="1:41" ht="12.75" customHeight="1" x14ac:dyDescent="0.2">
      <c r="A1008" s="237">
        <v>1008</v>
      </c>
      <c r="B1008" s="5838"/>
      <c r="C1008" s="597" t="str">
        <f t="shared" si="244"/>
        <v>Virgo: Instrumentos pequeños de viento</v>
      </c>
      <c r="D1008" s="933">
        <f t="shared" si="245"/>
        <v>10</v>
      </c>
      <c r="E1008" s="142" t="s">
        <v>1114</v>
      </c>
      <c r="F1008" s="85">
        <v>50</v>
      </c>
      <c r="G1008" s="85">
        <v>100</v>
      </c>
      <c r="H1008" s="94">
        <f>IF(COUNTIF(PDs!$E$78:$H$82,E1008)&gt;0,1,0)</f>
        <v>0</v>
      </c>
      <c r="I1008" s="622" t="str">
        <f>IF(OR(NOT(Inhumanidad),NOT(UsodelKi),HA_final&lt;250,NOT(Extensióndelauraalarma),NOT(Zen)),"NO","-")</f>
        <v>NO</v>
      </c>
      <c r="J1008" s="15" t="s">
        <v>1115</v>
      </c>
      <c r="K1008" s="23"/>
      <c r="L1008" s="23"/>
      <c r="M1008" s="23"/>
      <c r="N1008" s="23"/>
      <c r="O1008" s="55"/>
      <c r="P1008" s="23"/>
      <c r="Q1008" s="23"/>
      <c r="R1008" s="39"/>
    </row>
    <row r="1009" spans="1:18" ht="12.75" customHeight="1" x14ac:dyDescent="0.2">
      <c r="A1009" s="237">
        <v>1009</v>
      </c>
      <c r="B1009" s="5838"/>
      <c r="C1009" s="597" t="str">
        <f>VLOOKUP(A1,$D$1009:$E$1012,2,0)</f>
        <v>&gt; ARS MAGNUS PERSONALIZADOS</v>
      </c>
      <c r="D1009" s="933">
        <f>COUNTIF($E$1009:$E$1012,"&lt;="&amp;E1009)</f>
        <v>1</v>
      </c>
      <c r="E1009" s="142" t="s">
        <v>9794</v>
      </c>
      <c r="F1009" s="85">
        <v>0</v>
      </c>
      <c r="G1009" s="85">
        <v>0</v>
      </c>
      <c r="H1009" s="94"/>
      <c r="I1009" s="622" t="s">
        <v>1459</v>
      </c>
      <c r="J1009" s="15"/>
      <c r="K1009" s="23"/>
      <c r="L1009" s="23"/>
      <c r="M1009" s="23"/>
      <c r="N1009" s="23"/>
      <c r="O1009" s="55"/>
      <c r="P1009" s="23"/>
      <c r="Q1009" s="23"/>
      <c r="R1009" s="39"/>
    </row>
    <row r="1010" spans="1:18" ht="12.75" customHeight="1" x14ac:dyDescent="0.2">
      <c r="A1010" s="237">
        <v>1010</v>
      </c>
      <c r="B1010" s="5838"/>
      <c r="C1010" s="597" t="str">
        <f>VLOOKUP(A2,$D$1009:$E$1012,2,0)</f>
        <v>Ars Magnus Personalizado 1</v>
      </c>
      <c r="D1010" s="933">
        <f>D1009+1</f>
        <v>2</v>
      </c>
      <c r="E1010" s="142" t="str">
        <f>IF(Personalización!AD78="","Ars Magnus Personalizado 1",Personalización!AD78)</f>
        <v>Ars Magnus Personalizado 1</v>
      </c>
      <c r="F1010" s="85">
        <f>Personalización!AI78</f>
        <v>0</v>
      </c>
      <c r="G1010" s="85">
        <f>Personalización!AJ78</f>
        <v>0</v>
      </c>
      <c r="H1010" s="94">
        <f>IF(COUNTIF(PDs!$E$78:$H$82,E1010)&gt;0,1,0)</f>
        <v>0</v>
      </c>
      <c r="I1010" s="622" t="s">
        <v>1459</v>
      </c>
      <c r="J1010" s="15" t="str">
        <f>E1010</f>
        <v>Ars Magnus Personalizado 1</v>
      </c>
      <c r="K1010" s="23"/>
      <c r="L1010" s="23"/>
      <c r="M1010" s="23"/>
      <c r="N1010" s="23"/>
      <c r="O1010" s="55"/>
      <c r="P1010" s="23"/>
      <c r="Q1010" s="23"/>
      <c r="R1010" s="39"/>
    </row>
    <row r="1011" spans="1:18" ht="12.75" customHeight="1" x14ac:dyDescent="0.2">
      <c r="A1011" s="237">
        <v>1011</v>
      </c>
      <c r="B1011" s="5838"/>
      <c r="C1011" s="597" t="str">
        <f>VLOOKUP(A3,$D$1009:$E$1012,2,0)</f>
        <v>Ars Magnus Personalizado 2</v>
      </c>
      <c r="D1011" s="933">
        <f t="shared" ref="D1011:D1012" si="246">D1010+1</f>
        <v>3</v>
      </c>
      <c r="E1011" s="142" t="str">
        <f>IF(Personalización!AD79="","Ars Magnus Personalizado 2",Personalización!AD79)</f>
        <v>Ars Magnus Personalizado 2</v>
      </c>
      <c r="F1011" s="85">
        <f>Personalización!AI79</f>
        <v>0</v>
      </c>
      <c r="G1011" s="85">
        <f>Personalización!AJ79</f>
        <v>0</v>
      </c>
      <c r="H1011" s="94">
        <f>IF(COUNTIF(PDs!$E$78:$H$82,E1011)&gt;0,1,0)</f>
        <v>0</v>
      </c>
      <c r="I1011" s="622" t="s">
        <v>1459</v>
      </c>
      <c r="J1011" s="15" t="str">
        <f t="shared" ref="J1011:J1012" si="247">E1011</f>
        <v>Ars Magnus Personalizado 2</v>
      </c>
      <c r="K1011" s="23"/>
      <c r="L1011" s="23"/>
      <c r="M1011" s="23"/>
      <c r="N1011" s="23"/>
      <c r="O1011" s="55"/>
      <c r="P1011" s="23"/>
      <c r="Q1011" s="23"/>
      <c r="R1011" s="39"/>
    </row>
    <row r="1012" spans="1:18" ht="12.75" customHeight="1" x14ac:dyDescent="0.2">
      <c r="A1012" s="237">
        <v>1012</v>
      </c>
      <c r="B1012" s="5838"/>
      <c r="C1012" s="597" t="str">
        <f>VLOOKUP(A4,$D$1009:$E$1012,2,0)</f>
        <v>Ars Magnus Personalizado 3</v>
      </c>
      <c r="D1012" s="933">
        <f t="shared" si="246"/>
        <v>4</v>
      </c>
      <c r="E1012" s="142" t="str">
        <f>IF(Personalización!AD80="","Ars Magnus Personalizado 3",Personalización!AD80)</f>
        <v>Ars Magnus Personalizado 3</v>
      </c>
      <c r="F1012" s="85">
        <f>Personalización!AI80</f>
        <v>0</v>
      </c>
      <c r="G1012" s="85">
        <f>Personalización!AJ80</f>
        <v>0</v>
      </c>
      <c r="H1012" s="94">
        <f>IF(COUNTIF(PDs!$E$78:$H$82,E1012)&gt;0,1,0)</f>
        <v>0</v>
      </c>
      <c r="I1012" s="622" t="s">
        <v>1459</v>
      </c>
      <c r="J1012" s="15" t="str">
        <f t="shared" si="247"/>
        <v>Ars Magnus Personalizado 3</v>
      </c>
      <c r="K1012" s="23"/>
      <c r="L1012" s="23"/>
      <c r="M1012" s="23"/>
      <c r="N1012" s="23"/>
      <c r="O1012" s="55"/>
      <c r="P1012" s="23"/>
      <c r="Q1012" s="23"/>
      <c r="R1012" s="39"/>
    </row>
    <row r="1013" spans="1:18" ht="12.75" customHeight="1" x14ac:dyDescent="0.2">
      <c r="A1013" s="237">
        <v>1013</v>
      </c>
      <c r="B1013" s="5838"/>
      <c r="C1013" s="597" t="str">
        <f t="shared" ref="C1013:C1022" si="248">VLOOKUP(A1,$D$1013:$E$1022,2,0)</f>
        <v>&gt; TABLAS DE COMBATE SOBRENATURAL</v>
      </c>
      <c r="D1013" s="933">
        <f t="shared" ref="D1013:D1022" si="249">COUNTIF($E$1013:$E$1022,"&lt;="&amp;E1013)</f>
        <v>1</v>
      </c>
      <c r="E1013" s="142" t="s">
        <v>1116</v>
      </c>
      <c r="F1013" s="85">
        <v>0</v>
      </c>
      <c r="G1013" s="85">
        <v>0</v>
      </c>
      <c r="H1013" s="94"/>
      <c r="I1013" s="622" t="s">
        <v>1459</v>
      </c>
      <c r="J1013" s="86" t="s">
        <v>1459</v>
      </c>
      <c r="K1013" s="23"/>
      <c r="L1013" s="23"/>
      <c r="M1013" s="23"/>
      <c r="N1013" s="23"/>
      <c r="O1013" s="55"/>
      <c r="P1013" s="23"/>
      <c r="Q1013" s="23"/>
      <c r="R1013" s="39"/>
    </row>
    <row r="1014" spans="1:18" ht="12.75" customHeight="1" x14ac:dyDescent="0.2">
      <c r="A1014" s="237">
        <v>1014</v>
      </c>
      <c r="B1014" s="5838"/>
      <c r="C1014" s="597" t="str">
        <f t="shared" si="248"/>
        <v>Ataque a distancia</v>
      </c>
      <c r="D1014" s="933">
        <f t="shared" si="249"/>
        <v>3</v>
      </c>
      <c r="E1014" s="142" t="s">
        <v>1117</v>
      </c>
      <c r="F1014" s="85">
        <v>20</v>
      </c>
      <c r="G1014" s="85">
        <v>10</v>
      </c>
      <c r="H1014" s="94">
        <f>IF(COUNTIF(PDs!$E$78:$H$82,E1014)&gt;0,1,0)</f>
        <v>0</v>
      </c>
      <c r="I1014" s="622" t="str">
        <f>IF(HA_final&lt;120,"NO","-")</f>
        <v>NO</v>
      </c>
      <c r="J1014" s="15" t="s">
        <v>1118</v>
      </c>
      <c r="K1014" s="23"/>
      <c r="L1014" s="23"/>
      <c r="M1014" s="23"/>
      <c r="N1014" s="23"/>
      <c r="O1014" s="55"/>
      <c r="P1014" s="23"/>
      <c r="Q1014" s="23"/>
      <c r="R1014" s="39"/>
    </row>
    <row r="1015" spans="1:18" ht="12.75" customHeight="1" x14ac:dyDescent="0.2">
      <c r="A1015" s="237">
        <v>1015</v>
      </c>
      <c r="B1015" s="5838"/>
      <c r="C1015" s="597" t="str">
        <f t="shared" si="248"/>
        <v>Atrapar</v>
      </c>
      <c r="D1015" s="933">
        <f t="shared" si="249"/>
        <v>4</v>
      </c>
      <c r="E1015" s="142" t="s">
        <v>1119</v>
      </c>
      <c r="F1015" s="85">
        <v>20</v>
      </c>
      <c r="G1015" s="85">
        <v>20</v>
      </c>
      <c r="H1015" s="94">
        <f>IF(COUNTIF(PDs!$E$78:$H$82,E1015)&gt;0,1,0)</f>
        <v>0</v>
      </c>
      <c r="I1015" s="622" t="str">
        <f>IF(OR(HA_final&lt;140,HD_final&lt;140),"NO","-")</f>
        <v>NO</v>
      </c>
      <c r="J1015" s="15" t="s">
        <v>1120</v>
      </c>
      <c r="K1015" s="23"/>
      <c r="L1015" s="23"/>
      <c r="M1015" s="23"/>
      <c r="N1015" s="23"/>
      <c r="O1015" s="55"/>
      <c r="P1015" s="23"/>
      <c r="Q1015" s="23"/>
      <c r="R1015" s="39"/>
    </row>
    <row r="1016" spans="1:18" ht="12.75" customHeight="1" x14ac:dyDescent="0.2">
      <c r="A1016" s="237">
        <v>1016</v>
      </c>
      <c r="B1016" s="5838"/>
      <c r="C1016" s="597" t="str">
        <f t="shared" si="248"/>
        <v>Controlar a distancia</v>
      </c>
      <c r="D1016" s="933">
        <f t="shared" si="249"/>
        <v>2</v>
      </c>
      <c r="E1016" s="142" t="s">
        <v>1121</v>
      </c>
      <c r="F1016" s="85">
        <v>20</v>
      </c>
      <c r="G1016" s="85">
        <v>20</v>
      </c>
      <c r="H1016" s="94">
        <f>IF(COUNTIF(PDs!$E$78:$H$82,E1016)&gt;0,1,0)</f>
        <v>0</v>
      </c>
      <c r="I1016" s="622" t="str">
        <f>IF(MAX(HA_final,Místicos!$P$12,Psíquicos!$P$12)&lt;120,"NO","-")</f>
        <v>NO</v>
      </c>
      <c r="J1016" s="15" t="s">
        <v>1122</v>
      </c>
      <c r="K1016" s="23"/>
      <c r="L1016" s="23"/>
      <c r="M1016" s="23"/>
      <c r="N1016" s="23"/>
      <c r="O1016" s="55"/>
      <c r="P1016" s="23"/>
      <c r="Q1016" s="23"/>
      <c r="R1016" s="39"/>
    </row>
    <row r="1017" spans="1:18" ht="12.75" customHeight="1" x14ac:dyDescent="0.2">
      <c r="A1017" s="237">
        <v>1017</v>
      </c>
      <c r="B1017" s="5838"/>
      <c r="C1017" s="597" t="str">
        <f t="shared" si="248"/>
        <v>Escudo protector</v>
      </c>
      <c r="D1017" s="933">
        <f t="shared" si="249"/>
        <v>7</v>
      </c>
      <c r="E1017" s="142" t="s">
        <v>1123</v>
      </c>
      <c r="F1017" s="85">
        <v>20</v>
      </c>
      <c r="G1017" s="85">
        <v>0</v>
      </c>
      <c r="H1017" s="94">
        <f>IF(COUNTIF(PDs!$E$78:$H$82,E1017)&gt;0,1,0)</f>
        <v>0</v>
      </c>
      <c r="I1017" s="622" t="str">
        <f>IF(NOT(Ki!P27="-"),"NO","-")</f>
        <v>NO</v>
      </c>
      <c r="J1017" s="15" t="s">
        <v>1124</v>
      </c>
      <c r="K1017" s="23"/>
      <c r="L1017" s="23"/>
      <c r="M1017" s="23"/>
      <c r="N1017" s="23"/>
      <c r="O1017" s="55"/>
      <c r="P1017" s="23"/>
      <c r="Q1017" s="23"/>
      <c r="R1017" s="39"/>
    </row>
    <row r="1018" spans="1:18" ht="12.75" customHeight="1" x14ac:dyDescent="0.2">
      <c r="A1018" s="237">
        <v>1018</v>
      </c>
      <c r="B1018" s="5838"/>
      <c r="C1018" s="597" t="str">
        <f t="shared" si="248"/>
        <v>Incremento de daño</v>
      </c>
      <c r="D1018" s="933">
        <f t="shared" si="249"/>
        <v>6</v>
      </c>
      <c r="E1018" s="142" t="s">
        <v>1125</v>
      </c>
      <c r="F1018" s="85">
        <v>20</v>
      </c>
      <c r="G1018" s="85">
        <v>20</v>
      </c>
      <c r="H1018" s="94">
        <f>IF(COUNTIF(PDs!$E$78:$H$82,E1018)&gt;0,1,0)</f>
        <v>0</v>
      </c>
      <c r="I1018" s="622" t="s">
        <v>1459</v>
      </c>
      <c r="J1018" s="15" t="s">
        <v>1126</v>
      </c>
      <c r="K1018" s="23"/>
      <c r="L1018" s="23"/>
      <c r="M1018" s="23"/>
      <c r="N1018" s="23"/>
      <c r="O1018" s="55"/>
      <c r="P1018" s="23"/>
      <c r="Q1018" s="23"/>
      <c r="R1018" s="39"/>
    </row>
    <row r="1019" spans="1:18" ht="12.75" customHeight="1" x14ac:dyDescent="0.2">
      <c r="A1019" s="237">
        <v>1019</v>
      </c>
      <c r="B1019" s="5838"/>
      <c r="C1019" s="597" t="str">
        <f t="shared" si="248"/>
        <v>Movimiento acelerado</v>
      </c>
      <c r="D1019" s="933">
        <f t="shared" si="249"/>
        <v>5</v>
      </c>
      <c r="E1019" s="142" t="s">
        <v>1127</v>
      </c>
      <c r="F1019" s="85">
        <v>10</v>
      </c>
      <c r="G1019" s="85">
        <v>10</v>
      </c>
      <c r="H1019" s="94">
        <f>IF(COUNTIF(PDs!$E$78:$H$82,E1019)&gt;0,1,0)</f>
        <v>0</v>
      </c>
      <c r="I1019" s="622" t="str">
        <f>IF(NOT($L$716="Conocida"),"NO","-")</f>
        <v>NO</v>
      </c>
      <c r="J1019" s="15" t="s">
        <v>1128</v>
      </c>
      <c r="K1019" s="23"/>
      <c r="L1019" s="23"/>
      <c r="M1019" s="23"/>
      <c r="N1019" s="23"/>
      <c r="O1019" s="55"/>
      <c r="P1019" s="23"/>
      <c r="Q1019" s="23"/>
      <c r="R1019" s="39"/>
    </row>
    <row r="1020" spans="1:18" ht="12.75" customHeight="1" x14ac:dyDescent="0.2">
      <c r="A1020" s="237">
        <v>1020</v>
      </c>
      <c r="B1020" s="5838"/>
      <c r="C1020" s="597" t="str">
        <f t="shared" si="248"/>
        <v>Refuerzo físico</v>
      </c>
      <c r="D1020" s="933">
        <f t="shared" si="249"/>
        <v>8</v>
      </c>
      <c r="E1020" s="142" t="s">
        <v>1129</v>
      </c>
      <c r="F1020" s="85">
        <v>20</v>
      </c>
      <c r="G1020" s="85">
        <v>10</v>
      </c>
      <c r="H1020" s="94">
        <f>IF(COUNTIF(PDs!$E$78:$H$82,E1020)&gt;0,1,0)</f>
        <v>0</v>
      </c>
      <c r="I1020" s="622" t="s">
        <v>1459</v>
      </c>
      <c r="J1020" s="15" t="s">
        <v>1130</v>
      </c>
      <c r="K1020" s="23"/>
      <c r="L1020" s="23"/>
      <c r="M1020" s="23"/>
      <c r="N1020" s="23"/>
      <c r="O1020" s="55"/>
      <c r="P1020" s="23"/>
      <c r="Q1020" s="23"/>
      <c r="R1020" s="39"/>
    </row>
    <row r="1021" spans="1:18" ht="12.75" customHeight="1" x14ac:dyDescent="0.2">
      <c r="A1021" s="237">
        <v>1021</v>
      </c>
      <c r="B1021" s="5838"/>
      <c r="C1021" s="597" t="str">
        <f t="shared" si="248"/>
        <v>Técnica característica</v>
      </c>
      <c r="D1021" s="933">
        <f t="shared" si="249"/>
        <v>9</v>
      </c>
      <c r="E1021" s="142" t="s">
        <v>1131</v>
      </c>
      <c r="F1021" s="85">
        <v>40</v>
      </c>
      <c r="G1021" s="85">
        <v>30</v>
      </c>
      <c r="H1021" s="94">
        <f>IF(COUNTIF(PDs!$E$78:$H$82,E1021)&gt;0,1,0)</f>
        <v>0</v>
      </c>
      <c r="I1021" s="622" t="str">
        <f>IF(OR(HA_final&lt;120,HD_final&lt;120),"NO","-")</f>
        <v>NO</v>
      </c>
      <c r="J1021" s="15" t="s">
        <v>1132</v>
      </c>
      <c r="K1021" s="23"/>
      <c r="L1021" s="23"/>
      <c r="M1021" s="23"/>
      <c r="N1021" s="23"/>
      <c r="O1021" s="55"/>
      <c r="P1021" s="23"/>
      <c r="Q1021" s="23"/>
      <c r="R1021" s="39"/>
    </row>
    <row r="1022" spans="1:18" ht="12.75" customHeight="1" thickBot="1" x14ac:dyDescent="0.25">
      <c r="A1022" s="237">
        <v>1022</v>
      </c>
      <c r="B1022" s="5838"/>
      <c r="C1022" s="239" t="str">
        <f t="shared" si="248"/>
        <v>Técnica mayor</v>
      </c>
      <c r="D1022" s="238">
        <f t="shared" si="249"/>
        <v>10</v>
      </c>
      <c r="E1022" s="227" t="s">
        <v>1133</v>
      </c>
      <c r="F1022" s="205">
        <v>20</v>
      </c>
      <c r="G1022" s="205">
        <v>20</v>
      </c>
      <c r="H1022" s="198">
        <f>IF(COUNTIF(PDs!$E$78:$H$82,E1022)&gt;0,1,0)</f>
        <v>0</v>
      </c>
      <c r="I1022" s="646" t="str">
        <f>IF(OR(HA_final&lt;180,H1021=0,HD_final&lt;180),"NO","-")</f>
        <v>NO</v>
      </c>
      <c r="J1022" s="21" t="s">
        <v>1134</v>
      </c>
      <c r="K1022" s="76"/>
      <c r="L1022" s="76"/>
      <c r="M1022" s="76"/>
      <c r="N1022" s="76"/>
      <c r="O1022" s="638"/>
      <c r="P1022" s="76"/>
      <c r="Q1022" s="76"/>
      <c r="R1022" s="77"/>
    </row>
    <row r="1023" spans="1:18" ht="12.75" customHeight="1" thickBot="1" x14ac:dyDescent="0.25">
      <c r="A1023" s="237">
        <v>1023</v>
      </c>
      <c r="B1023" s="5838"/>
      <c r="H1023"/>
      <c r="N1023"/>
    </row>
    <row r="1024" spans="1:18" ht="12.75" customHeight="1" thickBot="1" x14ac:dyDescent="0.25">
      <c r="A1024" s="237">
        <v>1024</v>
      </c>
      <c r="B1024" s="5838"/>
      <c r="C1024" s="5898" t="s">
        <v>1135</v>
      </c>
      <c r="D1024" s="5898"/>
      <c r="E1024" s="5898"/>
      <c r="F1024" s="5898"/>
      <c r="G1024" s="5898"/>
      <c r="H1024" s="5898"/>
      <c r="I1024" s="5898"/>
      <c r="J1024" s="5898"/>
      <c r="K1024" s="5898"/>
      <c r="L1024" s="5898"/>
      <c r="N1024"/>
    </row>
    <row r="1025" spans="1:30" ht="12.75" customHeight="1" x14ac:dyDescent="0.2">
      <c r="A1025" s="237">
        <v>1025</v>
      </c>
      <c r="B1025" s="5838"/>
      <c r="C1025" s="5898"/>
      <c r="D1025" s="5898"/>
      <c r="E1025" s="5898"/>
      <c r="F1025" s="5898"/>
      <c r="G1025" s="5898"/>
      <c r="H1025" s="5898"/>
      <c r="I1025" s="5898"/>
      <c r="J1025" s="5898"/>
      <c r="K1025" s="5898"/>
      <c r="L1025" s="5898"/>
      <c r="N1025"/>
    </row>
    <row r="1026" spans="1:30" ht="12.75" customHeight="1" thickBot="1" x14ac:dyDescent="0.25">
      <c r="A1026" s="237">
        <v>1026</v>
      </c>
      <c r="B1026" s="5838"/>
      <c r="C1026" s="5889" t="s">
        <v>2553</v>
      </c>
      <c r="D1026" s="5889"/>
      <c r="E1026" s="5889"/>
      <c r="F1026" s="182" t="s">
        <v>1493</v>
      </c>
      <c r="G1026" s="5915" t="s">
        <v>1553</v>
      </c>
      <c r="H1026" s="5915"/>
      <c r="I1026" s="5915"/>
      <c r="J1026" s="5915"/>
      <c r="K1026" s="5915"/>
      <c r="L1026" s="5915"/>
      <c r="N1026"/>
    </row>
    <row r="1027" spans="1:30" ht="12.75" customHeight="1" x14ac:dyDescent="0.2">
      <c r="A1027" s="237">
        <v>1027</v>
      </c>
      <c r="B1027" s="5838"/>
      <c r="C1027" s="90"/>
      <c r="D1027" s="54"/>
      <c r="E1027" s="248" t="s">
        <v>1136</v>
      </c>
      <c r="F1027" s="200">
        <v>75</v>
      </c>
      <c r="G1027" s="249" t="s">
        <v>1137</v>
      </c>
      <c r="H1027" s="54"/>
      <c r="I1027" s="642"/>
      <c r="J1027" s="54"/>
      <c r="K1027" s="54"/>
      <c r="L1027" s="91"/>
      <c r="N1027"/>
    </row>
    <row r="1028" spans="1:30" ht="12.75" customHeight="1" x14ac:dyDescent="0.2">
      <c r="A1028" s="237">
        <v>1028</v>
      </c>
      <c r="B1028" s="5838"/>
      <c r="C1028" s="38"/>
      <c r="D1028" s="23"/>
      <c r="E1028" s="230" t="s">
        <v>1138</v>
      </c>
      <c r="F1028" s="94">
        <v>75</v>
      </c>
      <c r="G1028" s="44" t="s">
        <v>1139</v>
      </c>
      <c r="H1028" s="23"/>
      <c r="I1028" s="55"/>
      <c r="J1028" s="23"/>
      <c r="K1028" s="23"/>
      <c r="L1028" s="39"/>
      <c r="N1028"/>
    </row>
    <row r="1029" spans="1:30" ht="12.75" customHeight="1" thickBot="1" x14ac:dyDescent="0.25">
      <c r="A1029" s="237">
        <v>1029</v>
      </c>
      <c r="B1029" s="5838"/>
      <c r="C1029" s="75"/>
      <c r="D1029" s="76"/>
      <c r="E1029" s="231" t="s">
        <v>1140</v>
      </c>
      <c r="F1029" s="198">
        <v>100</v>
      </c>
      <c r="G1029" s="250" t="s">
        <v>1141</v>
      </c>
      <c r="H1029" s="238"/>
      <c r="I1029" s="238"/>
      <c r="J1029" s="238"/>
      <c r="K1029" s="238"/>
      <c r="L1029" s="77"/>
      <c r="N1029"/>
    </row>
    <row r="1030" spans="1:30" ht="12.75" customHeight="1" x14ac:dyDescent="0.2">
      <c r="A1030" s="237">
        <v>1030</v>
      </c>
      <c r="B1030" s="5838"/>
      <c r="H1030"/>
      <c r="I1030" s="592"/>
      <c r="N1030"/>
      <c r="O1030" s="592"/>
    </row>
    <row r="1031" spans="1:30" ht="12.75" customHeight="1" x14ac:dyDescent="0.2">
      <c r="A1031" s="237">
        <v>1031</v>
      </c>
      <c r="B1031" s="5838"/>
      <c r="H1031"/>
      <c r="I1031" s="592"/>
      <c r="N1031"/>
      <c r="O1031" s="592"/>
    </row>
    <row r="1032" spans="1:30" ht="12.75" customHeight="1" x14ac:dyDescent="0.2">
      <c r="A1032" s="237">
        <v>1032</v>
      </c>
      <c r="B1032" s="5838"/>
      <c r="H1032"/>
      <c r="I1032" s="592"/>
      <c r="N1032"/>
      <c r="O1032" s="592"/>
      <c r="AC1032" s="742"/>
    </row>
    <row r="1033" spans="1:30" ht="12.75" customHeight="1" x14ac:dyDescent="0.2">
      <c r="A1033" s="237">
        <v>1033</v>
      </c>
      <c r="B1033" s="5838"/>
      <c r="H1033"/>
      <c r="I1033" s="592"/>
      <c r="N1033"/>
      <c r="O1033" s="592"/>
      <c r="AC1033" s="742"/>
    </row>
    <row r="1034" spans="1:30" ht="12.75" customHeight="1" x14ac:dyDescent="0.2">
      <c r="A1034" s="237">
        <v>1034</v>
      </c>
      <c r="B1034" s="5885"/>
      <c r="C1034" s="5812" t="s">
        <v>7507</v>
      </c>
      <c r="D1034" s="5812"/>
      <c r="E1034" s="5812"/>
      <c r="F1034" s="5812"/>
      <c r="G1034" s="5812"/>
      <c r="H1034" s="5812"/>
      <c r="I1034" s="5812"/>
      <c r="J1034" s="5812"/>
      <c r="K1034" s="5812"/>
      <c r="L1034" s="5812"/>
      <c r="M1034" s="5812"/>
      <c r="N1034" s="5812"/>
      <c r="O1034" s="5812"/>
      <c r="P1034" s="5812"/>
      <c r="Q1034" s="5812"/>
      <c r="R1034" s="5812"/>
      <c r="S1034" s="5812"/>
      <c r="T1034" s="5812"/>
      <c r="U1034" s="5812"/>
      <c r="V1034" s="5812"/>
      <c r="W1034" s="5812"/>
      <c r="X1034" s="5812"/>
      <c r="Y1034" s="5812"/>
      <c r="Z1034" s="5812"/>
      <c r="AA1034" s="5812"/>
      <c r="AB1034" s="5812"/>
      <c r="AC1034" s="5812"/>
      <c r="AD1034" s="5812"/>
    </row>
    <row r="1035" spans="1:30" ht="12.75" customHeight="1" x14ac:dyDescent="0.2">
      <c r="A1035" s="237">
        <v>1035</v>
      </c>
      <c r="B1035" s="5885"/>
      <c r="C1035" s="5812"/>
      <c r="D1035" s="5812"/>
      <c r="E1035" s="5812"/>
      <c r="F1035" s="5812"/>
      <c r="G1035" s="5812"/>
      <c r="H1035" s="5812"/>
      <c r="I1035" s="5812"/>
      <c r="J1035" s="5812"/>
      <c r="K1035" s="5812"/>
      <c r="L1035" s="5812"/>
      <c r="M1035" s="5812"/>
      <c r="N1035" s="5812"/>
      <c r="O1035" s="5812"/>
      <c r="P1035" s="5812"/>
      <c r="Q1035" s="5812"/>
      <c r="R1035" s="5812"/>
      <c r="S1035" s="5812"/>
      <c r="T1035" s="5812"/>
      <c r="U1035" s="5812"/>
      <c r="V1035" s="5812"/>
      <c r="W1035" s="5812"/>
      <c r="X1035" s="5812"/>
      <c r="Y1035" s="5812"/>
      <c r="Z1035" s="5812"/>
      <c r="AA1035" s="5812"/>
      <c r="AB1035" s="5812"/>
      <c r="AC1035" s="5812"/>
      <c r="AD1035" s="5812"/>
    </row>
    <row r="1036" spans="1:30" ht="12.75" customHeight="1" x14ac:dyDescent="0.2">
      <c r="A1036" s="237">
        <v>1036</v>
      </c>
      <c r="B1036" s="5885"/>
      <c r="C1036" s="5812"/>
      <c r="D1036" s="5812"/>
      <c r="E1036" s="5812"/>
      <c r="F1036" s="5812"/>
      <c r="G1036" s="5812"/>
      <c r="H1036" s="5812"/>
      <c r="I1036" s="5812"/>
      <c r="J1036" s="5812"/>
      <c r="K1036" s="5812"/>
      <c r="L1036" s="5812"/>
      <c r="M1036" s="5812"/>
      <c r="N1036" s="5812"/>
      <c r="O1036" s="5812"/>
      <c r="P1036" s="5812"/>
      <c r="Q1036" s="5812"/>
      <c r="R1036" s="5812"/>
      <c r="S1036" s="5812"/>
      <c r="T1036" s="5812"/>
      <c r="U1036" s="5812"/>
      <c r="V1036" s="5812"/>
      <c r="W1036" s="5812"/>
      <c r="X1036" s="5812"/>
      <c r="Y1036" s="5812"/>
      <c r="Z1036" s="5812"/>
      <c r="AA1036" s="5812"/>
      <c r="AB1036" s="5812"/>
      <c r="AC1036" s="5812"/>
      <c r="AD1036" s="5812"/>
    </row>
    <row r="1037" spans="1:30" ht="12.75" customHeight="1" thickBot="1" x14ac:dyDescent="0.25">
      <c r="A1037" s="237">
        <v>1037</v>
      </c>
      <c r="B1037" s="5885"/>
      <c r="H1037"/>
      <c r="I1037" s="592"/>
      <c r="N1037"/>
      <c r="O1037" s="592"/>
      <c r="AC1037" s="742"/>
    </row>
    <row r="1038" spans="1:30" ht="12.75" customHeight="1" thickBot="1" x14ac:dyDescent="0.25">
      <c r="A1038" s="237">
        <v>1038</v>
      </c>
      <c r="B1038" s="5885"/>
      <c r="C1038" s="5898" t="s">
        <v>1215</v>
      </c>
      <c r="D1038" s="5898"/>
      <c r="E1038" s="5898"/>
      <c r="F1038" s="5898"/>
      <c r="G1038" s="5898"/>
      <c r="H1038" s="5898"/>
      <c r="I1038" s="5898"/>
      <c r="J1038" s="5898"/>
      <c r="K1038" s="5898"/>
      <c r="L1038" s="5898"/>
      <c r="M1038" s="5898"/>
      <c r="N1038"/>
      <c r="O1038" s="592"/>
      <c r="P1038" s="4660" t="s">
        <v>1142</v>
      </c>
      <c r="Q1038" s="4660"/>
      <c r="S1038" s="4660" t="s">
        <v>94</v>
      </c>
      <c r="T1038" s="4660"/>
      <c r="U1038" s="4660"/>
      <c r="W1038" s="6064" t="s">
        <v>1245</v>
      </c>
      <c r="X1038" s="6064"/>
      <c r="Z1038" s="6031" t="s">
        <v>650</v>
      </c>
      <c r="AA1038" s="6032"/>
      <c r="AB1038" s="6032"/>
      <c r="AC1038" s="6032"/>
      <c r="AD1038" s="6033"/>
    </row>
    <row r="1039" spans="1:30" ht="12.75" customHeight="1" thickBot="1" x14ac:dyDescent="0.25">
      <c r="A1039" s="237">
        <v>1039</v>
      </c>
      <c r="B1039" s="5885"/>
      <c r="C1039" s="5898"/>
      <c r="D1039" s="5898"/>
      <c r="E1039" s="5898"/>
      <c r="F1039" s="5898"/>
      <c r="G1039" s="5898"/>
      <c r="H1039" s="5898"/>
      <c r="I1039" s="5898"/>
      <c r="J1039" s="5898"/>
      <c r="K1039" s="5898"/>
      <c r="L1039" s="5898"/>
      <c r="M1039" s="5898"/>
      <c r="N1039"/>
      <c r="O1039" s="592"/>
      <c r="P1039" s="4660"/>
      <c r="Q1039" s="4660"/>
      <c r="S1039" s="4660"/>
      <c r="T1039" s="4660"/>
      <c r="U1039" s="4660"/>
      <c r="W1039" s="181" t="s">
        <v>1395</v>
      </c>
      <c r="X1039" s="183" t="s">
        <v>1246</v>
      </c>
      <c r="Z1039" s="6034"/>
      <c r="AA1039" s="4595"/>
      <c r="AB1039" s="4595"/>
      <c r="AC1039" s="4595"/>
      <c r="AD1039" s="6035"/>
    </row>
    <row r="1040" spans="1:30" ht="12.75" customHeight="1" thickBot="1" x14ac:dyDescent="0.25">
      <c r="A1040" s="237">
        <v>1040</v>
      </c>
      <c r="B1040" s="5885"/>
      <c r="C1040" s="5771" t="s">
        <v>1642</v>
      </c>
      <c r="D1040" s="5771"/>
      <c r="E1040" s="209" t="s">
        <v>1493</v>
      </c>
      <c r="F1040" s="5780" t="s">
        <v>1553</v>
      </c>
      <c r="G1040" s="5780"/>
      <c r="H1040" s="5780"/>
      <c r="I1040" s="5780"/>
      <c r="J1040" s="5780"/>
      <c r="K1040" s="5780"/>
      <c r="L1040" s="5780"/>
      <c r="M1040" s="5780"/>
      <c r="N1040"/>
      <c r="O1040" s="592"/>
      <c r="P1040" s="181" t="s">
        <v>1389</v>
      </c>
      <c r="Q1040" s="183" t="s">
        <v>1143</v>
      </c>
      <c r="S1040" s="278" t="s">
        <v>95</v>
      </c>
      <c r="T1040" s="182" t="s">
        <v>96</v>
      </c>
      <c r="U1040" s="183" t="s">
        <v>97</v>
      </c>
      <c r="W1040" s="202">
        <v>1</v>
      </c>
      <c r="X1040" s="58">
        <v>0</v>
      </c>
      <c r="Z1040" s="6030" t="s">
        <v>1444</v>
      </c>
      <c r="AA1040" s="5884"/>
      <c r="AB1040" s="5884"/>
      <c r="AC1040" s="631" t="s">
        <v>1359</v>
      </c>
      <c r="AD1040" s="1344" t="s">
        <v>1512</v>
      </c>
    </row>
    <row r="1041" spans="1:30" ht="12.75" customHeight="1" x14ac:dyDescent="0.2">
      <c r="A1041" s="237">
        <v>1041</v>
      </c>
      <c r="B1041" s="5885"/>
      <c r="C1041" s="264"/>
      <c r="D1041" s="88" t="s">
        <v>1216</v>
      </c>
      <c r="E1041" s="85">
        <v>20</v>
      </c>
      <c r="F1041" s="44" t="s">
        <v>1217</v>
      </c>
      <c r="G1041" s="23"/>
      <c r="H1041" s="23"/>
      <c r="I1041" s="55"/>
      <c r="J1041" s="23"/>
      <c r="K1041" s="23"/>
      <c r="L1041" s="23"/>
      <c r="M1041" s="39"/>
      <c r="N1041"/>
      <c r="O1041" s="592"/>
      <c r="P1041" s="199">
        <v>1</v>
      </c>
      <c r="Q1041" s="201">
        <v>0</v>
      </c>
      <c r="S1041" s="96">
        <v>4</v>
      </c>
      <c r="T1041" s="94">
        <v>1</v>
      </c>
      <c r="U1041" s="58">
        <v>1</v>
      </c>
      <c r="W1041" s="202">
        <v>2</v>
      </c>
      <c r="X1041" s="58">
        <v>0</v>
      </c>
      <c r="Z1041" s="597" t="str">
        <f t="shared" ref="Z1041:Z1085" si="250">VLOOKUP(A1,$AA$1041:$AB$1085,2,0)</f>
        <v>&gt; ARCANOS</v>
      </c>
      <c r="AA1041" s="933">
        <f t="shared" ref="AA1041:AA1085" si="251">COUNTIF($AB$1041:$AB$1085,"&lt;="&amp;AB1041)</f>
        <v>1</v>
      </c>
      <c r="AB1041" s="1345" t="s">
        <v>651</v>
      </c>
      <c r="AC1041" s="1346"/>
      <c r="AD1041" s="1347"/>
    </row>
    <row r="1042" spans="1:30" ht="12.75" customHeight="1" x14ac:dyDescent="0.2">
      <c r="A1042" s="237">
        <v>1042</v>
      </c>
      <c r="B1042" s="5885"/>
      <c r="C1042" s="96"/>
      <c r="D1042" s="88" t="s">
        <v>1218</v>
      </c>
      <c r="E1042" s="85">
        <v>15</v>
      </c>
      <c r="F1042" s="44" t="s">
        <v>1219</v>
      </c>
      <c r="G1042" s="23"/>
      <c r="H1042" s="23"/>
      <c r="I1042" s="55"/>
      <c r="J1042" s="23"/>
      <c r="K1042" s="23"/>
      <c r="L1042" s="23"/>
      <c r="M1042" s="39"/>
      <c r="N1042"/>
      <c r="O1042" s="592"/>
      <c r="P1042" s="202">
        <v>2</v>
      </c>
      <c r="Q1042" s="58">
        <v>0</v>
      </c>
      <c r="S1042" s="96">
        <v>8</v>
      </c>
      <c r="T1042" s="94">
        <v>1</v>
      </c>
      <c r="U1042" s="58">
        <v>2</v>
      </c>
      <c r="W1042" s="202">
        <v>3</v>
      </c>
      <c r="X1042" s="58">
        <v>0</v>
      </c>
      <c r="Z1042" s="597" t="str">
        <f t="shared" si="250"/>
        <v>El Carro</v>
      </c>
      <c r="AA1042" s="933">
        <f t="shared" si="251"/>
        <v>16</v>
      </c>
      <c r="AB1042" s="1348" t="s">
        <v>652</v>
      </c>
      <c r="AC1042" s="925">
        <v>120</v>
      </c>
      <c r="AD1042" s="1347">
        <v>100</v>
      </c>
    </row>
    <row r="1043" spans="1:30" ht="12.75" customHeight="1" x14ac:dyDescent="0.2">
      <c r="A1043" s="237">
        <v>1043</v>
      </c>
      <c r="B1043" s="5885"/>
      <c r="C1043" s="96"/>
      <c r="D1043" s="88" t="s">
        <v>1220</v>
      </c>
      <c r="E1043" s="85">
        <v>20</v>
      </c>
      <c r="F1043" s="44" t="s">
        <v>1221</v>
      </c>
      <c r="G1043" s="23"/>
      <c r="H1043" s="23"/>
      <c r="I1043" s="55"/>
      <c r="J1043" s="23"/>
      <c r="K1043" s="23"/>
      <c r="L1043" s="23"/>
      <c r="M1043" s="39"/>
      <c r="N1043"/>
      <c r="O1043" s="592"/>
      <c r="P1043" s="202">
        <v>3</v>
      </c>
      <c r="Q1043" s="58">
        <v>0</v>
      </c>
      <c r="S1043" s="96">
        <v>14</v>
      </c>
      <c r="T1043" s="94">
        <v>2</v>
      </c>
      <c r="U1043" s="58">
        <v>3</v>
      </c>
      <c r="W1043" s="202">
        <v>4</v>
      </c>
      <c r="X1043" s="58">
        <v>0</v>
      </c>
      <c r="Z1043" s="597" t="str">
        <f t="shared" si="250"/>
        <v>El Carro invertido</v>
      </c>
      <c r="AA1043" s="933">
        <f t="shared" si="251"/>
        <v>12</v>
      </c>
      <c r="AB1043" s="1349" t="s">
        <v>653</v>
      </c>
      <c r="AC1043" s="55">
        <v>130</v>
      </c>
      <c r="AD1043" s="143">
        <v>100</v>
      </c>
    </row>
    <row r="1044" spans="1:30" ht="12.75" customHeight="1" x14ac:dyDescent="0.2">
      <c r="A1044" s="237">
        <v>1044</v>
      </c>
      <c r="B1044" s="5885"/>
      <c r="C1044" s="96"/>
      <c r="D1044" s="88" t="s">
        <v>1222</v>
      </c>
      <c r="E1044" s="85">
        <v>10</v>
      </c>
      <c r="F1044" s="44" t="s">
        <v>1223</v>
      </c>
      <c r="G1044" s="23"/>
      <c r="H1044" s="23"/>
      <c r="I1044" s="55"/>
      <c r="J1044" s="23"/>
      <c r="K1044" s="23"/>
      <c r="L1044" s="23"/>
      <c r="M1044" s="39"/>
      <c r="N1044"/>
      <c r="O1044" s="592"/>
      <c r="P1044" s="202">
        <v>4</v>
      </c>
      <c r="Q1044" s="58">
        <v>0</v>
      </c>
      <c r="S1044" s="96">
        <v>18</v>
      </c>
      <c r="T1044" s="94">
        <v>2</v>
      </c>
      <c r="U1044" s="58">
        <v>4</v>
      </c>
      <c r="W1044" s="202">
        <v>5</v>
      </c>
      <c r="X1044" s="58">
        <v>10</v>
      </c>
      <c r="Z1044" s="597" t="str">
        <f t="shared" si="250"/>
        <v>El Colgado</v>
      </c>
      <c r="AA1044" s="933">
        <f t="shared" si="251"/>
        <v>38</v>
      </c>
      <c r="AB1044" s="1349" t="s">
        <v>654</v>
      </c>
      <c r="AC1044" s="55">
        <v>140</v>
      </c>
      <c r="AD1044" s="143">
        <v>150</v>
      </c>
    </row>
    <row r="1045" spans="1:30" ht="12.75" customHeight="1" x14ac:dyDescent="0.2">
      <c r="A1045" s="237">
        <v>1045</v>
      </c>
      <c r="B1045" s="5885"/>
      <c r="C1045" s="96"/>
      <c r="D1045" s="88" t="s">
        <v>1224</v>
      </c>
      <c r="E1045" s="85">
        <v>10</v>
      </c>
      <c r="F1045" s="44" t="s">
        <v>1225</v>
      </c>
      <c r="G1045" s="23"/>
      <c r="H1045" s="23"/>
      <c r="I1045" s="55"/>
      <c r="J1045" s="23"/>
      <c r="K1045" s="23"/>
      <c r="L1045" s="23"/>
      <c r="M1045" s="39"/>
      <c r="N1045"/>
      <c r="O1045" s="592"/>
      <c r="P1045" s="202">
        <v>5</v>
      </c>
      <c r="Q1045" s="58">
        <v>0</v>
      </c>
      <c r="S1045" s="96">
        <v>24</v>
      </c>
      <c r="T1045" s="94">
        <v>3</v>
      </c>
      <c r="U1045" s="58">
        <v>5</v>
      </c>
      <c r="W1045" s="96">
        <v>6</v>
      </c>
      <c r="X1045" s="58">
        <v>20</v>
      </c>
      <c r="Z1045" s="597" t="str">
        <f t="shared" si="250"/>
        <v>El Colgado invertido</v>
      </c>
      <c r="AA1045" s="933">
        <f t="shared" si="251"/>
        <v>24</v>
      </c>
      <c r="AB1045" s="1349" t="s">
        <v>655</v>
      </c>
      <c r="AC1045" s="55">
        <v>150</v>
      </c>
      <c r="AD1045" s="143">
        <v>200</v>
      </c>
    </row>
    <row r="1046" spans="1:30" ht="12.75" customHeight="1" x14ac:dyDescent="0.2">
      <c r="A1046" s="237">
        <v>1046</v>
      </c>
      <c r="B1046" s="5885"/>
      <c r="C1046" s="96"/>
      <c r="D1046" s="88" t="s">
        <v>1226</v>
      </c>
      <c r="E1046" s="85">
        <v>20</v>
      </c>
      <c r="F1046" s="44" t="s">
        <v>1227</v>
      </c>
      <c r="G1046" s="23"/>
      <c r="H1046" s="23"/>
      <c r="I1046" s="55"/>
      <c r="J1046" s="23"/>
      <c r="K1046" s="23"/>
      <c r="L1046" s="23"/>
      <c r="M1046" s="39"/>
      <c r="N1046"/>
      <c r="O1046" s="592"/>
      <c r="P1046" s="96">
        <v>6</v>
      </c>
      <c r="Q1046" s="58">
        <v>10</v>
      </c>
      <c r="S1046" s="96">
        <v>28</v>
      </c>
      <c r="T1046" s="94">
        <v>3</v>
      </c>
      <c r="U1046" s="58">
        <v>6</v>
      </c>
      <c r="W1046" s="96">
        <v>7</v>
      </c>
      <c r="X1046" s="58">
        <v>30</v>
      </c>
      <c r="Z1046" s="597" t="str">
        <f t="shared" si="250"/>
        <v>El Diablo</v>
      </c>
      <c r="AA1046" s="933">
        <f t="shared" si="251"/>
        <v>8</v>
      </c>
      <c r="AB1046" s="1349" t="s">
        <v>656</v>
      </c>
      <c r="AC1046" s="55">
        <v>160</v>
      </c>
      <c r="AD1046" s="143">
        <v>200</v>
      </c>
    </row>
    <row r="1047" spans="1:30" ht="12.75" customHeight="1" thickBot="1" x14ac:dyDescent="0.25">
      <c r="A1047" s="237">
        <v>1047</v>
      </c>
      <c r="B1047" s="5885"/>
      <c r="C1047" s="197"/>
      <c r="D1047" s="257" t="s">
        <v>1228</v>
      </c>
      <c r="E1047" s="205">
        <v>10</v>
      </c>
      <c r="F1047" s="265" t="s">
        <v>1229</v>
      </c>
      <c r="G1047" s="76"/>
      <c r="H1047" s="76"/>
      <c r="I1047" s="638"/>
      <c r="J1047" s="76"/>
      <c r="K1047" s="76"/>
      <c r="L1047" s="76"/>
      <c r="M1047" s="77"/>
      <c r="N1047"/>
      <c r="O1047" s="592"/>
      <c r="P1047" s="96">
        <v>7</v>
      </c>
      <c r="Q1047" s="58">
        <v>20</v>
      </c>
      <c r="S1047" s="96">
        <v>34</v>
      </c>
      <c r="T1047" s="94">
        <v>4</v>
      </c>
      <c r="U1047" s="58">
        <v>7</v>
      </c>
      <c r="W1047" s="96">
        <v>8</v>
      </c>
      <c r="X1047" s="58">
        <v>40</v>
      </c>
      <c r="Z1047" s="597" t="str">
        <f t="shared" si="250"/>
        <v>El Diablo invertido</v>
      </c>
      <c r="AA1047" s="933">
        <f t="shared" si="251"/>
        <v>22</v>
      </c>
      <c r="AB1047" s="1349" t="s">
        <v>657</v>
      </c>
      <c r="AC1047" s="55">
        <v>170</v>
      </c>
      <c r="AD1047" s="143">
        <v>250</v>
      </c>
    </row>
    <row r="1048" spans="1:30" ht="12.75" customHeight="1" thickBot="1" x14ac:dyDescent="0.25">
      <c r="A1048" s="237">
        <v>1048</v>
      </c>
      <c r="B1048" s="5885"/>
      <c r="H1048"/>
      <c r="I1048" s="592"/>
      <c r="L1048" s="261"/>
      <c r="N1048"/>
      <c r="O1048" s="592"/>
      <c r="P1048" s="96">
        <v>8</v>
      </c>
      <c r="Q1048" s="58">
        <v>30</v>
      </c>
      <c r="S1048" s="96">
        <v>38</v>
      </c>
      <c r="T1048" s="94">
        <v>4</v>
      </c>
      <c r="U1048" s="58">
        <v>8</v>
      </c>
      <c r="W1048" s="96">
        <v>9</v>
      </c>
      <c r="X1048" s="58">
        <v>50</v>
      </c>
      <c r="Z1048" s="597" t="str">
        <f t="shared" si="250"/>
        <v>El Emperador</v>
      </c>
      <c r="AA1048" s="933">
        <f t="shared" si="251"/>
        <v>44</v>
      </c>
      <c r="AB1048" s="1349" t="s">
        <v>658</v>
      </c>
      <c r="AC1048" s="55">
        <v>180</v>
      </c>
      <c r="AD1048" s="143">
        <v>250</v>
      </c>
    </row>
    <row r="1049" spans="1:30" ht="12.75" customHeight="1" thickBot="1" x14ac:dyDescent="0.25">
      <c r="A1049" s="237">
        <v>1049</v>
      </c>
      <c r="B1049" s="5885"/>
      <c r="C1049" s="5777" t="s">
        <v>1230</v>
      </c>
      <c r="E1049" s="5772" t="s">
        <v>7035</v>
      </c>
      <c r="G1049" s="5847" t="s">
        <v>7039</v>
      </c>
      <c r="H1049" s="5848"/>
      <c r="I1049" s="5778" t="s">
        <v>6377</v>
      </c>
      <c r="K1049" s="3324" t="s">
        <v>1234</v>
      </c>
      <c r="L1049" s="261"/>
      <c r="M1049" s="5887" t="s">
        <v>1149</v>
      </c>
      <c r="N1049" s="5887"/>
      <c r="O1049" s="592"/>
      <c r="P1049" s="96">
        <v>9</v>
      </c>
      <c r="Q1049" s="58">
        <v>40</v>
      </c>
      <c r="S1049" s="96">
        <v>44</v>
      </c>
      <c r="T1049" s="94">
        <v>5</v>
      </c>
      <c r="U1049" s="58">
        <v>9</v>
      </c>
      <c r="W1049" s="202">
        <v>10</v>
      </c>
      <c r="X1049" s="58">
        <v>60</v>
      </c>
      <c r="Z1049" s="597" t="str">
        <f t="shared" si="250"/>
        <v>El Emperador invertido</v>
      </c>
      <c r="AA1049" s="933">
        <f t="shared" si="251"/>
        <v>2</v>
      </c>
      <c r="AB1049" s="1349" t="s">
        <v>659</v>
      </c>
      <c r="AC1049" s="55">
        <v>190</v>
      </c>
      <c r="AD1049" s="143">
        <v>300</v>
      </c>
    </row>
    <row r="1050" spans="1:30" ht="12.75" customHeight="1" thickBot="1" x14ac:dyDescent="0.25">
      <c r="A1050" s="237">
        <v>1050</v>
      </c>
      <c r="B1050" s="5885"/>
      <c r="C1050" s="5777"/>
      <c r="E1050" s="5773"/>
      <c r="G1050" s="6009"/>
      <c r="H1050" s="6011"/>
      <c r="I1050" s="5779" t="s">
        <v>6377</v>
      </c>
      <c r="K1050" s="3324"/>
      <c r="M1050" s="5887"/>
      <c r="N1050" s="5887"/>
      <c r="O1050" s="592"/>
      <c r="P1050" s="202">
        <v>10</v>
      </c>
      <c r="Q1050" s="58">
        <v>50</v>
      </c>
      <c r="S1050" s="96">
        <v>48</v>
      </c>
      <c r="T1050" s="94">
        <v>5</v>
      </c>
      <c r="U1050" s="58">
        <v>10</v>
      </c>
      <c r="W1050" s="96">
        <v>11</v>
      </c>
      <c r="X1050" s="58">
        <v>70</v>
      </c>
      <c r="Z1050" s="597" t="str">
        <f t="shared" si="250"/>
        <v>El Ermitaño</v>
      </c>
      <c r="AA1050" s="933">
        <f t="shared" si="251"/>
        <v>28</v>
      </c>
      <c r="AB1050" s="1349" t="s">
        <v>660</v>
      </c>
      <c r="AC1050" s="55">
        <v>200</v>
      </c>
      <c r="AD1050" s="143">
        <v>350</v>
      </c>
    </row>
    <row r="1051" spans="1:30" ht="12.75" customHeight="1" thickBot="1" x14ac:dyDescent="0.25">
      <c r="A1051" s="237">
        <v>1051</v>
      </c>
      <c r="B1051" s="5885"/>
      <c r="C1051" s="266" t="s">
        <v>1703</v>
      </c>
      <c r="E1051" s="750" t="s">
        <v>7041</v>
      </c>
      <c r="G1051" s="5847" t="s">
        <v>7073</v>
      </c>
      <c r="H1051" s="5848"/>
      <c r="I1051" s="1052" t="s">
        <v>7074</v>
      </c>
      <c r="K1051" s="234" t="s">
        <v>1235</v>
      </c>
      <c r="M1051" s="208" t="s">
        <v>1150</v>
      </c>
      <c r="N1051" s="210" t="s">
        <v>1493</v>
      </c>
      <c r="O1051" s="592"/>
      <c r="P1051" s="96">
        <v>11</v>
      </c>
      <c r="Q1051" s="58">
        <v>75</v>
      </c>
      <c r="S1051" s="96">
        <v>54</v>
      </c>
      <c r="T1051" s="94">
        <v>6</v>
      </c>
      <c r="U1051" s="58">
        <v>11</v>
      </c>
      <c r="W1051" s="96">
        <v>12</v>
      </c>
      <c r="X1051" s="58">
        <v>80</v>
      </c>
      <c r="Z1051" s="597" t="str">
        <f t="shared" si="250"/>
        <v>El Ermitaño invertido</v>
      </c>
      <c r="AA1051" s="933">
        <f t="shared" si="251"/>
        <v>10</v>
      </c>
      <c r="AB1051" s="1349" t="s">
        <v>661</v>
      </c>
      <c r="AC1051" s="55">
        <v>220</v>
      </c>
      <c r="AD1051" s="143">
        <v>400</v>
      </c>
    </row>
    <row r="1052" spans="1:30" ht="12.75" customHeight="1" x14ac:dyDescent="0.2">
      <c r="A1052" s="237">
        <v>1052</v>
      </c>
      <c r="B1052" s="5885"/>
      <c r="C1052" s="266" t="s">
        <v>1704</v>
      </c>
      <c r="E1052" s="750" t="s">
        <v>7036</v>
      </c>
      <c r="G1052" s="5850"/>
      <c r="H1052" s="4595"/>
      <c r="I1052" s="1052" t="s">
        <v>6527</v>
      </c>
      <c r="K1052" s="234" t="s">
        <v>1569</v>
      </c>
      <c r="M1052" s="252">
        <v>2</v>
      </c>
      <c r="N1052" s="253">
        <v>2</v>
      </c>
      <c r="O1052" s="592"/>
      <c r="P1052" s="96">
        <v>12</v>
      </c>
      <c r="Q1052" s="58">
        <v>100</v>
      </c>
      <c r="S1052" s="96">
        <v>58</v>
      </c>
      <c r="T1052" s="94">
        <v>6</v>
      </c>
      <c r="U1052" s="58">
        <v>12</v>
      </c>
      <c r="W1052" s="96">
        <v>13</v>
      </c>
      <c r="X1052" s="58">
        <v>90</v>
      </c>
      <c r="Z1052" s="597" t="str">
        <f t="shared" si="250"/>
        <v>El Hierofante</v>
      </c>
      <c r="AA1052" s="933">
        <f t="shared" si="251"/>
        <v>36</v>
      </c>
      <c r="AB1052" s="1349" t="s">
        <v>662</v>
      </c>
      <c r="AC1052" s="55">
        <v>240</v>
      </c>
      <c r="AD1052" s="143">
        <v>450</v>
      </c>
    </row>
    <row r="1053" spans="1:30" ht="12.75" customHeight="1" thickBot="1" x14ac:dyDescent="0.25">
      <c r="A1053" s="237">
        <v>1053</v>
      </c>
      <c r="B1053" s="5885"/>
      <c r="C1053" s="266" t="s">
        <v>1607</v>
      </c>
      <c r="E1053" s="750" t="s">
        <v>7037</v>
      </c>
      <c r="G1053" s="762" t="s">
        <v>7043</v>
      </c>
      <c r="H1053" s="209" t="s">
        <v>7044</v>
      </c>
      <c r="I1053" s="1052" t="s">
        <v>7075</v>
      </c>
      <c r="K1053" s="234" t="s">
        <v>1236</v>
      </c>
      <c r="M1053" s="254">
        <v>12</v>
      </c>
      <c r="N1053" s="255">
        <v>4</v>
      </c>
      <c r="O1053" s="592"/>
      <c r="P1053" s="96">
        <v>13</v>
      </c>
      <c r="Q1053" s="58">
        <v>150</v>
      </c>
      <c r="S1053" s="96">
        <v>64</v>
      </c>
      <c r="T1053" s="94">
        <v>7</v>
      </c>
      <c r="U1053" s="58">
        <v>13</v>
      </c>
      <c r="W1053" s="96">
        <v>14</v>
      </c>
      <c r="X1053" s="58">
        <v>100</v>
      </c>
      <c r="Z1053" s="597" t="str">
        <f t="shared" si="250"/>
        <v>El Hierofante invertido</v>
      </c>
      <c r="AA1053" s="933">
        <f t="shared" si="251"/>
        <v>30</v>
      </c>
      <c r="AB1053" s="1349" t="s">
        <v>663</v>
      </c>
      <c r="AC1053" s="55">
        <v>260</v>
      </c>
      <c r="AD1053" s="143">
        <v>500</v>
      </c>
    </row>
    <row r="1054" spans="1:30" ht="12.75" customHeight="1" x14ac:dyDescent="0.2">
      <c r="A1054" s="237">
        <v>1054</v>
      </c>
      <c r="B1054" s="5885"/>
      <c r="C1054" s="266" t="s">
        <v>1610</v>
      </c>
      <c r="E1054" s="750" t="s">
        <v>7038</v>
      </c>
      <c r="G1054" s="652">
        <v>1</v>
      </c>
      <c r="H1054" s="94">
        <v>14</v>
      </c>
      <c r="I1054" s="1052" t="s">
        <v>7076</v>
      </c>
      <c r="K1054" s="234" t="s">
        <v>1237</v>
      </c>
      <c r="M1054" s="254">
        <v>22</v>
      </c>
      <c r="N1054" s="255">
        <v>6</v>
      </c>
      <c r="O1054" s="592"/>
      <c r="P1054" s="96">
        <v>14</v>
      </c>
      <c r="Q1054" s="58">
        <v>200</v>
      </c>
      <c r="S1054" s="96">
        <v>68</v>
      </c>
      <c r="T1054" s="94">
        <v>7</v>
      </c>
      <c r="U1054" s="58">
        <v>14</v>
      </c>
      <c r="W1054" s="202">
        <v>15</v>
      </c>
      <c r="X1054" s="58">
        <v>120</v>
      </c>
      <c r="Z1054" s="597" t="str">
        <f t="shared" si="250"/>
        <v>El Juicio</v>
      </c>
      <c r="AA1054" s="933">
        <f t="shared" si="251"/>
        <v>4</v>
      </c>
      <c r="AB1054" s="1349" t="s">
        <v>664</v>
      </c>
      <c r="AC1054" s="55">
        <v>280</v>
      </c>
      <c r="AD1054" s="143">
        <v>550</v>
      </c>
    </row>
    <row r="1055" spans="1:30" ht="12.75" customHeight="1" thickBot="1" x14ac:dyDescent="0.25">
      <c r="A1055" s="237">
        <v>1055</v>
      </c>
      <c r="B1055" s="5885"/>
      <c r="C1055" s="266" t="s">
        <v>1614</v>
      </c>
      <c r="E1055" s="751" t="s">
        <v>7039</v>
      </c>
      <c r="G1055" s="652">
        <v>2</v>
      </c>
      <c r="H1055" s="94">
        <v>18</v>
      </c>
      <c r="I1055" s="1052" t="s">
        <v>7077</v>
      </c>
      <c r="K1055" s="234" t="s">
        <v>1238</v>
      </c>
      <c r="M1055" s="254">
        <v>32</v>
      </c>
      <c r="N1055" s="255">
        <v>8</v>
      </c>
      <c r="O1055" s="592"/>
      <c r="P1055" s="202">
        <v>15</v>
      </c>
      <c r="Q1055" s="58">
        <v>300</v>
      </c>
      <c r="S1055" s="96">
        <v>74</v>
      </c>
      <c r="T1055" s="94">
        <v>8</v>
      </c>
      <c r="U1055" s="58">
        <v>15</v>
      </c>
      <c r="W1055" s="202">
        <v>16</v>
      </c>
      <c r="X1055" s="58">
        <v>140</v>
      </c>
      <c r="Z1055" s="597" t="str">
        <f t="shared" si="250"/>
        <v>El Juicio invertido</v>
      </c>
      <c r="AA1055" s="933">
        <f t="shared" si="251"/>
        <v>34</v>
      </c>
      <c r="AB1055" s="1349" t="s">
        <v>665</v>
      </c>
      <c r="AC1055" s="55">
        <v>300</v>
      </c>
      <c r="AD1055" s="143">
        <v>600</v>
      </c>
    </row>
    <row r="1056" spans="1:30" ht="12.75" customHeight="1" thickBot="1" x14ac:dyDescent="0.25">
      <c r="A1056" s="237">
        <v>1056</v>
      </c>
      <c r="B1056" s="5885"/>
      <c r="C1056" s="266" t="s">
        <v>1708</v>
      </c>
      <c r="G1056" s="652">
        <v>3</v>
      </c>
      <c r="H1056" s="94">
        <v>24</v>
      </c>
      <c r="I1056" s="1052" t="s">
        <v>7078</v>
      </c>
      <c r="K1056" s="235" t="s">
        <v>1239</v>
      </c>
      <c r="M1056" s="254">
        <v>42</v>
      </c>
      <c r="N1056" s="255">
        <v>10</v>
      </c>
      <c r="O1056" s="592"/>
      <c r="P1056" s="202">
        <v>16</v>
      </c>
      <c r="Q1056" s="58">
        <v>400</v>
      </c>
      <c r="S1056" s="96">
        <v>78</v>
      </c>
      <c r="T1056" s="94">
        <v>8</v>
      </c>
      <c r="U1056" s="58">
        <v>16</v>
      </c>
      <c r="W1056" s="96">
        <v>17</v>
      </c>
      <c r="X1056" s="58">
        <v>160</v>
      </c>
      <c r="Z1056" s="597" t="str">
        <f t="shared" si="250"/>
        <v>El Loco</v>
      </c>
      <c r="AA1056" s="933">
        <f t="shared" si="251"/>
        <v>40</v>
      </c>
      <c r="AB1056" s="1349" t="s">
        <v>666</v>
      </c>
      <c r="AC1056" s="55">
        <v>320</v>
      </c>
      <c r="AD1056" s="143">
        <v>650</v>
      </c>
    </row>
    <row r="1057" spans="1:30" ht="12.75" customHeight="1" thickBot="1" x14ac:dyDescent="0.25">
      <c r="A1057" s="237">
        <v>1057</v>
      </c>
      <c r="B1057" s="5885"/>
      <c r="C1057" s="115" t="s">
        <v>1231</v>
      </c>
      <c r="G1057" s="652">
        <v>4</v>
      </c>
      <c r="H1057" s="94">
        <v>30</v>
      </c>
      <c r="I1057" s="1052" t="s">
        <v>2072</v>
      </c>
      <c r="M1057" s="254">
        <v>52</v>
      </c>
      <c r="N1057" s="255">
        <v>12</v>
      </c>
      <c r="O1057" s="592"/>
      <c r="P1057" s="96">
        <v>17</v>
      </c>
      <c r="Q1057" s="58">
        <v>500</v>
      </c>
      <c r="S1057" s="96">
        <v>84</v>
      </c>
      <c r="T1057" s="94">
        <v>9</v>
      </c>
      <c r="U1057" s="58">
        <v>17</v>
      </c>
      <c r="W1057" s="96">
        <v>18</v>
      </c>
      <c r="X1057" s="58">
        <v>180</v>
      </c>
      <c r="Z1057" s="597" t="str">
        <f t="shared" si="250"/>
        <v>El Loco invertido</v>
      </c>
      <c r="AA1057" s="933">
        <f t="shared" si="251"/>
        <v>6</v>
      </c>
      <c r="AB1057" s="1349" t="s">
        <v>667</v>
      </c>
      <c r="AC1057" s="55">
        <v>340</v>
      </c>
      <c r="AD1057" s="143">
        <v>700</v>
      </c>
    </row>
    <row r="1058" spans="1:30" ht="12.75" customHeight="1" thickBot="1" x14ac:dyDescent="0.25">
      <c r="A1058" s="237">
        <v>1058</v>
      </c>
      <c r="B1058" s="5885"/>
      <c r="G1058" s="761">
        <v>5</v>
      </c>
      <c r="H1058" s="518">
        <v>36</v>
      </c>
      <c r="I1058" s="1052" t="s">
        <v>7079</v>
      </c>
      <c r="M1058" s="254">
        <v>62</v>
      </c>
      <c r="N1058" s="255">
        <v>14</v>
      </c>
      <c r="O1058" s="592"/>
      <c r="P1058" s="96">
        <v>18</v>
      </c>
      <c r="Q1058" s="58">
        <v>600</v>
      </c>
      <c r="S1058" s="96">
        <v>88</v>
      </c>
      <c r="T1058" s="94">
        <v>9</v>
      </c>
      <c r="U1058" s="58">
        <v>18</v>
      </c>
      <c r="W1058" s="96">
        <v>19</v>
      </c>
      <c r="X1058" s="58">
        <v>200</v>
      </c>
      <c r="Z1058" s="597" t="str">
        <f t="shared" si="250"/>
        <v>El Mundo</v>
      </c>
      <c r="AA1058" s="933">
        <f t="shared" si="251"/>
        <v>42</v>
      </c>
      <c r="AB1058" s="1349" t="s">
        <v>668</v>
      </c>
      <c r="AC1058" s="55">
        <v>360</v>
      </c>
      <c r="AD1058" s="143">
        <v>750</v>
      </c>
    </row>
    <row r="1059" spans="1:30" ht="12.75" customHeight="1" thickBot="1" x14ac:dyDescent="0.25">
      <c r="A1059" s="237">
        <v>1059</v>
      </c>
      <c r="B1059" s="5885"/>
      <c r="C1059" s="5772" t="s">
        <v>7279</v>
      </c>
      <c r="H1059"/>
      <c r="I1059" s="1052" t="s">
        <v>7082</v>
      </c>
      <c r="M1059" s="254">
        <v>72</v>
      </c>
      <c r="N1059" s="255">
        <v>16</v>
      </c>
      <c r="O1059" s="592"/>
      <c r="P1059" s="96">
        <v>19</v>
      </c>
      <c r="Q1059" s="58">
        <v>700</v>
      </c>
      <c r="S1059" s="96">
        <v>94</v>
      </c>
      <c r="T1059" s="94">
        <v>10</v>
      </c>
      <c r="U1059" s="58">
        <v>19</v>
      </c>
      <c r="W1059" s="203">
        <v>20</v>
      </c>
      <c r="X1059" s="190">
        <v>220</v>
      </c>
      <c r="Z1059" s="597" t="str">
        <f t="shared" si="250"/>
        <v>El Mundo invertido</v>
      </c>
      <c r="AA1059" s="933">
        <f t="shared" si="251"/>
        <v>26</v>
      </c>
      <c r="AB1059" s="1349" t="s">
        <v>669</v>
      </c>
      <c r="AC1059" s="55">
        <v>380</v>
      </c>
      <c r="AD1059" s="143">
        <v>800</v>
      </c>
    </row>
    <row r="1060" spans="1:30" ht="12.75" customHeight="1" thickBot="1" x14ac:dyDescent="0.25">
      <c r="A1060" s="237">
        <v>1060</v>
      </c>
      <c r="B1060" s="5885"/>
      <c r="C1060" s="5773"/>
      <c r="H1060"/>
      <c r="I1060" s="1052" t="s">
        <v>7083</v>
      </c>
      <c r="M1060" s="254">
        <v>82</v>
      </c>
      <c r="N1060" s="255">
        <v>18</v>
      </c>
      <c r="O1060" s="592"/>
      <c r="P1060" s="203">
        <v>20</v>
      </c>
      <c r="Q1060" s="190">
        <v>800</v>
      </c>
      <c r="S1060" s="197">
        <v>98</v>
      </c>
      <c r="T1060" s="198">
        <v>10</v>
      </c>
      <c r="U1060" s="190">
        <v>20</v>
      </c>
      <c r="Z1060" s="597" t="str">
        <f t="shared" si="250"/>
        <v>El Sol</v>
      </c>
      <c r="AA1060" s="933">
        <f t="shared" si="251"/>
        <v>32</v>
      </c>
      <c r="AB1060" s="1349" t="s">
        <v>670</v>
      </c>
      <c r="AC1060" s="55">
        <v>400</v>
      </c>
      <c r="AD1060" s="143">
        <v>850</v>
      </c>
    </row>
    <row r="1061" spans="1:30" ht="12.75" customHeight="1" thickBot="1" x14ac:dyDescent="0.25">
      <c r="A1061" s="237">
        <v>1061</v>
      </c>
      <c r="B1061" s="5885"/>
      <c r="C1061" s="894" t="s">
        <v>1703</v>
      </c>
      <c r="H1061"/>
      <c r="I1061" s="1052" t="s">
        <v>7084</v>
      </c>
      <c r="M1061" s="256">
        <v>92</v>
      </c>
      <c r="N1061" s="251">
        <v>20</v>
      </c>
      <c r="O1061" s="592"/>
      <c r="Z1061" s="597" t="str">
        <f t="shared" si="250"/>
        <v>El Sol invertido</v>
      </c>
      <c r="AA1061" s="933">
        <f t="shared" si="251"/>
        <v>20</v>
      </c>
      <c r="AB1061" s="1349" t="s">
        <v>671</v>
      </c>
      <c r="AC1061" s="55">
        <v>420</v>
      </c>
      <c r="AD1061" s="143">
        <v>900</v>
      </c>
    </row>
    <row r="1062" spans="1:30" ht="12.75" customHeight="1" thickBot="1" x14ac:dyDescent="0.25">
      <c r="A1062" s="237">
        <v>1062</v>
      </c>
      <c r="B1062" s="5885"/>
      <c r="C1062" s="894" t="s">
        <v>1704</v>
      </c>
      <c r="H1062"/>
      <c r="I1062" s="1053" t="s">
        <v>7085</v>
      </c>
      <c r="N1062"/>
      <c r="O1062" s="592"/>
      <c r="Z1062" s="597" t="str">
        <f t="shared" si="250"/>
        <v>El Sumo Sacerdote</v>
      </c>
      <c r="AA1062" s="933">
        <f t="shared" si="251"/>
        <v>14</v>
      </c>
      <c r="AB1062" s="1349" t="s">
        <v>672</v>
      </c>
      <c r="AC1062" s="55">
        <v>440</v>
      </c>
      <c r="AD1062" s="143">
        <v>950</v>
      </c>
    </row>
    <row r="1063" spans="1:30" ht="12.75" customHeight="1" x14ac:dyDescent="0.2">
      <c r="A1063" s="237">
        <v>1063</v>
      </c>
      <c r="B1063" s="5885"/>
      <c r="C1063" s="894" t="s">
        <v>1614</v>
      </c>
      <c r="E1063" s="5916" t="s">
        <v>1232</v>
      </c>
      <c r="G1063" s="233"/>
      <c r="H1063"/>
      <c r="O1063" s="592"/>
      <c r="U1063" s="5847" t="s">
        <v>8551</v>
      </c>
      <c r="V1063" s="5848"/>
      <c r="W1063" s="5849"/>
      <c r="Z1063" s="597" t="str">
        <f t="shared" si="250"/>
        <v>El Sumo Sacerdote invertido</v>
      </c>
      <c r="AA1063" s="933">
        <f t="shared" si="251"/>
        <v>18</v>
      </c>
      <c r="AB1063" s="1349" t="s">
        <v>673</v>
      </c>
      <c r="AC1063" s="55">
        <v>460</v>
      </c>
      <c r="AD1063" s="143">
        <v>1000</v>
      </c>
    </row>
    <row r="1064" spans="1:30" ht="12.75" customHeight="1" x14ac:dyDescent="0.2">
      <c r="A1064" s="237">
        <v>1064</v>
      </c>
      <c r="B1064" s="5885"/>
      <c r="C1064" s="894" t="s">
        <v>1610</v>
      </c>
      <c r="E1064" s="5917"/>
      <c r="F1064" s="1425" t="s">
        <v>1402</v>
      </c>
      <c r="G1064" s="1178" t="s">
        <v>7477</v>
      </c>
      <c r="H1064" s="1048"/>
      <c r="I1064" s="1386" t="s">
        <v>8677</v>
      </c>
      <c r="J1064" s="1384" t="s">
        <v>6492</v>
      </c>
      <c r="K1064" s="1384" t="s">
        <v>7479</v>
      </c>
      <c r="L1064" s="1384" t="s">
        <v>1513</v>
      </c>
      <c r="M1064" s="1384" t="s">
        <v>8737</v>
      </c>
      <c r="N1064" s="1384" t="s">
        <v>8736</v>
      </c>
      <c r="O1064" s="1384" t="s">
        <v>8738</v>
      </c>
      <c r="P1064" s="1384" t="s">
        <v>8734</v>
      </c>
      <c r="Q1064" s="1049" t="s">
        <v>8735</v>
      </c>
      <c r="U1064" s="5850"/>
      <c r="V1064" s="4595"/>
      <c r="W1064" s="5851"/>
      <c r="Z1064" s="597" t="str">
        <f t="shared" si="250"/>
        <v>La Emperatriz</v>
      </c>
      <c r="AA1064" s="933">
        <f t="shared" si="251"/>
        <v>17</v>
      </c>
      <c r="AB1064" s="1348" t="s">
        <v>674</v>
      </c>
      <c r="AC1064" s="55">
        <v>120</v>
      </c>
      <c r="AD1064" s="143">
        <v>100</v>
      </c>
    </row>
    <row r="1065" spans="1:30" ht="12.75" customHeight="1" x14ac:dyDescent="0.2">
      <c r="A1065" s="237">
        <v>1065</v>
      </c>
      <c r="B1065" s="5885"/>
      <c r="C1065" s="894" t="s">
        <v>1607</v>
      </c>
      <c r="E1065" s="866" t="s">
        <v>1703</v>
      </c>
      <c r="F1065" s="951" t="s">
        <v>8552</v>
      </c>
      <c r="G1065" s="236" t="str">
        <f>E1066&amp;", "&amp;$E$1075</f>
        <v>Oscuridad, Nigromancia</v>
      </c>
      <c r="H1065" s="94"/>
      <c r="I1065" s="94">
        <f>IF(SUMPRODUCT(--ISNUMBER(SEARCH(Tablas!$E1065,Tablas!$K$411:$K$421)),Tablas!$G$411:$G$421)&gt;0,40,0)+J1301</f>
        <v>0</v>
      </c>
      <c r="J1065" s="94">
        <f>IF(ISNA(MATCH(E1065,Orden_VíasAprendidas,0)),999,MATCH(E1065,Orden_VíasAprendidas,0))</f>
        <v>999</v>
      </c>
      <c r="K1065" s="94">
        <f>IF(OR($H$1408&gt;0,$G$441&gt;0),1,IF(OR(J1066&lt;J1065,J$1075&lt;J1065),2,1))</f>
        <v>1</v>
      </c>
      <c r="L1065" s="94" t="str">
        <f>IF(J1065&lt;999,VLOOKUP(E1065,$H$1080:$J$1090,2)*20-VLOOKUP(E1065,$H$1080:$J$1090,3)*20+Místicos!$L$12,"")</f>
        <v/>
      </c>
      <c r="M1065" s="94" t="str">
        <f>IFERROR(RANK(L1065,$L$1065:$L$1075)+COUNTIF($L$1065:L1065,L1065)-1,"")</f>
        <v/>
      </c>
      <c r="N1065" s="94" t="str">
        <f t="shared" ref="N1065:N1075" si="252">IFERROR(INDEX($L$1065:$L$1075,MATCH(A1,$M$1065:$M$1075,0)),"")</f>
        <v/>
      </c>
      <c r="O1065" s="94" t="str">
        <f t="shared" ref="O1065:O1075" si="253">IFERROR(INDEX(Lista_Vías,MATCH(A1,$M$1065:$M$1075,0)),"")</f>
        <v/>
      </c>
      <c r="P1065" s="94" t="str">
        <f>IF(AND(N1065&lt;&gt;"",N1065&gt;Místicos!$L$12),N1065&amp;" "&amp;O1065,"")</f>
        <v/>
      </c>
      <c r="Q1065" s="737" t="str">
        <f>IF(AND(N1065&lt;&gt;"",N1065&lt;Místicos!$L$12),N1065&amp;" "&amp;O1065,"")</f>
        <v/>
      </c>
      <c r="R1065" s="1427"/>
      <c r="S1065" s="233"/>
      <c r="U1065" s="1391" t="s">
        <v>8552</v>
      </c>
      <c r="V1065" s="1392" t="s">
        <v>8553</v>
      </c>
      <c r="W1065" s="1393" t="s">
        <v>8554</v>
      </c>
      <c r="Z1065" s="597" t="str">
        <f t="shared" si="250"/>
        <v>La Emperatriz invertida</v>
      </c>
      <c r="AA1065" s="933">
        <f t="shared" si="251"/>
        <v>13</v>
      </c>
      <c r="AB1065" s="1349" t="s">
        <v>675</v>
      </c>
      <c r="AC1065" s="55">
        <v>130</v>
      </c>
      <c r="AD1065" s="143">
        <v>100</v>
      </c>
    </row>
    <row r="1066" spans="1:30" ht="12.75" customHeight="1" x14ac:dyDescent="0.2">
      <c r="A1066" s="237">
        <v>1066</v>
      </c>
      <c r="B1066" s="5885"/>
      <c r="C1066" s="894" t="s">
        <v>1708</v>
      </c>
      <c r="E1066" s="866" t="s">
        <v>1704</v>
      </c>
      <c r="F1066" s="951" t="s">
        <v>8552</v>
      </c>
      <c r="G1066" s="236" t="str">
        <f>E1065&amp;", "&amp;$E$1075</f>
        <v>Luz, Nigromancia</v>
      </c>
      <c r="H1066" s="94"/>
      <c r="I1066" s="94">
        <f>IF(SUMPRODUCT(--ISNUMBER(SEARCH(Tablas!$E1066,Tablas!$K$411:$K$421)),Tablas!$G$411:$G$421)&gt;0,40,0)+J1302</f>
        <v>0</v>
      </c>
      <c r="J1066" s="94">
        <f t="shared" ref="J1066:J1075" si="254">IF(ISNA(MATCH(E1066,Orden_VíasAprendidas,0)),999,MATCH(E1066,Orden_VíasAprendidas,0))</f>
        <v>999</v>
      </c>
      <c r="K1066" s="94">
        <f>IF(OR($H$1408&gt;0,$G$441&gt;0),1,IF(OR(J1065&lt;J1066,J$1075&lt;J1066),2,1))</f>
        <v>1</v>
      </c>
      <c r="L1066" s="94" t="str">
        <f>IF(J1066&lt;999,VLOOKUP(E1066,$H$1080:$J$1090,2)*20-VLOOKUP(E1066,$H$1080:$J$1090,3)*20+Místicos!$L$12,"")</f>
        <v/>
      </c>
      <c r="M1066" s="94" t="str">
        <f>IFERROR(RANK(L1066,$L$1065:$L$1075)+COUNTIF($L$1065:L1066,L1066)-1,"")</f>
        <v/>
      </c>
      <c r="N1066" s="94" t="str">
        <f t="shared" si="252"/>
        <v/>
      </c>
      <c r="O1066" s="94" t="str">
        <f t="shared" si="253"/>
        <v/>
      </c>
      <c r="P1066" s="94" t="str">
        <f>IF(AND(N1066&lt;&gt;"",N1066&gt;Místicos!$L$12),N1066&amp;" "&amp;O1066,"")</f>
        <v/>
      </c>
      <c r="Q1066" s="737" t="str">
        <f>IF(AND(N1066&lt;&gt;"",N1066&lt;Místicos!$L$12),N1066&amp;" "&amp;O1066,"")</f>
        <v/>
      </c>
      <c r="R1066" s="1427"/>
      <c r="S1066" s="233"/>
      <c r="U1066" s="1264">
        <v>4</v>
      </c>
      <c r="V1066" s="1238">
        <v>4</v>
      </c>
      <c r="W1066" s="1388">
        <v>8</v>
      </c>
      <c r="Z1066" s="597" t="str">
        <f t="shared" si="250"/>
        <v>La Estrella</v>
      </c>
      <c r="AA1066" s="933">
        <f t="shared" si="251"/>
        <v>39</v>
      </c>
      <c r="AB1066" s="1349" t="s">
        <v>676</v>
      </c>
      <c r="AC1066" s="55">
        <v>140</v>
      </c>
      <c r="AD1066" s="143">
        <v>150</v>
      </c>
    </row>
    <row r="1067" spans="1:30" ht="12.75" customHeight="1" x14ac:dyDescent="0.2">
      <c r="A1067" s="237">
        <v>1067</v>
      </c>
      <c r="B1067" s="5885"/>
      <c r="C1067" s="894" t="s">
        <v>1710</v>
      </c>
      <c r="E1067" s="866" t="s">
        <v>1614</v>
      </c>
      <c r="F1067" s="951" t="s">
        <v>8553</v>
      </c>
      <c r="G1067" s="236" t="str">
        <f>E1068&amp;", "&amp;$E$1075</f>
        <v>Agua, Nigromancia</v>
      </c>
      <c r="H1067" s="94"/>
      <c r="I1067" s="94">
        <f>IF(SUMPRODUCT(--ISNUMBER(SEARCH(Tablas!$E1067,Tablas!$K$411:$K$421)),Tablas!$G$411:$G$421)&gt;0,40,0)+J1303</f>
        <v>0</v>
      </c>
      <c r="J1067" s="94">
        <f t="shared" si="254"/>
        <v>999</v>
      </c>
      <c r="K1067" s="94">
        <f>IF(OR($H$1408&gt;0,$G$441&gt;0),1,IF(OR(J1068&lt;J1067,J$1075&lt;J1067),2,1))</f>
        <v>1</v>
      </c>
      <c r="L1067" s="94" t="str">
        <f>IF(J1067&lt;999,VLOOKUP(E1067,$H$1080:$J$1090,2)*20-VLOOKUP(E1067,$H$1080:$J$1090,3)*20+Místicos!$L$12,"")</f>
        <v/>
      </c>
      <c r="M1067" s="94" t="str">
        <f>IFERROR(RANK(L1067,$L$1065:$L$1075)+COUNTIF($L$1065:L1067,L1067)-1,"")</f>
        <v/>
      </c>
      <c r="N1067" s="94" t="str">
        <f t="shared" si="252"/>
        <v/>
      </c>
      <c r="O1067" s="94" t="str">
        <f t="shared" si="253"/>
        <v/>
      </c>
      <c r="P1067" s="94" t="str">
        <f>IF(AND(N1067&lt;&gt;"",N1067&gt;Místicos!$L$12),N1067&amp;" "&amp;O1067,"")</f>
        <v/>
      </c>
      <c r="Q1067" s="737" t="str">
        <f>IF(AND(N1067&lt;&gt;"",N1067&lt;Místicos!$L$12),N1067&amp;" "&amp;O1067,"")</f>
        <v/>
      </c>
      <c r="S1067" s="233"/>
      <c r="U1067" s="1264">
        <f>10+U1066</f>
        <v>14</v>
      </c>
      <c r="V1067" s="1238">
        <v>8</v>
      </c>
      <c r="W1067" s="1388">
        <f>10+W1066</f>
        <v>18</v>
      </c>
      <c r="Z1067" s="597" t="str">
        <f t="shared" si="250"/>
        <v>La Estrella invertida</v>
      </c>
      <c r="AA1067" s="933">
        <f t="shared" si="251"/>
        <v>25</v>
      </c>
      <c r="AB1067" s="1349" t="s">
        <v>677</v>
      </c>
      <c r="AC1067" s="55">
        <v>150</v>
      </c>
      <c r="AD1067" s="143">
        <v>200</v>
      </c>
    </row>
    <row r="1068" spans="1:30" ht="12.75" customHeight="1" x14ac:dyDescent="0.2">
      <c r="A1068" s="237">
        <v>1068</v>
      </c>
      <c r="B1068" s="5885"/>
      <c r="C1068" s="894" t="s">
        <v>1711</v>
      </c>
      <c r="E1068" s="866" t="s">
        <v>1610</v>
      </c>
      <c r="F1068" s="951" t="s">
        <v>8553</v>
      </c>
      <c r="G1068" s="236" t="str">
        <f>E1067&amp;", "&amp;$E$1075</f>
        <v>Fuego, Nigromancia</v>
      </c>
      <c r="H1068" s="94"/>
      <c r="I1068" s="94">
        <f>IF(SUMPRODUCT(--ISNUMBER(SEARCH(Tablas!$E1068,Tablas!$K$411:$K$421)),Tablas!$G$411:$G$421)&gt;0,40,0)+J1304</f>
        <v>0</v>
      </c>
      <c r="J1068" s="94">
        <f t="shared" si="254"/>
        <v>999</v>
      </c>
      <c r="K1068" s="94">
        <f>IF(OR($H$1408&gt;0,$G$441&gt;0),1,IF(OR(J1067&lt;J1068,J$1075&lt;J1068),2,1))</f>
        <v>1</v>
      </c>
      <c r="L1068" s="94" t="str">
        <f>IF(J1068&lt;999,VLOOKUP(E1068,$H$1080:$J$1090,2)*20-VLOOKUP(E1068,$H$1080:$J$1090,3)*20+Místicos!$L$12,"")</f>
        <v/>
      </c>
      <c r="M1068" s="94" t="str">
        <f>IFERROR(RANK(L1068,$L$1065:$L$1075)+COUNTIF($L$1065:L1068,L1068)-1,"")</f>
        <v/>
      </c>
      <c r="N1068" s="94" t="str">
        <f t="shared" si="252"/>
        <v/>
      </c>
      <c r="O1068" s="94" t="str">
        <f t="shared" si="253"/>
        <v/>
      </c>
      <c r="P1068" s="94" t="str">
        <f>IF(AND(N1068&lt;&gt;"",N1068&gt;Místicos!$L$12),N1068&amp;" "&amp;O1068,"")</f>
        <v/>
      </c>
      <c r="Q1068" s="737" t="str">
        <f>IF(AND(N1068&lt;&gt;"",N1068&lt;Místicos!$L$12),N1068&amp;" "&amp;O1068,"")</f>
        <v/>
      </c>
      <c r="U1068" s="1264">
        <f t="shared" ref="U1068:U1075" si="255">10+U1067</f>
        <v>24</v>
      </c>
      <c r="V1068" s="1238">
        <f>10+V1066</f>
        <v>14</v>
      </c>
      <c r="W1068" s="1388">
        <f t="shared" ref="W1068:W1075" si="256">10+W1067</f>
        <v>28</v>
      </c>
      <c r="Z1068" s="597" t="str">
        <f t="shared" si="250"/>
        <v>La Fuerza</v>
      </c>
      <c r="AA1068" s="933">
        <f t="shared" si="251"/>
        <v>9</v>
      </c>
      <c r="AB1068" s="1349" t="s">
        <v>678</v>
      </c>
      <c r="AC1068" s="55">
        <v>160</v>
      </c>
      <c r="AD1068" s="143">
        <v>200</v>
      </c>
    </row>
    <row r="1069" spans="1:30" ht="12.75" customHeight="1" x14ac:dyDescent="0.2">
      <c r="A1069" s="237">
        <v>1069</v>
      </c>
      <c r="B1069" s="5885"/>
      <c r="C1069" s="894" t="s">
        <v>1713</v>
      </c>
      <c r="E1069" s="866" t="s">
        <v>1607</v>
      </c>
      <c r="F1069" s="951" t="s">
        <v>8553</v>
      </c>
      <c r="G1069" s="236" t="str">
        <f>E1070&amp;", "&amp;$E$1075</f>
        <v>Tierra, Nigromancia</v>
      </c>
      <c r="H1069" s="94"/>
      <c r="I1069" s="94">
        <f>IF(SUMPRODUCT(--ISNUMBER(SEARCH(Tablas!$E1069,Tablas!$K$411:$K$421)),Tablas!$G$411:$G$421)&gt;0,40,0)+J1305</f>
        <v>0</v>
      </c>
      <c r="J1069" s="94">
        <f t="shared" si="254"/>
        <v>999</v>
      </c>
      <c r="K1069" s="94">
        <f>IF(OR($H$1408&gt;0,$G$441&gt;0),1,IF(OR(J1070&lt;J1069,J$1075&lt;J1069),2,1))</f>
        <v>1</v>
      </c>
      <c r="L1069" s="94" t="str">
        <f>IF(J1069&lt;999,VLOOKUP(E1069,$H$1080:$J$1090,2)*20-VLOOKUP(E1069,$H$1080:$J$1090,3)*20+Místicos!$L$12,"")</f>
        <v/>
      </c>
      <c r="M1069" s="94" t="str">
        <f>IFERROR(RANK(L1069,$L$1065:$L$1075)+COUNTIF($L$1065:L1069,L1069)-1,"")</f>
        <v/>
      </c>
      <c r="N1069" s="94" t="str">
        <f t="shared" si="252"/>
        <v/>
      </c>
      <c r="O1069" s="94" t="str">
        <f t="shared" si="253"/>
        <v/>
      </c>
      <c r="P1069" s="94" t="str">
        <f>IF(AND(N1069&lt;&gt;"",N1069&gt;Místicos!$L$12),N1069&amp;" "&amp;O1069,"")</f>
        <v/>
      </c>
      <c r="Q1069" s="737" t="str">
        <f>IF(AND(N1069&lt;&gt;"",N1069&lt;Místicos!$L$12),N1069&amp;" "&amp;O1069,"")</f>
        <v/>
      </c>
      <c r="R1069" s="1424" t="s">
        <v>7483</v>
      </c>
      <c r="U1069" s="1264">
        <f t="shared" si="255"/>
        <v>34</v>
      </c>
      <c r="V1069" s="1238">
        <f>10+V1067</f>
        <v>18</v>
      </c>
      <c r="W1069" s="1388">
        <f t="shared" si="256"/>
        <v>38</v>
      </c>
      <c r="Z1069" s="597" t="str">
        <f t="shared" si="250"/>
        <v>La Fuerza invertida</v>
      </c>
      <c r="AA1069" s="933">
        <f t="shared" si="251"/>
        <v>23</v>
      </c>
      <c r="AB1069" s="1349" t="s">
        <v>679</v>
      </c>
      <c r="AC1069" s="55">
        <v>170</v>
      </c>
      <c r="AD1069" s="143">
        <v>250</v>
      </c>
    </row>
    <row r="1070" spans="1:30" ht="12.75" customHeight="1" x14ac:dyDescent="0.2">
      <c r="A1070" s="237">
        <v>1070</v>
      </c>
      <c r="B1070" s="5885"/>
      <c r="C1070" s="894" t="s">
        <v>1715</v>
      </c>
      <c r="E1070" s="866" t="s">
        <v>1708</v>
      </c>
      <c r="F1070" s="951" t="s">
        <v>8553</v>
      </c>
      <c r="G1070" s="236" t="str">
        <f>E1069&amp;", "&amp;$E$1075</f>
        <v>Aire, Nigromancia</v>
      </c>
      <c r="H1070" s="94"/>
      <c r="I1070" s="94">
        <f>IF(SUMPRODUCT(--ISNUMBER(SEARCH(Tablas!$E1070,Tablas!$K$411:$K$421)),Tablas!$G$411:$G$421)&gt;0,40,0)+J1306</f>
        <v>0</v>
      </c>
      <c r="J1070" s="94">
        <f t="shared" si="254"/>
        <v>999</v>
      </c>
      <c r="K1070" s="94">
        <f>IF(OR($H$1408&gt;0,$G$441&gt;0),1,IF(OR(J1069&lt;J1070,J$1075&lt;J1070),2,1))</f>
        <v>1</v>
      </c>
      <c r="L1070" s="94" t="str">
        <f>IF(J1070&lt;999,VLOOKUP(E1070,$H$1080:$J$1090,2)*20-VLOOKUP(E1070,$H$1080:$J$1090,3)*20+Místicos!$L$12,"")</f>
        <v/>
      </c>
      <c r="M1070" s="94" t="str">
        <f>IFERROR(RANK(L1070,$L$1065:$L$1075)+COUNTIF($L$1065:L1070,L1070)-1,"")</f>
        <v/>
      </c>
      <c r="N1070" s="94" t="str">
        <f t="shared" si="252"/>
        <v/>
      </c>
      <c r="O1070" s="94" t="str">
        <f t="shared" si="253"/>
        <v/>
      </c>
      <c r="P1070" s="94" t="str">
        <f>IF(AND(N1070&lt;&gt;"",N1070&gt;Místicos!$L$12),N1070&amp;" "&amp;O1070,"")</f>
        <v/>
      </c>
      <c r="Q1070" s="737" t="str">
        <f>IF(AND(N1070&lt;&gt;"",N1070&lt;Místicos!$L$12),N1070&amp;" "&amp;O1070,"")</f>
        <v/>
      </c>
      <c r="R1070" s="1412" t="s">
        <v>7482</v>
      </c>
      <c r="U1070" s="1264">
        <f t="shared" si="255"/>
        <v>44</v>
      </c>
      <c r="V1070" s="1238">
        <f t="shared" ref="V1070:V1083" si="257">10+V1068</f>
        <v>24</v>
      </c>
      <c r="W1070" s="1388">
        <f t="shared" si="256"/>
        <v>48</v>
      </c>
      <c r="Z1070" s="597" t="str">
        <f t="shared" si="250"/>
        <v>La Justicia</v>
      </c>
      <c r="AA1070" s="933">
        <f t="shared" si="251"/>
        <v>45</v>
      </c>
      <c r="AB1070" s="1349" t="s">
        <v>680</v>
      </c>
      <c r="AC1070" s="55">
        <v>180</v>
      </c>
      <c r="AD1070" s="143">
        <v>250</v>
      </c>
    </row>
    <row r="1071" spans="1:30" ht="12.75" customHeight="1" x14ac:dyDescent="0.2">
      <c r="A1071" s="237">
        <v>1071</v>
      </c>
      <c r="B1071" s="5885"/>
      <c r="C1071" s="894" t="s">
        <v>1717</v>
      </c>
      <c r="E1071" s="866" t="s">
        <v>1710</v>
      </c>
      <c r="F1071" s="951" t="s">
        <v>8552</v>
      </c>
      <c r="G1071" s="236" t="str">
        <f>E1072&amp;", "&amp;$E$1075</f>
        <v>Destrucción, Nigromancia</v>
      </c>
      <c r="H1071" s="94"/>
      <c r="I1071" s="94">
        <f>IF(SUMPRODUCT(--ISNUMBER(SEARCH(Tablas!$E1071,Tablas!$K$411:$K$421)),Tablas!$G$411:$G$421)&gt;0,40,0)+J1307</f>
        <v>0</v>
      </c>
      <c r="J1071" s="94">
        <f t="shared" si="254"/>
        <v>999</v>
      </c>
      <c r="K1071" s="94">
        <f>IF(OR($H$1408&gt;0,$G$441&gt;0),1,IF(OR(J1072&lt;J1071,J$1075&lt;J1071),2,1))</f>
        <v>1</v>
      </c>
      <c r="L1071" s="94" t="str">
        <f>IF(J1071&lt;999,VLOOKUP(E1071,$H$1080:$J$1090,2)*20-VLOOKUP(E1071,$H$1080:$J$1090,3)*20+Místicos!$L$12,"")</f>
        <v/>
      </c>
      <c r="M1071" s="94" t="str">
        <f>IFERROR(RANK(L1071,$L$1065:$L$1075)+COUNTIF($L$1065:L1071,L1071)-1,"")</f>
        <v/>
      </c>
      <c r="N1071" s="94" t="str">
        <f t="shared" si="252"/>
        <v/>
      </c>
      <c r="O1071" s="94" t="str">
        <f t="shared" si="253"/>
        <v/>
      </c>
      <c r="P1071" s="94" t="str">
        <f>IF(AND(N1071&lt;&gt;"",N1071&gt;Místicos!$L$12),N1071&amp;" "&amp;O1071,"")</f>
        <v/>
      </c>
      <c r="Q1071" s="737" t="str">
        <f>IF(AND(N1071&lt;&gt;"",N1071&lt;Místicos!$L$12),N1071&amp;" "&amp;O1071,"")</f>
        <v/>
      </c>
      <c r="R1071" s="1102" t="str">
        <f>IF(K1065=2,", "&amp;E1065,"")&amp;IF(K1066=2,", "&amp;E1066,"")&amp;IF(K1067=2,", "&amp;E1067,"")&amp;IF(K1068=2,", "&amp;E1068,"")&amp;IF(K1069=2,", "&amp;E1069,"")&amp;IF(K1070=2,", "&amp;E1070,"")&amp;IF(K1071=2,", "&amp;E1071,"")&amp;IF(K1072=2,", "&amp;E1072,"")&amp;IF(K1073=2,", "&amp;E1073,"")&amp;IF(K1074=2,", "&amp;E1074,"")&amp;IF(K1075=2,", "&amp;E1075,"")</f>
        <v/>
      </c>
      <c r="U1071" s="1264">
        <f t="shared" si="255"/>
        <v>54</v>
      </c>
      <c r="V1071" s="1238">
        <f t="shared" si="257"/>
        <v>28</v>
      </c>
      <c r="W1071" s="1388">
        <f t="shared" si="256"/>
        <v>58</v>
      </c>
      <c r="Z1071" s="597" t="str">
        <f t="shared" si="250"/>
        <v>La Justicia invertida</v>
      </c>
      <c r="AA1071" s="933">
        <f t="shared" si="251"/>
        <v>3</v>
      </c>
      <c r="AB1071" s="1349" t="s">
        <v>681</v>
      </c>
      <c r="AC1071" s="55">
        <v>190</v>
      </c>
      <c r="AD1071" s="143">
        <v>300</v>
      </c>
    </row>
    <row r="1072" spans="1:30" ht="12.75" customHeight="1" thickBot="1" x14ac:dyDescent="0.25">
      <c r="A1072" s="237">
        <v>1072</v>
      </c>
      <c r="B1072" s="5885"/>
      <c r="C1072" s="895" t="s">
        <v>8730</v>
      </c>
      <c r="E1072" s="866" t="s">
        <v>1711</v>
      </c>
      <c r="F1072" s="951" t="s">
        <v>8552</v>
      </c>
      <c r="G1072" s="236" t="str">
        <f>E1071&amp;", "&amp;$E$1075</f>
        <v>Creación, Nigromancia</v>
      </c>
      <c r="H1072" s="94"/>
      <c r="I1072" s="94">
        <f>IF(SUMPRODUCT(--ISNUMBER(SEARCH(Tablas!$E1072,Tablas!$K$411:$K$421)),Tablas!$G$411:$G$421)&gt;0,40,0)+J1308</f>
        <v>0</v>
      </c>
      <c r="J1072" s="94">
        <f t="shared" si="254"/>
        <v>999</v>
      </c>
      <c r="K1072" s="94">
        <f>IF(OR($H$1408&gt;0,$G$441&gt;0),1,IF(OR(J1071&lt;J1072,J$1075&lt;J1072),2,1))</f>
        <v>1</v>
      </c>
      <c r="L1072" s="94" t="str">
        <f>IF(J1072&lt;999,VLOOKUP(E1072,$H$1080:$J$1090,2)*20-VLOOKUP(E1072,$H$1080:$J$1090,3)*20+Místicos!$L$12,"")</f>
        <v/>
      </c>
      <c r="M1072" s="94" t="str">
        <f>IFERROR(RANK(L1072,$L$1065:$L$1075)+COUNTIF($L$1065:L1072,L1072)-1,"")</f>
        <v/>
      </c>
      <c r="N1072" s="94" t="str">
        <f t="shared" si="252"/>
        <v/>
      </c>
      <c r="O1072" s="94" t="str">
        <f t="shared" si="253"/>
        <v/>
      </c>
      <c r="P1072" s="94" t="str">
        <f>IF(AND(N1072&lt;&gt;"",N1072&gt;Místicos!$L$12),N1072&amp;" "&amp;O1072,"")</f>
        <v/>
      </c>
      <c r="Q1072" s="737" t="str">
        <f>IF(AND(N1072&lt;&gt;"",N1072&lt;Místicos!$L$12),N1072&amp;" "&amp;O1072,"")</f>
        <v/>
      </c>
      <c r="R1072" s="1412" t="s">
        <v>7481</v>
      </c>
      <c r="U1072" s="1264">
        <f t="shared" si="255"/>
        <v>64</v>
      </c>
      <c r="V1072" s="1238">
        <f t="shared" si="257"/>
        <v>34</v>
      </c>
      <c r="W1072" s="1388">
        <f t="shared" si="256"/>
        <v>68</v>
      </c>
      <c r="Z1072" s="597" t="str">
        <f t="shared" si="250"/>
        <v>La Luna</v>
      </c>
      <c r="AA1072" s="933">
        <f t="shared" si="251"/>
        <v>29</v>
      </c>
      <c r="AB1072" s="1349" t="s">
        <v>682</v>
      </c>
      <c r="AC1072" s="55">
        <v>200</v>
      </c>
      <c r="AD1072" s="143">
        <v>350</v>
      </c>
    </row>
    <row r="1073" spans="1:30" ht="12.75" customHeight="1" x14ac:dyDescent="0.2">
      <c r="A1073" s="237">
        <v>1073</v>
      </c>
      <c r="B1073" s="5885"/>
      <c r="C1073" s="896" t="s">
        <v>81</v>
      </c>
      <c r="E1073" s="866" t="s">
        <v>1713</v>
      </c>
      <c r="F1073" s="951" t="s">
        <v>8553</v>
      </c>
      <c r="G1073" s="236" t="str">
        <f>E1074&amp;", "&amp;$E$1075</f>
        <v>Ilusión, Nigromancia</v>
      </c>
      <c r="H1073" s="94"/>
      <c r="I1073" s="94">
        <f>IF(SUMPRODUCT(--ISNUMBER(SEARCH(Tablas!$E1073,Tablas!$K$411:$K$421)),Tablas!$G$411:$G$421)&gt;0,40,0)+J1309</f>
        <v>0</v>
      </c>
      <c r="J1073" s="94">
        <f t="shared" si="254"/>
        <v>999</v>
      </c>
      <c r="K1073" s="94">
        <f>IF(OR($H$1408&gt;0,$G$441&gt;0),1,IF(OR(J1074&lt;J1073,J$1075&lt;J1073),2,1))</f>
        <v>1</v>
      </c>
      <c r="L1073" s="94" t="str">
        <f>IF(J1073&lt;999,VLOOKUP(E1073,$H$1080:$J$1090,2)*20-VLOOKUP(E1073,$H$1080:$J$1090,3)*20+Místicos!$L$12,"")</f>
        <v/>
      </c>
      <c r="M1073" s="94" t="str">
        <f>IFERROR(RANK(L1073,$L$1065:$L$1075)+COUNTIF($L$1065:L1073,L1073)-1,"")</f>
        <v/>
      </c>
      <c r="N1073" s="94" t="str">
        <f t="shared" si="252"/>
        <v/>
      </c>
      <c r="O1073" s="94" t="str">
        <f t="shared" si="253"/>
        <v/>
      </c>
      <c r="P1073" s="94" t="str">
        <f>IF(AND(N1073&lt;&gt;"",N1073&gt;Místicos!$L$12),N1073&amp;" "&amp;O1073,"")</f>
        <v/>
      </c>
      <c r="Q1073" s="737" t="str">
        <f>IF(AND(N1073&lt;&gt;"",N1073&lt;Místicos!$L$12),N1073&amp;" "&amp;O1073,"")</f>
        <v/>
      </c>
      <c r="R1073" s="1102" t="str">
        <f>IF(COUNTIF(K1065:K1075,2)&gt;5,IF(K1065=1,", "&amp;E1065,"")&amp;IF(K1066=1,", "&amp;E1066,"")&amp;IF(K1067=1,", "&amp;E1067,"")&amp;IF(K1068=1,", "&amp;E1068,"")&amp;IF(K1069=1,", "&amp;E1069,"")&amp;IF(K1070=1,", "&amp;E1070,"")&amp;IF(K1071=1,", "&amp;E1071,"")&amp;IF(K1072=1,", "&amp;E1072,"")&amp;IF(K1073=1,", "&amp;E1073,"")&amp;IF(K1074=1,", "&amp;E1074,"")&amp;IF(K1075=1,", "&amp;E1075,""),R1071)</f>
        <v/>
      </c>
      <c r="U1073" s="1264">
        <f t="shared" si="255"/>
        <v>74</v>
      </c>
      <c r="V1073" s="1238">
        <f t="shared" si="257"/>
        <v>38</v>
      </c>
      <c r="W1073" s="1388">
        <f t="shared" si="256"/>
        <v>78</v>
      </c>
      <c r="Z1073" s="597" t="str">
        <f t="shared" si="250"/>
        <v>La Luna invertida</v>
      </c>
      <c r="AA1073" s="933">
        <f t="shared" si="251"/>
        <v>11</v>
      </c>
      <c r="AB1073" s="1349" t="s">
        <v>683</v>
      </c>
      <c r="AC1073" s="55">
        <v>240</v>
      </c>
      <c r="AD1073" s="143">
        <v>400</v>
      </c>
    </row>
    <row r="1074" spans="1:30" ht="12.75" customHeight="1" x14ac:dyDescent="0.2">
      <c r="A1074" s="237">
        <v>1074</v>
      </c>
      <c r="B1074" s="5885"/>
      <c r="C1074" s="897" t="s">
        <v>82</v>
      </c>
      <c r="E1074" s="866" t="s">
        <v>1715</v>
      </c>
      <c r="F1074" s="951" t="s">
        <v>8553</v>
      </c>
      <c r="G1074" s="236" t="str">
        <f>E1073&amp;", "&amp;$E$1075</f>
        <v>Esencia, Nigromancia</v>
      </c>
      <c r="H1074" s="94"/>
      <c r="I1074" s="94">
        <f>IF(SUMPRODUCT(--ISNUMBER(SEARCH(Tablas!$E1074,Tablas!$K$411:$K$421)),Tablas!$G$411:$G$421)&gt;0,40,0)+J1310</f>
        <v>0</v>
      </c>
      <c r="J1074" s="94">
        <f t="shared" si="254"/>
        <v>999</v>
      </c>
      <c r="K1074" s="94">
        <f>IF(OR($H$1408&gt;0,$G$441&gt;0),1,IF(OR(J1073&lt;J1074,J$1075&lt;J1074),2,1))</f>
        <v>1</v>
      </c>
      <c r="L1074" s="94" t="str">
        <f>IF(J1074&lt;999,VLOOKUP(E1074,$H$1080:$J$1090,2)*20-VLOOKUP(E1074,$H$1080:$J$1090,3)*20+Místicos!$L$12,"")</f>
        <v/>
      </c>
      <c r="M1074" s="94" t="str">
        <f>IFERROR(RANK(L1074,$L$1065:$L$1075)+COUNTIF($L$1065:L1074,L1074)-1,"")</f>
        <v/>
      </c>
      <c r="N1074" s="94" t="str">
        <f t="shared" si="252"/>
        <v/>
      </c>
      <c r="O1074" s="94" t="str">
        <f t="shared" si="253"/>
        <v/>
      </c>
      <c r="P1074" s="94" t="str">
        <f>IF(AND(N1074&lt;&gt;"",N1074&gt;Místicos!$L$12),N1074&amp;" "&amp;O1074,"")</f>
        <v/>
      </c>
      <c r="Q1074" s="737" t="str">
        <f>IF(AND(N1074&lt;&gt;"",N1074&lt;Místicos!$L$12),N1074&amp;" "&amp;O1074,"")</f>
        <v/>
      </c>
      <c r="R1074" s="1411" t="s">
        <v>7480</v>
      </c>
      <c r="U1074" s="1264">
        <f t="shared" si="255"/>
        <v>84</v>
      </c>
      <c r="V1074" s="1238">
        <f t="shared" si="257"/>
        <v>44</v>
      </c>
      <c r="W1074" s="1388">
        <f t="shared" si="256"/>
        <v>88</v>
      </c>
      <c r="Z1074" s="597" t="str">
        <f t="shared" si="250"/>
        <v>La Muerte</v>
      </c>
      <c r="AA1074" s="933">
        <f t="shared" si="251"/>
        <v>37</v>
      </c>
      <c r="AB1074" s="1349" t="s">
        <v>684</v>
      </c>
      <c r="AC1074" s="55">
        <v>240</v>
      </c>
      <c r="AD1074" s="143">
        <v>450</v>
      </c>
    </row>
    <row r="1075" spans="1:30" ht="12.75" customHeight="1" x14ac:dyDescent="0.2">
      <c r="A1075" s="237">
        <v>1075</v>
      </c>
      <c r="B1075" s="5885"/>
      <c r="C1075" s="897" t="s">
        <v>83</v>
      </c>
      <c r="E1075" s="866" t="s">
        <v>1717</v>
      </c>
      <c r="F1075" s="952" t="s">
        <v>8552</v>
      </c>
      <c r="G1075" s="1387" t="s">
        <v>7478</v>
      </c>
      <c r="H1075" s="1385"/>
      <c r="I1075" s="1385">
        <f>IF(SUMPRODUCT(--ISNUMBER(SEARCH(Tablas!$E1075,Tablas!$K$411:$K$421)),Tablas!$G$411:$G$421)&gt;0,40,0)+J1311</f>
        <v>0</v>
      </c>
      <c r="J1075" s="1385">
        <f t="shared" si="254"/>
        <v>999</v>
      </c>
      <c r="K1075" s="1385">
        <f>IF(OR($H$1408&gt;0,$G$441&gt;0),1,IF(OR(J1075=1,COUNTA(Orden_VíasAprendidas)=0),1,2))</f>
        <v>1</v>
      </c>
      <c r="L1075" s="1385" t="str">
        <f>IF(J1075&lt;999,VLOOKUP(E1075,$H$1080:$J$1090,2)*20-VLOOKUP(E1075,$H$1080:$J$1090,3)*20+Místicos!$L$12,"")</f>
        <v/>
      </c>
      <c r="M1075" s="1385" t="str">
        <f>IFERROR(RANK(L1075,$L$1065:$L$1075)+COUNTIF($L$1065:L1075,L1075)-1,"")</f>
        <v/>
      </c>
      <c r="N1075" s="1385" t="str">
        <f t="shared" si="252"/>
        <v/>
      </c>
      <c r="O1075" s="1385" t="str">
        <f t="shared" si="253"/>
        <v/>
      </c>
      <c r="P1075" s="1385" t="str">
        <f>IF(AND(N1075&lt;&gt;"",N1075&gt;Místicos!$L$12),N1075&amp;" "&amp;O1075,"")</f>
        <v/>
      </c>
      <c r="Q1075" s="1050" t="str">
        <f>IF(AND(N1075&lt;&gt;"",N1075&lt;Místicos!$L$12),N1075&amp;" "&amp;O1075,"")</f>
        <v/>
      </c>
      <c r="R1075" s="1103" t="str">
        <f>IF(R1073&lt;&gt;R1071,"Todas excepto ","")&amp;MID(R1073,3,LEN(R1073))</f>
        <v/>
      </c>
      <c r="U1075" s="1264">
        <f t="shared" si="255"/>
        <v>94</v>
      </c>
      <c r="V1075" s="1238">
        <f t="shared" si="257"/>
        <v>48</v>
      </c>
      <c r="W1075" s="1388">
        <f t="shared" si="256"/>
        <v>98</v>
      </c>
      <c r="Z1075" s="597" t="str">
        <f t="shared" si="250"/>
        <v>La Muerte invertida</v>
      </c>
      <c r="AA1075" s="933">
        <f t="shared" si="251"/>
        <v>31</v>
      </c>
      <c r="AB1075" s="1349" t="s">
        <v>685</v>
      </c>
      <c r="AC1075" s="55">
        <v>260</v>
      </c>
      <c r="AD1075" s="143">
        <v>500</v>
      </c>
    </row>
    <row r="1076" spans="1:30" ht="12.75" customHeight="1" thickBot="1" x14ac:dyDescent="0.25">
      <c r="A1076" s="237">
        <v>1076</v>
      </c>
      <c r="B1076" s="5885"/>
      <c r="C1076" s="897" t="s">
        <v>84</v>
      </c>
      <c r="E1076" s="1051" t="s">
        <v>1233</v>
      </c>
      <c r="G1076" s="1423" t="s">
        <v>8732</v>
      </c>
      <c r="H1076" s="5918">
        <f>IF(AND(P1076="",Q1076=""),Místicos!L12,P1076&amp;Q1076&amp;", "&amp;IF(AND(I1088=0,I1091=0),Místicos!L12,Místicos!L12-20)&amp;" Otros")</f>
        <v>0</v>
      </c>
      <c r="I1076" s="5918"/>
      <c r="J1076" s="5918"/>
      <c r="K1076" s="5918"/>
      <c r="L1076" s="5918"/>
      <c r="M1076" s="5918"/>
      <c r="N1076" s="5918"/>
      <c r="O1076" s="5918"/>
      <c r="P1076" s="1426" t="str">
        <f>IF(P1065="","",P1065)&amp;IF(P1066="","",", "&amp;P1066)&amp;IF(P1067="","",", "&amp;P1067)&amp;IF(P1068="","",", "&amp;P1068)&amp;IF(P1069="","",", "&amp;P1069)&amp;IF(P1070="","",", "&amp;P1070)&amp;IF(P1071="","",", "&amp;P1071)&amp;IF(P1072="","",", "&amp;P1072)&amp;IF(P1073="","",", "&amp;P1073)&amp;IF(P1074="","",", "&amp;P1074)&amp;IF(P1075="","",", "&amp;P1075)</f>
        <v/>
      </c>
      <c r="Q1076" s="1426" t="str">
        <f>IF(AND(I1088=0,I1091=0),IF(Q1065="","",", "&amp;Q1065)&amp;IF(Q1066="","",", "&amp;Q1066)&amp;IF(Q1067="","",", "&amp;Q1067)&amp;IF(Q1068="","",", "&amp;Q1068)&amp;IF(Q1069="","",", "&amp;Q1069)&amp;IF(Q1070="","",", "&amp;Q1070)&amp;IF(Q1071="","",", "&amp;Q1071)&amp;IF(Q1072="","",", "&amp;Q1072)&amp;IF(Q1073="","",", "&amp;Q1073)&amp;IF(Q1074="","",", "&amp;Q1074)&amp;IF(Q1075="","",", "&amp;Q1075),"")</f>
        <v/>
      </c>
      <c r="U1076" s="1264"/>
      <c r="V1076" s="1238">
        <f t="shared" si="257"/>
        <v>54</v>
      </c>
      <c r="W1076" s="1388"/>
      <c r="Z1076" s="597" t="str">
        <f t="shared" si="250"/>
        <v>La Rueda</v>
      </c>
      <c r="AA1076" s="933">
        <f t="shared" si="251"/>
        <v>5</v>
      </c>
      <c r="AB1076" s="1349" t="s">
        <v>686</v>
      </c>
      <c r="AC1076" s="55">
        <v>280</v>
      </c>
      <c r="AD1076" s="143">
        <v>550</v>
      </c>
    </row>
    <row r="1077" spans="1:30" ht="12.75" customHeight="1" thickBot="1" x14ac:dyDescent="0.25">
      <c r="A1077" s="237">
        <v>1077</v>
      </c>
      <c r="B1077" s="5885"/>
      <c r="C1077" s="897" t="s">
        <v>85</v>
      </c>
      <c r="H1077"/>
      <c r="I1077" s="592"/>
      <c r="N1077"/>
      <c r="O1077" s="592"/>
      <c r="U1077" s="1264"/>
      <c r="V1077" s="1238">
        <f t="shared" si="257"/>
        <v>58</v>
      </c>
      <c r="W1077" s="1388"/>
      <c r="Z1077" s="597" t="str">
        <f t="shared" si="250"/>
        <v>La Rueda invertida</v>
      </c>
      <c r="AA1077" s="933">
        <f t="shared" si="251"/>
        <v>35</v>
      </c>
      <c r="AB1077" s="1349" t="s">
        <v>687</v>
      </c>
      <c r="AC1077" s="55">
        <v>300</v>
      </c>
      <c r="AD1077" s="143">
        <v>600</v>
      </c>
    </row>
    <row r="1078" spans="1:30" ht="12.75" customHeight="1" x14ac:dyDescent="0.2">
      <c r="A1078" s="237">
        <v>1078</v>
      </c>
      <c r="B1078" s="5885"/>
      <c r="C1078" s="897" t="s">
        <v>86</v>
      </c>
      <c r="E1078" s="6064" t="s">
        <v>1240</v>
      </c>
      <c r="F1078" s="6064"/>
      <c r="H1078" s="5781" t="s">
        <v>1242</v>
      </c>
      <c r="I1078" s="5782"/>
      <c r="J1078" s="5783"/>
      <c r="L1078" s="6036" t="s">
        <v>1247</v>
      </c>
      <c r="M1078" s="6037"/>
      <c r="N1078"/>
      <c r="O1078" s="592"/>
      <c r="U1078" s="1264"/>
      <c r="V1078" s="1238">
        <f t="shared" si="257"/>
        <v>64</v>
      </c>
      <c r="W1078" s="1388"/>
      <c r="Z1078" s="597" t="str">
        <f t="shared" si="250"/>
        <v>La Suma Sacerdotisa</v>
      </c>
      <c r="AA1078" s="933">
        <f t="shared" si="251"/>
        <v>41</v>
      </c>
      <c r="AB1078" s="1349" t="s">
        <v>688</v>
      </c>
      <c r="AC1078" s="55">
        <v>320</v>
      </c>
      <c r="AD1078" s="143">
        <v>650</v>
      </c>
    </row>
    <row r="1079" spans="1:30" ht="12.75" customHeight="1" thickBot="1" x14ac:dyDescent="0.25">
      <c r="A1079" s="237">
        <v>1079</v>
      </c>
      <c r="B1079" s="5885"/>
      <c r="C1079" s="897" t="s">
        <v>87</v>
      </c>
      <c r="E1079" s="181" t="s">
        <v>1513</v>
      </c>
      <c r="F1079" s="183" t="s">
        <v>1241</v>
      </c>
      <c r="H1079" s="1039" t="s">
        <v>1699</v>
      </c>
      <c r="I1079" s="221" t="s">
        <v>1243</v>
      </c>
      <c r="J1079" s="988" t="s">
        <v>8733</v>
      </c>
      <c r="L1079" s="268" t="s">
        <v>1796</v>
      </c>
      <c r="M1079" s="226" t="s">
        <v>1248</v>
      </c>
      <c r="N1079"/>
      <c r="O1079" s="592"/>
      <c r="U1079" s="1264"/>
      <c r="V1079" s="1238">
        <f t="shared" si="257"/>
        <v>68</v>
      </c>
      <c r="W1079" s="1388"/>
      <c r="Z1079" s="597" t="str">
        <f t="shared" si="250"/>
        <v>La Suma Sacerdotisa invertida</v>
      </c>
      <c r="AA1079" s="933">
        <f t="shared" si="251"/>
        <v>7</v>
      </c>
      <c r="AB1079" s="1349" t="s">
        <v>689</v>
      </c>
      <c r="AC1079" s="55">
        <v>340</v>
      </c>
      <c r="AD1079" s="143">
        <v>700</v>
      </c>
    </row>
    <row r="1080" spans="1:30" ht="12.75" customHeight="1" x14ac:dyDescent="0.2">
      <c r="A1080" s="237">
        <v>1080</v>
      </c>
      <c r="B1080" s="5885"/>
      <c r="C1080" s="897" t="s">
        <v>88</v>
      </c>
      <c r="E1080" s="267">
        <v>0</v>
      </c>
      <c r="F1080" s="201">
        <f>0+10*Tablas!G422+20*Tablas!G423+30*Tablas!G424+10*H1358</f>
        <v>0</v>
      </c>
      <c r="H1080" s="1418" t="s">
        <v>1610</v>
      </c>
      <c r="I1080" s="1419">
        <f>IF(I1091&gt;0,IF(AND(J1068&lt;999,K1068&lt;2),1,0),Tablas!G431)</f>
        <v>0</v>
      </c>
      <c r="J1080" s="1420">
        <f>IF(OR(I1085&gt;0,I1088&gt;0),1,0)</f>
        <v>0</v>
      </c>
      <c r="L1080" s="199">
        <v>1</v>
      </c>
      <c r="M1080" s="201">
        <v>10</v>
      </c>
      <c r="N1080"/>
      <c r="O1080" s="592"/>
      <c r="U1080" s="1264"/>
      <c r="V1080" s="1238">
        <f t="shared" si="257"/>
        <v>74</v>
      </c>
      <c r="W1080" s="1388"/>
      <c r="Z1080" s="597" t="str">
        <f t="shared" si="250"/>
        <v>La Templanza</v>
      </c>
      <c r="AA1080" s="933">
        <f t="shared" si="251"/>
        <v>43</v>
      </c>
      <c r="AB1080" s="1349" t="s">
        <v>690</v>
      </c>
      <c r="AC1080" s="55">
        <v>340</v>
      </c>
      <c r="AD1080" s="143">
        <v>750</v>
      </c>
    </row>
    <row r="1081" spans="1:30" ht="12.75" customHeight="1" x14ac:dyDescent="0.2">
      <c r="A1081" s="237">
        <v>1081</v>
      </c>
      <c r="B1081" s="5885"/>
      <c r="C1081" s="897" t="s">
        <v>89</v>
      </c>
      <c r="E1081" s="96">
        <v>10</v>
      </c>
      <c r="F1081" s="58">
        <f>10+10*Tablas!G422+20*Tablas!G423+30*Tablas!G424+10*H1358</f>
        <v>10</v>
      </c>
      <c r="H1081" s="1421" t="s">
        <v>1607</v>
      </c>
      <c r="I1081" s="94">
        <f>IF(I1091&gt;0,IF(AND(J1069&lt;999,K1069&lt;2),1,0),Tablas!G432)</f>
        <v>0</v>
      </c>
      <c r="J1081" s="514">
        <f>IF(OR(I1090&gt;0,I1088&gt;0),1,0)</f>
        <v>0</v>
      </c>
      <c r="L1081" s="202">
        <v>3</v>
      </c>
      <c r="M1081" s="58">
        <v>20</v>
      </c>
      <c r="N1081"/>
      <c r="O1081" s="592"/>
      <c r="U1081" s="1264"/>
      <c r="V1081" s="1238">
        <f t="shared" si="257"/>
        <v>78</v>
      </c>
      <c r="W1081" s="1388"/>
      <c r="Z1081" s="597" t="str">
        <f t="shared" si="250"/>
        <v>La Templanza invertida</v>
      </c>
      <c r="AA1081" s="933">
        <f t="shared" si="251"/>
        <v>27</v>
      </c>
      <c r="AB1081" s="1349" t="s">
        <v>691</v>
      </c>
      <c r="AC1081" s="55">
        <v>380</v>
      </c>
      <c r="AD1081" s="143">
        <v>800</v>
      </c>
    </row>
    <row r="1082" spans="1:30" ht="12.75" customHeight="1" x14ac:dyDescent="0.2">
      <c r="A1082" s="237">
        <v>1082</v>
      </c>
      <c r="B1082" s="5885"/>
      <c r="C1082" s="897" t="s">
        <v>90</v>
      </c>
      <c r="E1082" s="96">
        <v>55</v>
      </c>
      <c r="F1082" s="58">
        <f>20+10*Tablas!G422+20*Tablas!G423+30*Tablas!G424+10*H1358</f>
        <v>20</v>
      </c>
      <c r="H1082" s="1421" t="s">
        <v>1710</v>
      </c>
      <c r="I1082" s="94">
        <f>IF(I1091&gt;0,IF(AND(J1071&lt;999,K1071&lt;2),1,0),Tablas!G434)</f>
        <v>0</v>
      </c>
      <c r="J1082" s="514">
        <f>IF(OR(I1083&gt;0,I1088&gt;0),1,0)</f>
        <v>0</v>
      </c>
      <c r="L1082" s="202">
        <v>6</v>
      </c>
      <c r="M1082" s="58">
        <v>30</v>
      </c>
      <c r="N1082"/>
      <c r="O1082" s="592"/>
      <c r="U1082" s="1264"/>
      <c r="V1082" s="1238">
        <f t="shared" si="257"/>
        <v>84</v>
      </c>
      <c r="W1082" s="1388"/>
      <c r="Z1082" s="597" t="str">
        <f t="shared" si="250"/>
        <v>La Torre</v>
      </c>
      <c r="AA1082" s="933">
        <f t="shared" si="251"/>
        <v>33</v>
      </c>
      <c r="AB1082" s="1349" t="s">
        <v>692</v>
      </c>
      <c r="AC1082" s="55">
        <v>400</v>
      </c>
      <c r="AD1082" s="143">
        <v>850</v>
      </c>
    </row>
    <row r="1083" spans="1:30" ht="12.75" customHeight="1" x14ac:dyDescent="0.2">
      <c r="A1083" s="237">
        <v>1083</v>
      </c>
      <c r="B1083" s="5885"/>
      <c r="C1083" s="897" t="s">
        <v>91</v>
      </c>
      <c r="E1083" s="96">
        <v>75</v>
      </c>
      <c r="F1083" s="58">
        <f>30+10*Tablas!G422+20*Tablas!G423+30*Tablas!G424+10*H1358</f>
        <v>30</v>
      </c>
      <c r="H1083" s="1421" t="s">
        <v>1711</v>
      </c>
      <c r="I1083" s="94">
        <f>IF(I1091&gt;0,IF(AND(J1072&lt;999,K1072&lt;2),1,0),Tablas!G435)</f>
        <v>0</v>
      </c>
      <c r="J1083" s="514">
        <f>IF(OR(I1082&gt;0,I1088&gt;0),1,0)</f>
        <v>0</v>
      </c>
      <c r="L1083" s="202">
        <v>10</v>
      </c>
      <c r="M1083" s="58">
        <v>40</v>
      </c>
      <c r="N1083"/>
      <c r="O1083" s="592"/>
      <c r="U1083" s="1264"/>
      <c r="V1083" s="1238">
        <f t="shared" si="257"/>
        <v>88</v>
      </c>
      <c r="W1083" s="1388"/>
      <c r="Z1083" s="597" t="str">
        <f t="shared" si="250"/>
        <v>La Torre invertida</v>
      </c>
      <c r="AA1083" s="933">
        <f t="shared" si="251"/>
        <v>21</v>
      </c>
      <c r="AB1083" s="1349" t="s">
        <v>693</v>
      </c>
      <c r="AC1083" s="55">
        <v>420</v>
      </c>
      <c r="AD1083" s="143">
        <v>900</v>
      </c>
    </row>
    <row r="1084" spans="1:30" ht="12.75" customHeight="1" thickBot="1" x14ac:dyDescent="0.25">
      <c r="A1084" s="237">
        <v>1084</v>
      </c>
      <c r="B1084" s="5885"/>
      <c r="C1084" s="897" t="s">
        <v>92</v>
      </c>
      <c r="E1084" s="96">
        <v>95</v>
      </c>
      <c r="F1084" s="58">
        <f>40+10*Tablas!G422+20*Tablas!G423+30*Tablas!G424+10*H1358</f>
        <v>40</v>
      </c>
      <c r="H1084" s="1421" t="s">
        <v>1713</v>
      </c>
      <c r="I1084" s="94">
        <f>IF(I1091&gt;0,IF(AND(J1073&lt;999,K1073&lt;2),1,0),Tablas!G436)</f>
        <v>0</v>
      </c>
      <c r="J1084" s="514">
        <f>IF(OR(I1086&gt;0,I1088&gt;0),1,0)</f>
        <v>0</v>
      </c>
      <c r="L1084" s="202">
        <v>15</v>
      </c>
      <c r="M1084" s="58">
        <v>50</v>
      </c>
      <c r="N1084"/>
      <c r="O1084" s="592"/>
      <c r="U1084" s="1264"/>
      <c r="V1084" s="1238">
        <f>10+V1082</f>
        <v>94</v>
      </c>
      <c r="W1084" s="1388"/>
      <c r="Z1084" s="597" t="str">
        <f t="shared" si="250"/>
        <v>Los Enamorados</v>
      </c>
      <c r="AA1084" s="933">
        <f t="shared" si="251"/>
        <v>15</v>
      </c>
      <c r="AB1084" s="1349" t="s">
        <v>694</v>
      </c>
      <c r="AC1084" s="55">
        <v>440</v>
      </c>
      <c r="AD1084" s="143">
        <v>950</v>
      </c>
    </row>
    <row r="1085" spans="1:30" ht="12.75" customHeight="1" thickBot="1" x14ac:dyDescent="0.25">
      <c r="A1085" s="237">
        <v>1085</v>
      </c>
      <c r="B1085" s="5885"/>
      <c r="C1085" s="897" t="s">
        <v>2081</v>
      </c>
      <c r="E1085" s="96">
        <v>115</v>
      </c>
      <c r="F1085" s="58">
        <f>50+10*Tablas!G422+20*Tablas!G423+30*Tablas!G424+10*H1358</f>
        <v>50</v>
      </c>
      <c r="H1085" s="1421" t="s">
        <v>1614</v>
      </c>
      <c r="I1085" s="94">
        <f>IF(I1091&gt;0,IF(AND(J1067&lt;999,K1067&lt;2),1,0),Tablas!G430)</f>
        <v>0</v>
      </c>
      <c r="J1085" s="514">
        <f>IF(OR(I1080&gt;0,I1088&gt;0),1,0)</f>
        <v>0</v>
      </c>
      <c r="L1085" s="96">
        <v>21</v>
      </c>
      <c r="M1085" s="58">
        <v>60</v>
      </c>
      <c r="O1085" s="1395" t="s">
        <v>8702</v>
      </c>
      <c r="P1085" s="1396" t="s">
        <v>8703</v>
      </c>
      <c r="U1085" s="1265"/>
      <c r="V1085" s="1389">
        <f>10+V1083</f>
        <v>98</v>
      </c>
      <c r="W1085" s="1390"/>
      <c r="Z1085" s="597" t="str">
        <f t="shared" si="250"/>
        <v>Los Enamorados invertidos</v>
      </c>
      <c r="AA1085" s="933">
        <f t="shared" si="251"/>
        <v>19</v>
      </c>
      <c r="AB1085" s="1349" t="s">
        <v>695</v>
      </c>
      <c r="AC1085" s="55">
        <v>460</v>
      </c>
      <c r="AD1085" s="143">
        <v>1000</v>
      </c>
    </row>
    <row r="1086" spans="1:30" ht="12.75" customHeight="1" thickBot="1" x14ac:dyDescent="0.25">
      <c r="A1086" s="237">
        <v>1086</v>
      </c>
      <c r="B1086" s="5885"/>
      <c r="C1086" s="898" t="s">
        <v>93</v>
      </c>
      <c r="E1086" s="96">
        <v>135</v>
      </c>
      <c r="F1086" s="58">
        <f>60+10*Tablas!G422+20*Tablas!G423+30*Tablas!G424+10*H1358</f>
        <v>60</v>
      </c>
      <c r="H1086" s="1421" t="s">
        <v>1715</v>
      </c>
      <c r="I1086" s="94">
        <f>IF(I1091&gt;0,IF(AND(J1074&lt;999,K1074&lt;2),1,0),Tablas!G437)</f>
        <v>0</v>
      </c>
      <c r="J1086" s="514">
        <f>IF(OR(I1084&gt;0,I1088&gt;0),1,0)</f>
        <v>0</v>
      </c>
      <c r="L1086" s="96">
        <v>28</v>
      </c>
      <c r="M1086" s="58">
        <v>70</v>
      </c>
      <c r="O1086" s="38" t="s">
        <v>1614</v>
      </c>
      <c r="P1086" s="1397" t="s">
        <v>1557</v>
      </c>
      <c r="Z1086" s="597" t="str">
        <f t="shared" ref="Z1086:Z1117" si="258">VLOOKUP(A1,$AA$1086:$AB$1156,2,0)</f>
        <v>&gt; GRANDES BESTIAS</v>
      </c>
      <c r="AA1086" s="933">
        <f t="shared" ref="AA1086:AA1117" si="259">COUNTIF($AB$1086:$AB$1156,"&lt;="&amp;AB1086)</f>
        <v>1</v>
      </c>
      <c r="AB1086" s="1349" t="s">
        <v>696</v>
      </c>
      <c r="AC1086" s="55"/>
      <c r="AD1086" s="143"/>
    </row>
    <row r="1087" spans="1:30" ht="12.75" customHeight="1" x14ac:dyDescent="0.2">
      <c r="A1087" s="237">
        <v>1087</v>
      </c>
      <c r="B1087" s="5885"/>
      <c r="E1087" s="96">
        <v>155</v>
      </c>
      <c r="F1087" s="58">
        <f>70+10*Tablas!G422+20*Tablas!G423+30*Tablas!G424+10*H1358</f>
        <v>70</v>
      </c>
      <c r="H1087" s="1421" t="s">
        <v>1703</v>
      </c>
      <c r="I1087" s="94">
        <f>IF(I1091&gt;0,IF(AND(J1065&lt;999,K1065&lt;2),1,0),Tablas!G428)</f>
        <v>0</v>
      </c>
      <c r="J1087" s="514">
        <f>IF(OR(I1089&gt;0,I1088&gt;0),1,0)</f>
        <v>0</v>
      </c>
      <c r="L1087" s="96">
        <v>36</v>
      </c>
      <c r="M1087" s="58">
        <v>80</v>
      </c>
      <c r="O1087" s="38" t="s">
        <v>1607</v>
      </c>
      <c r="P1087" s="1326" t="s">
        <v>1555</v>
      </c>
      <c r="Z1087" s="597" t="str">
        <f t="shared" si="258"/>
        <v>Behemoth, Señor de la Tierra</v>
      </c>
      <c r="AA1087" s="933">
        <f t="shared" si="259"/>
        <v>52</v>
      </c>
      <c r="AB1087" s="1349" t="s">
        <v>697</v>
      </c>
      <c r="AC1087" s="55">
        <v>280</v>
      </c>
      <c r="AD1087" s="143">
        <v>450</v>
      </c>
    </row>
    <row r="1088" spans="1:30" ht="12.75" customHeight="1" x14ac:dyDescent="0.2">
      <c r="A1088" s="237">
        <v>1088</v>
      </c>
      <c r="B1088" s="5885"/>
      <c r="E1088" s="96">
        <v>185</v>
      </c>
      <c r="F1088" s="58">
        <f>80+10*Tablas!G422+20*Tablas!G423+30*Tablas!G424+10*H1358</f>
        <v>80</v>
      </c>
      <c r="H1088" s="1421" t="s">
        <v>1717</v>
      </c>
      <c r="I1088" s="94">
        <f>IF(I1091&gt;0,IF(AND(J1075&lt;999,K1075&lt;2),1,0),Tablas!G438)</f>
        <v>0</v>
      </c>
      <c r="J1088" s="514">
        <f>IF(OR(COUNTIF(I1089:I1090,"&gt;0"),COUNTIF(I1080:I1087,"&gt;0")),1,0)</f>
        <v>0</v>
      </c>
      <c r="L1088" s="96">
        <v>45</v>
      </c>
      <c r="M1088" s="58">
        <v>90</v>
      </c>
      <c r="O1088" s="38" t="s">
        <v>1610</v>
      </c>
      <c r="P1088" s="1326" t="s">
        <v>1559</v>
      </c>
      <c r="Z1088" s="597" t="str">
        <f t="shared" si="258"/>
        <v>Behemoth: Comunión con la tierra</v>
      </c>
      <c r="AA1088" s="933">
        <f t="shared" si="259"/>
        <v>51</v>
      </c>
      <c r="AB1088" s="1349" t="s">
        <v>698</v>
      </c>
      <c r="AC1088" s="55">
        <v>380</v>
      </c>
      <c r="AD1088" s="143">
        <v>800</v>
      </c>
    </row>
    <row r="1089" spans="1:30" ht="12.75" customHeight="1" thickBot="1" x14ac:dyDescent="0.25">
      <c r="A1089" s="237">
        <v>1089</v>
      </c>
      <c r="B1089" s="5885"/>
      <c r="E1089" s="197">
        <v>200</v>
      </c>
      <c r="F1089" s="190">
        <f>90+10*Tablas!G422+20*Tablas!G423+30*Tablas!G424+10*H1358</f>
        <v>90</v>
      </c>
      <c r="H1089" s="1421" t="s">
        <v>1704</v>
      </c>
      <c r="I1089" s="94">
        <f>IF(I1091&gt;0,IF(AND(J1066&lt;999,K1066&lt;2),1,0),Tablas!G429)</f>
        <v>0</v>
      </c>
      <c r="J1089" s="514">
        <f>IF(OR(I1087&gt;0,I1088&gt;0),1,0)</f>
        <v>0</v>
      </c>
      <c r="L1089" s="203">
        <v>55</v>
      </c>
      <c r="M1089" s="190">
        <v>100</v>
      </c>
      <c r="O1089" s="38" t="s">
        <v>1708</v>
      </c>
      <c r="P1089" s="1326" t="s">
        <v>1501</v>
      </c>
      <c r="Z1089" s="597" t="str">
        <f t="shared" si="258"/>
        <v>Behemoth: Señor de la tierra</v>
      </c>
      <c r="AA1089" s="933">
        <f t="shared" si="259"/>
        <v>32</v>
      </c>
      <c r="AB1089" s="1349" t="s">
        <v>699</v>
      </c>
      <c r="AC1089" s="55">
        <v>150</v>
      </c>
      <c r="AD1089" s="143">
        <v>200</v>
      </c>
    </row>
    <row r="1090" spans="1:30" ht="12.75" customHeight="1" x14ac:dyDescent="0.2">
      <c r="A1090" s="237">
        <v>1090</v>
      </c>
      <c r="B1090" s="5885"/>
      <c r="E1090" s="305"/>
      <c r="H1090" s="1421" t="s">
        <v>1708</v>
      </c>
      <c r="I1090" s="94">
        <f>IF(I1091&gt;0,IF(AND(J1070&lt;999,K1070&lt;2),1,0),Tablas!G433)</f>
        <v>0</v>
      </c>
      <c r="J1090" s="514">
        <f>IF(OR(I1081&gt;0,I1088&gt;0),1,0)</f>
        <v>0</v>
      </c>
      <c r="O1090" s="38" t="s">
        <v>1703</v>
      </c>
      <c r="P1090" s="1326"/>
      <c r="Z1090" s="597" t="str">
        <f t="shared" si="258"/>
        <v>Byakko, el Tigre Blanco</v>
      </c>
      <c r="AA1090" s="933">
        <f t="shared" si="259"/>
        <v>18</v>
      </c>
      <c r="AB1090" s="1349" t="s">
        <v>700</v>
      </c>
      <c r="AC1090" s="55">
        <v>220</v>
      </c>
      <c r="AD1090" s="143">
        <v>500</v>
      </c>
    </row>
    <row r="1091" spans="1:30" ht="12.75" customHeight="1" thickBot="1" x14ac:dyDescent="0.25">
      <c r="A1091" s="237">
        <v>1091</v>
      </c>
      <c r="B1091" s="5885"/>
      <c r="H1091" s="1422" t="s">
        <v>1244</v>
      </c>
      <c r="I1091" s="518">
        <f>Tablas!G439</f>
        <v>0</v>
      </c>
      <c r="J1091" s="727" t="s">
        <v>1459</v>
      </c>
      <c r="O1091" s="75" t="s">
        <v>1704</v>
      </c>
      <c r="P1091" s="1398"/>
      <c r="Z1091" s="597" t="str">
        <f t="shared" si="258"/>
        <v>Byakko: La bestia definitiva</v>
      </c>
      <c r="AA1091" s="933">
        <f t="shared" si="259"/>
        <v>48</v>
      </c>
      <c r="AB1091" s="1349" t="s">
        <v>701</v>
      </c>
      <c r="AC1091" s="55">
        <v>140</v>
      </c>
      <c r="AD1091" s="143">
        <v>200</v>
      </c>
    </row>
    <row r="1092" spans="1:30" ht="12.75" customHeight="1" thickBot="1" x14ac:dyDescent="0.25">
      <c r="A1092" s="237">
        <v>1092</v>
      </c>
      <c r="B1092" s="5885"/>
      <c r="N1092"/>
      <c r="O1092" s="592"/>
      <c r="Z1092" s="597" t="str">
        <f t="shared" si="258"/>
        <v>Byakko: La garra del rey de las bestias</v>
      </c>
      <c r="AA1092" s="933">
        <f t="shared" si="259"/>
        <v>33</v>
      </c>
      <c r="AB1092" s="1349" t="s">
        <v>702</v>
      </c>
      <c r="AC1092" s="55">
        <v>180</v>
      </c>
      <c r="AD1092" s="143">
        <v>200</v>
      </c>
    </row>
    <row r="1093" spans="1:30" ht="12.75" customHeight="1" x14ac:dyDescent="0.2">
      <c r="A1093" s="237">
        <v>1093</v>
      </c>
      <c r="B1093" s="5885"/>
      <c r="C1093" s="5768" t="s">
        <v>80</v>
      </c>
      <c r="D1093" s="5769"/>
      <c r="E1093" s="5769"/>
      <c r="F1093" s="5769"/>
      <c r="G1093" s="5769"/>
      <c r="H1093" s="5769"/>
      <c r="I1093" s="5769"/>
      <c r="J1093" s="5770"/>
      <c r="K1093" s="5784" t="s">
        <v>7147</v>
      </c>
      <c r="M1093" s="2998" t="s">
        <v>7148</v>
      </c>
      <c r="N1093" s="2999"/>
      <c r="O1093" s="2999"/>
      <c r="P1093" s="2999"/>
      <c r="Q1093" s="2999"/>
      <c r="R1093" s="2999"/>
      <c r="S1093" s="2999"/>
      <c r="T1093" s="2999"/>
      <c r="U1093" s="2999"/>
      <c r="V1093" s="2999"/>
      <c r="W1093" s="3000"/>
      <c r="Z1093" s="597" t="str">
        <f t="shared" si="258"/>
        <v>Byakko: Protección</v>
      </c>
      <c r="AA1093" s="933">
        <f t="shared" si="259"/>
        <v>35</v>
      </c>
      <c r="AB1093" s="1349" t="s">
        <v>703</v>
      </c>
      <c r="AC1093" s="55">
        <v>140</v>
      </c>
      <c r="AD1093" s="143">
        <v>120</v>
      </c>
    </row>
    <row r="1094" spans="1:30" ht="12.75" customHeight="1" thickBot="1" x14ac:dyDescent="0.25">
      <c r="A1094" s="237">
        <v>1094</v>
      </c>
      <c r="B1094" s="5885"/>
      <c r="C1094" s="6073" t="s">
        <v>7149</v>
      </c>
      <c r="D1094" s="6074"/>
      <c r="E1094" s="6074"/>
      <c r="F1094" s="6074"/>
      <c r="G1094" s="6074"/>
      <c r="H1094" s="6074"/>
      <c r="I1094" s="6074"/>
      <c r="J1094" s="6075"/>
      <c r="K1094" s="5784"/>
      <c r="M1094" s="700" t="s">
        <v>1703</v>
      </c>
      <c r="N1094" s="1176" t="s">
        <v>1704</v>
      </c>
      <c r="O1094" s="807" t="s">
        <v>1710</v>
      </c>
      <c r="P1094" s="1176" t="s">
        <v>1711</v>
      </c>
      <c r="Q1094" s="1176" t="s">
        <v>1614</v>
      </c>
      <c r="R1094" s="1176" t="s">
        <v>1610</v>
      </c>
      <c r="S1094" s="1176" t="s">
        <v>1708</v>
      </c>
      <c r="T1094" s="1176" t="s">
        <v>1607</v>
      </c>
      <c r="U1094" s="1176" t="s">
        <v>1713</v>
      </c>
      <c r="V1094" s="1176" t="s">
        <v>1715</v>
      </c>
      <c r="W1094" s="1177" t="s">
        <v>1717</v>
      </c>
      <c r="Z1094" s="597" t="str">
        <f t="shared" si="258"/>
        <v>Byakko: Señor del oeste</v>
      </c>
      <c r="AA1094" s="933">
        <f t="shared" si="259"/>
        <v>34</v>
      </c>
      <c r="AB1094" s="1349" t="s">
        <v>704</v>
      </c>
      <c r="AC1094" s="55">
        <v>200</v>
      </c>
      <c r="AD1094" s="143">
        <v>240</v>
      </c>
    </row>
    <row r="1095" spans="1:30" ht="12.75" customHeight="1" x14ac:dyDescent="0.2">
      <c r="A1095" s="237">
        <v>1095</v>
      </c>
      <c r="B1095" s="5885"/>
      <c r="C1095" s="273" t="s">
        <v>81</v>
      </c>
      <c r="D1095" s="274" t="s">
        <v>1717</v>
      </c>
      <c r="E1095" s="274" t="s">
        <v>1715</v>
      </c>
      <c r="F1095" s="274" t="s">
        <v>1713</v>
      </c>
      <c r="G1095" s="274" t="s">
        <v>1614</v>
      </c>
      <c r="H1095" s="274" t="s">
        <v>1708</v>
      </c>
      <c r="I1095" s="236" t="s">
        <v>1610</v>
      </c>
      <c r="J1095" s="204"/>
      <c r="K1095" s="794" t="str">
        <f t="shared" ref="K1095:K1108" si="260">D1095&amp;E1095&amp;F1095&amp;G1095&amp;H1095&amp;I1095&amp;J1095</f>
        <v>NigromanciaIlusiónEsenciaFuegoTierraAgua</v>
      </c>
      <c r="M1095" s="701" t="s">
        <v>8510</v>
      </c>
      <c r="N1095" s="699" t="s">
        <v>8510</v>
      </c>
      <c r="O1095" s="699" t="s">
        <v>8510</v>
      </c>
      <c r="P1095" s="699" t="s">
        <v>8510</v>
      </c>
      <c r="Q1095" s="699" t="s">
        <v>8510</v>
      </c>
      <c r="R1095" s="699" t="s">
        <v>8510</v>
      </c>
      <c r="S1095" s="699" t="s">
        <v>8510</v>
      </c>
      <c r="T1095" s="699" t="s">
        <v>8510</v>
      </c>
      <c r="U1095" s="699" t="s">
        <v>8510</v>
      </c>
      <c r="V1095" s="699" t="s">
        <v>8510</v>
      </c>
      <c r="W1095" s="702" t="s">
        <v>8510</v>
      </c>
      <c r="Z1095" s="597" t="str">
        <f t="shared" si="258"/>
        <v>Caronte, Titiritero de Almas</v>
      </c>
      <c r="AA1095" s="933">
        <f t="shared" si="259"/>
        <v>36</v>
      </c>
      <c r="AB1095" s="1349" t="s">
        <v>705</v>
      </c>
      <c r="AC1095" s="55">
        <v>240</v>
      </c>
      <c r="AD1095" s="143">
        <v>400</v>
      </c>
    </row>
    <row r="1096" spans="1:30" ht="12.75" customHeight="1" x14ac:dyDescent="0.2">
      <c r="A1096" s="237">
        <v>1096</v>
      </c>
      <c r="B1096" s="5885"/>
      <c r="C1096" s="275" t="s">
        <v>89</v>
      </c>
      <c r="D1096" s="274" t="s">
        <v>1711</v>
      </c>
      <c r="E1096" s="274" t="s">
        <v>1708</v>
      </c>
      <c r="F1096" s="274" t="s">
        <v>1614</v>
      </c>
      <c r="G1096" s="274" t="s">
        <v>1715</v>
      </c>
      <c r="H1096" s="274"/>
      <c r="I1096" s="236"/>
      <c r="J1096" s="204"/>
      <c r="K1096" s="794" t="str">
        <f t="shared" si="260"/>
        <v>DestrucciónTierraFuegoIlusión</v>
      </c>
      <c r="M1096" s="701" t="s">
        <v>81</v>
      </c>
      <c r="N1096" s="699" t="s">
        <v>81</v>
      </c>
      <c r="O1096" s="699" t="s">
        <v>81</v>
      </c>
      <c r="P1096" s="699" t="s">
        <v>81</v>
      </c>
      <c r="Q1096" s="699" t="s">
        <v>82</v>
      </c>
      <c r="R1096" s="699" t="s">
        <v>89</v>
      </c>
      <c r="S1096" s="699" t="s">
        <v>82</v>
      </c>
      <c r="T1096" s="699" t="s">
        <v>81</v>
      </c>
      <c r="U1096" s="699" t="s">
        <v>89</v>
      </c>
      <c r="V1096" s="699" t="s">
        <v>83</v>
      </c>
      <c r="W1096" s="702" t="s">
        <v>89</v>
      </c>
      <c r="Z1096" s="597" t="str">
        <f t="shared" si="258"/>
        <v>Druaga</v>
      </c>
      <c r="AA1096" s="933">
        <f t="shared" si="259"/>
        <v>25</v>
      </c>
      <c r="AB1096" s="1349" t="s">
        <v>706</v>
      </c>
      <c r="AC1096" s="55">
        <v>260</v>
      </c>
      <c r="AD1096" s="143">
        <v>400</v>
      </c>
    </row>
    <row r="1097" spans="1:30" ht="12.75" customHeight="1" x14ac:dyDescent="0.2">
      <c r="A1097" s="237">
        <v>1097</v>
      </c>
      <c r="B1097" s="5885"/>
      <c r="C1097" s="275" t="s">
        <v>82</v>
      </c>
      <c r="D1097" s="274" t="s">
        <v>1713</v>
      </c>
      <c r="E1097" s="274" t="s">
        <v>1607</v>
      </c>
      <c r="F1097" s="274" t="s">
        <v>1703</v>
      </c>
      <c r="G1097" s="274" t="s">
        <v>1610</v>
      </c>
      <c r="H1097" s="274" t="s">
        <v>1715</v>
      </c>
      <c r="I1097" s="236" t="s">
        <v>1710</v>
      </c>
      <c r="J1097" s="204"/>
      <c r="K1097" s="794" t="str">
        <f t="shared" si="260"/>
        <v>EsenciaAireLuzAguaIlusiónCreación</v>
      </c>
      <c r="M1097" s="701" t="s">
        <v>89</v>
      </c>
      <c r="N1097" s="699" t="s">
        <v>89</v>
      </c>
      <c r="O1097" s="699" t="s">
        <v>89</v>
      </c>
      <c r="P1097" s="699" t="s">
        <v>82</v>
      </c>
      <c r="Q1097" s="699" t="s">
        <v>84</v>
      </c>
      <c r="R1097" s="699" t="s">
        <v>83</v>
      </c>
      <c r="S1097" s="699" t="s">
        <v>86</v>
      </c>
      <c r="T1097" s="699" t="s">
        <v>89</v>
      </c>
      <c r="U1097" s="699" t="s">
        <v>85</v>
      </c>
      <c r="V1097" s="699" t="s">
        <v>85</v>
      </c>
      <c r="W1097" s="702" t="s">
        <v>82</v>
      </c>
      <c r="Z1097" s="597" t="str">
        <f t="shared" si="258"/>
        <v>Druaga: Destructora de demonios</v>
      </c>
      <c r="AA1097" s="933">
        <f t="shared" si="259"/>
        <v>47</v>
      </c>
      <c r="AB1097" s="1349" t="s">
        <v>707</v>
      </c>
      <c r="AC1097" s="55">
        <v>180</v>
      </c>
      <c r="AD1097" s="143">
        <v>200</v>
      </c>
    </row>
    <row r="1098" spans="1:30" ht="12.75" customHeight="1" x14ac:dyDescent="0.2">
      <c r="A1098" s="237">
        <v>1098</v>
      </c>
      <c r="B1098" s="5885"/>
      <c r="C1098" s="275" t="s">
        <v>83</v>
      </c>
      <c r="D1098" s="274" t="s">
        <v>1717</v>
      </c>
      <c r="E1098" s="274" t="s">
        <v>1711</v>
      </c>
      <c r="F1098" s="274" t="s">
        <v>1713</v>
      </c>
      <c r="G1098" s="274" t="s">
        <v>1614</v>
      </c>
      <c r="H1098" s="274" t="s">
        <v>1607</v>
      </c>
      <c r="I1098" s="236" t="s">
        <v>1708</v>
      </c>
      <c r="J1098" s="204"/>
      <c r="K1098" s="794" t="str">
        <f t="shared" si="260"/>
        <v>NigromanciaDestrucciónEsenciaFuegoAireTierra</v>
      </c>
      <c r="M1098" s="701" t="s">
        <v>83</v>
      </c>
      <c r="N1098" s="699" t="s">
        <v>82</v>
      </c>
      <c r="O1098" s="699" t="s">
        <v>83</v>
      </c>
      <c r="P1098" s="699" t="s">
        <v>84</v>
      </c>
      <c r="Q1098" s="699" t="s">
        <v>88</v>
      </c>
      <c r="R1098" s="699" t="s">
        <v>85</v>
      </c>
      <c r="S1098" s="699" t="s">
        <v>87</v>
      </c>
      <c r="T1098" s="699" t="s">
        <v>85</v>
      </c>
      <c r="U1098" s="699" t="s">
        <v>87</v>
      </c>
      <c r="V1098" s="699" t="s">
        <v>86</v>
      </c>
      <c r="W1098" s="702" t="s">
        <v>84</v>
      </c>
      <c r="Z1098" s="597" t="str">
        <f t="shared" si="258"/>
        <v>Druaga: Kali</v>
      </c>
      <c r="AA1098" s="933">
        <f t="shared" si="259"/>
        <v>26</v>
      </c>
      <c r="AB1098" s="1349" t="s">
        <v>708</v>
      </c>
      <c r="AC1098" s="55">
        <v>220</v>
      </c>
      <c r="AD1098" s="143">
        <v>350</v>
      </c>
    </row>
    <row r="1099" spans="1:30" ht="12.75" customHeight="1" x14ac:dyDescent="0.2">
      <c r="A1099" s="237">
        <v>1099</v>
      </c>
      <c r="B1099" s="5885"/>
      <c r="C1099" s="275" t="s">
        <v>84</v>
      </c>
      <c r="D1099" s="274" t="s">
        <v>1710</v>
      </c>
      <c r="E1099" s="274" t="s">
        <v>1703</v>
      </c>
      <c r="F1099" s="274" t="s">
        <v>1713</v>
      </c>
      <c r="G1099" s="274" t="s">
        <v>1708</v>
      </c>
      <c r="H1099" s="274" t="s">
        <v>1610</v>
      </c>
      <c r="I1099" s="236" t="s">
        <v>1607</v>
      </c>
      <c r="J1099" s="204" t="s">
        <v>1715</v>
      </c>
      <c r="K1099" s="794" t="str">
        <f t="shared" si="260"/>
        <v>CreaciónLuzEsenciaTierraAguaAireIlusión</v>
      </c>
      <c r="M1099" s="701" t="s">
        <v>85</v>
      </c>
      <c r="N1099" s="699" t="s">
        <v>83</v>
      </c>
      <c r="O1099" s="699" t="s">
        <v>85</v>
      </c>
      <c r="P1099" s="699" t="s">
        <v>88</v>
      </c>
      <c r="Q1099" s="699" t="s">
        <v>2081</v>
      </c>
      <c r="R1099" s="699" t="s">
        <v>86</v>
      </c>
      <c r="S1099" s="699" t="s">
        <v>2081</v>
      </c>
      <c r="T1099" s="699" t="s">
        <v>86</v>
      </c>
      <c r="U1099" s="699" t="s">
        <v>90</v>
      </c>
      <c r="V1099" s="699" t="s">
        <v>91</v>
      </c>
      <c r="W1099" s="702" t="s">
        <v>88</v>
      </c>
      <c r="Z1099" s="597" t="str">
        <f t="shared" si="258"/>
        <v>Eir, la Primera Valkyria</v>
      </c>
      <c r="AA1099" s="933">
        <f t="shared" si="259"/>
        <v>50</v>
      </c>
      <c r="AB1099" s="1349" t="s">
        <v>709</v>
      </c>
      <c r="AC1099" s="55">
        <v>220</v>
      </c>
      <c r="AD1099" s="143">
        <v>400</v>
      </c>
    </row>
    <row r="1100" spans="1:30" ht="12.75" customHeight="1" x14ac:dyDescent="0.2">
      <c r="A1100" s="237">
        <v>1100</v>
      </c>
      <c r="B1100" s="5885"/>
      <c r="C1100" s="275" t="s">
        <v>85</v>
      </c>
      <c r="D1100" s="274" t="s">
        <v>1711</v>
      </c>
      <c r="E1100" s="274" t="s">
        <v>1614</v>
      </c>
      <c r="F1100" s="274" t="s">
        <v>1708</v>
      </c>
      <c r="G1100" s="274" t="s">
        <v>1717</v>
      </c>
      <c r="H1100" s="274"/>
      <c r="I1100" s="236"/>
      <c r="J1100" s="204"/>
      <c r="K1100" s="794" t="str">
        <f t="shared" si="260"/>
        <v>DestrucciónFuegoTierraNigromancia</v>
      </c>
      <c r="M1100" s="701" t="s">
        <v>86</v>
      </c>
      <c r="N1100" s="699" t="s">
        <v>84</v>
      </c>
      <c r="O1100" s="699" t="s">
        <v>87</v>
      </c>
      <c r="P1100" s="699" t="s">
        <v>90</v>
      </c>
      <c r="Q1100" s="699" t="s">
        <v>8511</v>
      </c>
      <c r="R1100" s="699" t="s">
        <v>87</v>
      </c>
      <c r="S1100" s="699" t="s">
        <v>8511</v>
      </c>
      <c r="T1100" s="699" t="s">
        <v>87</v>
      </c>
      <c r="U1100" s="699" t="s">
        <v>91</v>
      </c>
      <c r="V1100" s="699" t="s">
        <v>2081</v>
      </c>
      <c r="W1100" s="702" t="s">
        <v>90</v>
      </c>
      <c r="Z1100" s="597" t="str">
        <f t="shared" si="258"/>
        <v>Eir: Einjear</v>
      </c>
      <c r="AA1100" s="933">
        <f t="shared" si="259"/>
        <v>37</v>
      </c>
      <c r="AB1100" s="1349" t="s">
        <v>710</v>
      </c>
      <c r="AC1100" s="55">
        <v>280</v>
      </c>
      <c r="AD1100" s="143">
        <v>500</v>
      </c>
    </row>
    <row r="1101" spans="1:30" ht="12.75" customHeight="1" x14ac:dyDescent="0.2">
      <c r="A1101" s="237">
        <v>1101</v>
      </c>
      <c r="B1101" s="5885"/>
      <c r="C1101" s="275" t="s">
        <v>86</v>
      </c>
      <c r="D1101" s="274" t="s">
        <v>1710</v>
      </c>
      <c r="E1101" s="274" t="s">
        <v>1711</v>
      </c>
      <c r="F1101" s="274" t="s">
        <v>1713</v>
      </c>
      <c r="G1101" s="274" t="s">
        <v>1614</v>
      </c>
      <c r="H1101" s="274" t="s">
        <v>1717</v>
      </c>
      <c r="I1101" s="236"/>
      <c r="J1101" s="204"/>
      <c r="K1101" s="794" t="str">
        <f t="shared" si="260"/>
        <v>CreaciónDestrucciónEsenciaFuegoNigromancia</v>
      </c>
      <c r="M1101" s="701" t="s">
        <v>87</v>
      </c>
      <c r="N1101" s="699" t="s">
        <v>85</v>
      </c>
      <c r="O1101" s="699" t="s">
        <v>88</v>
      </c>
      <c r="P1101" s="699" t="s">
        <v>92</v>
      </c>
      <c r="Q1101" s="699" t="s">
        <v>81</v>
      </c>
      <c r="R1101" s="699" t="s">
        <v>90</v>
      </c>
      <c r="S1101" s="699" t="s">
        <v>81</v>
      </c>
      <c r="T1101" s="699" t="s">
        <v>88</v>
      </c>
      <c r="U1101" s="699" t="s">
        <v>8511</v>
      </c>
      <c r="V1101" s="699" t="s">
        <v>8511</v>
      </c>
      <c r="W1101" s="702" t="s">
        <v>91</v>
      </c>
      <c r="Z1101" s="597" t="str">
        <f t="shared" si="258"/>
        <v>Eir: El ojo de la muerte</v>
      </c>
      <c r="AA1101" s="933">
        <f t="shared" si="259"/>
        <v>39</v>
      </c>
      <c r="AB1101" s="1349" t="s">
        <v>711</v>
      </c>
      <c r="AC1101" s="55">
        <v>240</v>
      </c>
      <c r="AD1101" s="143">
        <v>400</v>
      </c>
    </row>
    <row r="1102" spans="1:30" ht="12.75" customHeight="1" x14ac:dyDescent="0.2">
      <c r="A1102" s="237">
        <v>1102</v>
      </c>
      <c r="B1102" s="5885"/>
      <c r="C1102" s="275" t="s">
        <v>87</v>
      </c>
      <c r="D1102" s="274" t="s">
        <v>1711</v>
      </c>
      <c r="E1102" s="274" t="s">
        <v>1704</v>
      </c>
      <c r="F1102" s="274" t="s">
        <v>1614</v>
      </c>
      <c r="G1102" s="274" t="s">
        <v>1717</v>
      </c>
      <c r="H1102" s="274" t="s">
        <v>1715</v>
      </c>
      <c r="I1102" s="236"/>
      <c r="J1102" s="204"/>
      <c r="K1102" s="794" t="str">
        <f t="shared" si="260"/>
        <v>DestrucciónOscuridadFuegoNigromanciaIlusión</v>
      </c>
      <c r="M1102" s="701" t="s">
        <v>91</v>
      </c>
      <c r="N1102" s="699" t="s">
        <v>86</v>
      </c>
      <c r="O1102" s="699" t="s">
        <v>90</v>
      </c>
      <c r="P1102" s="699" t="s">
        <v>93</v>
      </c>
      <c r="Q1102" s="699" t="s">
        <v>89</v>
      </c>
      <c r="R1102" s="699" t="s">
        <v>93</v>
      </c>
      <c r="S1102" s="699" t="s">
        <v>89</v>
      </c>
      <c r="T1102" s="699" t="s">
        <v>91</v>
      </c>
      <c r="U1102" s="699" t="s">
        <v>81</v>
      </c>
      <c r="V1102" s="699" t="s">
        <v>81</v>
      </c>
      <c r="W1102" s="702" t="s">
        <v>2081</v>
      </c>
      <c r="Z1102" s="597" t="str">
        <f t="shared" si="258"/>
        <v>El Vendedor</v>
      </c>
      <c r="AA1102" s="933">
        <f t="shared" si="259"/>
        <v>38</v>
      </c>
      <c r="AB1102" s="1349" t="s">
        <v>712</v>
      </c>
      <c r="AC1102" s="55">
        <v>280</v>
      </c>
      <c r="AD1102" s="143">
        <v>500</v>
      </c>
    </row>
    <row r="1103" spans="1:30" ht="12.75" customHeight="1" x14ac:dyDescent="0.2">
      <c r="A1103" s="237">
        <v>1103</v>
      </c>
      <c r="B1103" s="5885"/>
      <c r="C1103" s="275" t="s">
        <v>88</v>
      </c>
      <c r="D1103" s="274" t="s">
        <v>1703</v>
      </c>
      <c r="E1103" s="274" t="s">
        <v>1713</v>
      </c>
      <c r="F1103" s="274" t="s">
        <v>1715</v>
      </c>
      <c r="G1103" s="274" t="s">
        <v>1708</v>
      </c>
      <c r="H1103" s="274" t="s">
        <v>1610</v>
      </c>
      <c r="I1103" s="236"/>
      <c r="J1103" s="204"/>
      <c r="K1103" s="794" t="str">
        <f t="shared" si="260"/>
        <v>LuzEsenciaIlusiónTierraAgua</v>
      </c>
      <c r="M1103" s="701" t="s">
        <v>92</v>
      </c>
      <c r="N1103" s="699" t="s">
        <v>88</v>
      </c>
      <c r="O1103" s="699" t="s">
        <v>92</v>
      </c>
      <c r="P1103" s="699" t="s">
        <v>8511</v>
      </c>
      <c r="Q1103" s="699" t="s">
        <v>83</v>
      </c>
      <c r="R1103" s="699" t="s">
        <v>8511</v>
      </c>
      <c r="S1103" s="699" t="s">
        <v>83</v>
      </c>
      <c r="T1103" s="699" t="s">
        <v>2081</v>
      </c>
      <c r="U1103" s="699" t="s">
        <v>82</v>
      </c>
      <c r="V1103" s="699" t="s">
        <v>89</v>
      </c>
      <c r="W1103" s="702" t="s">
        <v>93</v>
      </c>
      <c r="Z1103" s="597" t="str">
        <f t="shared" si="258"/>
        <v>Enamon</v>
      </c>
      <c r="AA1103" s="933">
        <f t="shared" si="259"/>
        <v>19</v>
      </c>
      <c r="AB1103" s="1349" t="s">
        <v>713</v>
      </c>
      <c r="AC1103" s="55">
        <v>280</v>
      </c>
      <c r="AD1103" s="143">
        <v>400</v>
      </c>
    </row>
    <row r="1104" spans="1:30" ht="12.75" customHeight="1" x14ac:dyDescent="0.2">
      <c r="A1104" s="237">
        <v>1104</v>
      </c>
      <c r="B1104" s="5885"/>
      <c r="C1104" s="275" t="s">
        <v>90</v>
      </c>
      <c r="D1104" s="274" t="s">
        <v>1703</v>
      </c>
      <c r="E1104" s="274" t="s">
        <v>1715</v>
      </c>
      <c r="F1104" s="274" t="s">
        <v>1614</v>
      </c>
      <c r="G1104" s="274" t="s">
        <v>1607</v>
      </c>
      <c r="H1104" s="274" t="s">
        <v>1708</v>
      </c>
      <c r="I1104" s="236"/>
      <c r="J1104" s="204"/>
      <c r="K1104" s="794" t="str">
        <f t="shared" si="260"/>
        <v>LuzIlusiónFuegoAireTierra</v>
      </c>
      <c r="M1104" s="701" t="s">
        <v>8511</v>
      </c>
      <c r="N1104" s="699" t="s">
        <v>90</v>
      </c>
      <c r="O1104" s="699" t="s">
        <v>8511</v>
      </c>
      <c r="P1104" s="699" t="s">
        <v>89</v>
      </c>
      <c r="Q1104" s="699" t="s">
        <v>85</v>
      </c>
      <c r="R1104" s="699" t="s">
        <v>81</v>
      </c>
      <c r="S1104" s="699" t="s">
        <v>84</v>
      </c>
      <c r="T1104" s="699" t="s">
        <v>93</v>
      </c>
      <c r="U1104" s="699" t="s">
        <v>83</v>
      </c>
      <c r="V1104" s="699" t="s">
        <v>82</v>
      </c>
      <c r="W1104" s="702" t="s">
        <v>8511</v>
      </c>
      <c r="Z1104" s="597" t="str">
        <f t="shared" si="258"/>
        <v>Ethelthryth, Señora de los Nombres</v>
      </c>
      <c r="AA1104" s="933">
        <f t="shared" si="259"/>
        <v>20</v>
      </c>
      <c r="AB1104" s="1349" t="s">
        <v>714</v>
      </c>
      <c r="AC1104" s="55">
        <v>240</v>
      </c>
      <c r="AD1104" s="143">
        <v>350</v>
      </c>
    </row>
    <row r="1105" spans="1:30" ht="12.75" customHeight="1" x14ac:dyDescent="0.2">
      <c r="A1105" s="237">
        <v>1105</v>
      </c>
      <c r="B1105" s="5885"/>
      <c r="C1105" s="275" t="s">
        <v>91</v>
      </c>
      <c r="D1105" s="274" t="s">
        <v>1710</v>
      </c>
      <c r="E1105" s="274" t="s">
        <v>1711</v>
      </c>
      <c r="F1105" s="274" t="s">
        <v>1610</v>
      </c>
      <c r="G1105" s="274" t="s">
        <v>1708</v>
      </c>
      <c r="H1105" s="274" t="s">
        <v>1614</v>
      </c>
      <c r="I1105" s="236"/>
      <c r="J1105" s="204"/>
      <c r="K1105" s="794" t="str">
        <f t="shared" si="260"/>
        <v>CreaciónDestrucciónAguaTierraFuego</v>
      </c>
      <c r="M1105" s="701" t="s">
        <v>82</v>
      </c>
      <c r="N1105" s="699" t="s">
        <v>91</v>
      </c>
      <c r="O1105" s="699" t="s">
        <v>82</v>
      </c>
      <c r="P1105" s="699" t="s">
        <v>83</v>
      </c>
      <c r="Q1105" s="699" t="s">
        <v>86</v>
      </c>
      <c r="R1105" s="699" t="s">
        <v>82</v>
      </c>
      <c r="S1105" s="699" t="s">
        <v>85</v>
      </c>
      <c r="T1105" s="699" t="s">
        <v>8511</v>
      </c>
      <c r="U1105" s="699" t="s">
        <v>84</v>
      </c>
      <c r="V1105" s="699" t="s">
        <v>84</v>
      </c>
      <c r="W1105" s="702" t="s">
        <v>81</v>
      </c>
      <c r="Z1105" s="597" t="str">
        <f t="shared" si="258"/>
        <v>Ethelthryth: In Nomine</v>
      </c>
      <c r="AA1105" s="933">
        <f t="shared" si="259"/>
        <v>21</v>
      </c>
      <c r="AB1105" s="1349" t="s">
        <v>715</v>
      </c>
      <c r="AC1105" s="55">
        <v>320</v>
      </c>
      <c r="AD1105" s="143">
        <v>450</v>
      </c>
    </row>
    <row r="1106" spans="1:30" ht="12.75" customHeight="1" x14ac:dyDescent="0.2">
      <c r="A1106" s="237">
        <v>1106</v>
      </c>
      <c r="B1106" s="5885"/>
      <c r="C1106" s="275" t="s">
        <v>92</v>
      </c>
      <c r="D1106" s="274" t="s">
        <v>1717</v>
      </c>
      <c r="E1106" s="274" t="s">
        <v>1610</v>
      </c>
      <c r="F1106" s="274" t="s">
        <v>1708</v>
      </c>
      <c r="G1106" s="274" t="s">
        <v>1614</v>
      </c>
      <c r="H1106" s="274" t="s">
        <v>1607</v>
      </c>
      <c r="I1106" s="236" t="s">
        <v>1713</v>
      </c>
      <c r="J1106" s="204" t="s">
        <v>1715</v>
      </c>
      <c r="K1106" s="794" t="str">
        <f t="shared" si="260"/>
        <v>NigromanciaAguaTierraFuegoAireEsenciaIlusión</v>
      </c>
      <c r="M1106" s="701" t="s">
        <v>84</v>
      </c>
      <c r="N1106" s="699" t="s">
        <v>92</v>
      </c>
      <c r="O1106" s="699" t="s">
        <v>84</v>
      </c>
      <c r="P1106" s="699" t="s">
        <v>85</v>
      </c>
      <c r="Q1106" s="699" t="s">
        <v>87</v>
      </c>
      <c r="R1106" s="699" t="s">
        <v>84</v>
      </c>
      <c r="S1106" s="699" t="s">
        <v>88</v>
      </c>
      <c r="T1106" s="699" t="s">
        <v>82</v>
      </c>
      <c r="U1106" s="699" t="s">
        <v>86</v>
      </c>
      <c r="V1106" s="699" t="s">
        <v>87</v>
      </c>
      <c r="W1106" s="702" t="s">
        <v>83</v>
      </c>
      <c r="Z1106" s="597" t="str">
        <f t="shared" si="258"/>
        <v>Ethelthryth: Ordinare</v>
      </c>
      <c r="AA1106" s="933">
        <f t="shared" si="259"/>
        <v>14</v>
      </c>
      <c r="AB1106" s="1349" t="s">
        <v>716</v>
      </c>
      <c r="AC1106" s="55">
        <v>280</v>
      </c>
      <c r="AD1106" s="143">
        <v>400</v>
      </c>
    </row>
    <row r="1107" spans="1:30" ht="12.75" customHeight="1" x14ac:dyDescent="0.2">
      <c r="A1107" s="237">
        <v>1107</v>
      </c>
      <c r="B1107" s="5885"/>
      <c r="C1107" s="275" t="s">
        <v>2081</v>
      </c>
      <c r="D1107" s="274" t="s">
        <v>1703</v>
      </c>
      <c r="E1107" s="274" t="s">
        <v>1713</v>
      </c>
      <c r="F1107" s="274" t="s">
        <v>1610</v>
      </c>
      <c r="G1107" s="274" t="s">
        <v>1710</v>
      </c>
      <c r="H1107" s="274" t="s">
        <v>1711</v>
      </c>
      <c r="I1107" s="236"/>
      <c r="J1107" s="204"/>
      <c r="K1107" s="794" t="str">
        <f t="shared" si="260"/>
        <v>LuzEsenciaAguaCreaciónDestrucción</v>
      </c>
      <c r="M1107" s="701" t="s">
        <v>88</v>
      </c>
      <c r="N1107" s="699" t="s">
        <v>2081</v>
      </c>
      <c r="O1107" s="699" t="s">
        <v>86</v>
      </c>
      <c r="P1107" s="699" t="s">
        <v>86</v>
      </c>
      <c r="Q1107" s="699" t="s">
        <v>90</v>
      </c>
      <c r="R1107" s="699" t="s">
        <v>88</v>
      </c>
      <c r="S1107" s="699" t="s">
        <v>90</v>
      </c>
      <c r="T1107" s="699" t="s">
        <v>83</v>
      </c>
      <c r="U1107" s="699" t="s">
        <v>88</v>
      </c>
      <c r="V1107" s="699" t="s">
        <v>88</v>
      </c>
      <c r="W1107" s="702" t="s">
        <v>85</v>
      </c>
      <c r="Z1107" s="597" t="str">
        <f t="shared" si="258"/>
        <v>Forseti, Señor del Equilibrio</v>
      </c>
      <c r="AA1107" s="933">
        <f t="shared" si="259"/>
        <v>16</v>
      </c>
      <c r="AB1107" s="1349" t="s">
        <v>717</v>
      </c>
      <c r="AC1107" s="55">
        <v>200</v>
      </c>
      <c r="AD1107" s="143">
        <v>240</v>
      </c>
    </row>
    <row r="1108" spans="1:30" ht="12.75" customHeight="1" thickBot="1" x14ac:dyDescent="0.25">
      <c r="A1108" s="237">
        <v>1108</v>
      </c>
      <c r="B1108" s="5885"/>
      <c r="C1108" s="276" t="s">
        <v>93</v>
      </c>
      <c r="D1108" s="277" t="s">
        <v>1703</v>
      </c>
      <c r="E1108" s="277" t="s">
        <v>1710</v>
      </c>
      <c r="F1108" s="277" t="s">
        <v>1708</v>
      </c>
      <c r="G1108" s="277" t="s">
        <v>1614</v>
      </c>
      <c r="H1108" s="277" t="s">
        <v>1713</v>
      </c>
      <c r="I1108" s="238" t="s">
        <v>1715</v>
      </c>
      <c r="J1108" s="206"/>
      <c r="K1108" s="795" t="str">
        <f t="shared" si="260"/>
        <v>LuzCreaciónTierraFuegoEsenciaIlusión</v>
      </c>
      <c r="M1108" s="701" t="s">
        <v>90</v>
      </c>
      <c r="N1108" s="699" t="s">
        <v>93</v>
      </c>
      <c r="O1108" s="699" t="s">
        <v>91</v>
      </c>
      <c r="P1108" s="699" t="s">
        <v>87</v>
      </c>
      <c r="Q1108" s="699" t="s">
        <v>91</v>
      </c>
      <c r="R1108" s="699" t="s">
        <v>91</v>
      </c>
      <c r="S1108" s="699" t="s">
        <v>91</v>
      </c>
      <c r="T1108" s="699" t="s">
        <v>84</v>
      </c>
      <c r="U1108" s="699" t="s">
        <v>92</v>
      </c>
      <c r="V1108" s="699" t="s">
        <v>90</v>
      </c>
      <c r="W1108" s="702" t="s">
        <v>86</v>
      </c>
      <c r="Z1108" s="597" t="str">
        <f t="shared" si="258"/>
        <v>Forseti: Equilibirum</v>
      </c>
      <c r="AA1108" s="933">
        <f t="shared" si="259"/>
        <v>15</v>
      </c>
      <c r="AB1108" s="1349" t="s">
        <v>718</v>
      </c>
      <c r="AC1108" s="55">
        <v>380</v>
      </c>
      <c r="AD1108" s="143">
        <v>800</v>
      </c>
    </row>
    <row r="1109" spans="1:30" ht="12.75" customHeight="1" x14ac:dyDescent="0.2">
      <c r="A1109" s="237">
        <v>1109</v>
      </c>
      <c r="B1109" s="5885"/>
      <c r="H1109"/>
      <c r="I1109" s="592"/>
      <c r="M1109" s="701" t="s">
        <v>2081</v>
      </c>
      <c r="N1109" s="699" t="s">
        <v>8511</v>
      </c>
      <c r="O1109" s="699" t="s">
        <v>2081</v>
      </c>
      <c r="P1109" s="699" t="s">
        <v>91</v>
      </c>
      <c r="Q1109" s="699" t="s">
        <v>92</v>
      </c>
      <c r="R1109" s="699" t="s">
        <v>92</v>
      </c>
      <c r="S1109" s="699" t="s">
        <v>92</v>
      </c>
      <c r="T1109" s="699" t="s">
        <v>90</v>
      </c>
      <c r="U1109" s="699" t="s">
        <v>2081</v>
      </c>
      <c r="V1109" s="699" t="s">
        <v>92</v>
      </c>
      <c r="W1109" s="702" t="s">
        <v>87</v>
      </c>
      <c r="Z1109" s="597" t="str">
        <f t="shared" si="258"/>
        <v>Forseti: Equilibirum mundi</v>
      </c>
      <c r="AA1109" s="933">
        <f t="shared" si="259"/>
        <v>68</v>
      </c>
      <c r="AB1109" s="1349" t="s">
        <v>719</v>
      </c>
      <c r="AC1109" s="55">
        <v>240</v>
      </c>
      <c r="AD1109" s="143">
        <v>350</v>
      </c>
    </row>
    <row r="1110" spans="1:30" ht="12.75" customHeight="1" thickBot="1" x14ac:dyDescent="0.25">
      <c r="A1110" s="237">
        <v>1110</v>
      </c>
      <c r="B1110" s="5885"/>
      <c r="M1110" s="1179" t="s">
        <v>93</v>
      </c>
      <c r="N1110" s="1180" t="s">
        <v>87</v>
      </c>
      <c r="O1110" s="1180" t="s">
        <v>93</v>
      </c>
      <c r="P1110" s="1180" t="s">
        <v>2081</v>
      </c>
      <c r="Q1110" s="1180" t="s">
        <v>93</v>
      </c>
      <c r="R1110" s="1180" t="s">
        <v>2236</v>
      </c>
      <c r="S1110" s="1180" t="s">
        <v>93</v>
      </c>
      <c r="T1110" s="1180" t="s">
        <v>92</v>
      </c>
      <c r="U1110" s="1180" t="s">
        <v>93</v>
      </c>
      <c r="V1110" s="1180" t="s">
        <v>93</v>
      </c>
      <c r="W1110" s="1181" t="s">
        <v>92</v>
      </c>
      <c r="Z1110" s="597" t="str">
        <f t="shared" si="258"/>
        <v>Galgaliel, Ángel de los Dones</v>
      </c>
      <c r="AA1110" s="933">
        <f t="shared" si="259"/>
        <v>67</v>
      </c>
      <c r="AB1110" s="1349" t="s">
        <v>720</v>
      </c>
      <c r="AC1110" s="55">
        <v>240</v>
      </c>
      <c r="AD1110" s="143">
        <v>400</v>
      </c>
    </row>
    <row r="1111" spans="1:30" ht="12.75" customHeight="1" x14ac:dyDescent="0.2">
      <c r="A1111" s="237">
        <v>1111</v>
      </c>
      <c r="B1111" s="5885"/>
      <c r="Z1111" s="597" t="str">
        <f t="shared" si="258"/>
        <v>Garuda, Alas de Fuego</v>
      </c>
      <c r="AA1111" s="933">
        <f t="shared" si="259"/>
        <v>10</v>
      </c>
      <c r="AB1111" s="1349" t="s">
        <v>721</v>
      </c>
      <c r="AC1111" s="55">
        <v>340</v>
      </c>
      <c r="AD1111" s="143">
        <v>700</v>
      </c>
    </row>
    <row r="1112" spans="1:30" ht="12.75" customHeight="1" x14ac:dyDescent="0.2">
      <c r="A1112" s="237">
        <v>1112</v>
      </c>
      <c r="B1112" s="5885"/>
      <c r="M1112" s="698"/>
      <c r="N1112" s="698"/>
      <c r="O1112" s="809"/>
      <c r="P1112" s="698"/>
      <c r="Q1112" s="698"/>
      <c r="R1112" s="698"/>
      <c r="S1112" s="698"/>
      <c r="T1112" s="698"/>
      <c r="U1112" s="698"/>
      <c r="V1112" s="698"/>
      <c r="W1112" s="698"/>
      <c r="Z1112" s="597" t="str">
        <f t="shared" si="258"/>
        <v>Genbu, la Tortuga Negra</v>
      </c>
      <c r="AA1112" s="933">
        <f t="shared" si="259"/>
        <v>49</v>
      </c>
      <c r="AB1112" s="1349" t="s">
        <v>722</v>
      </c>
      <c r="AC1112" s="55">
        <v>280</v>
      </c>
      <c r="AD1112" s="143">
        <v>500</v>
      </c>
    </row>
    <row r="1113" spans="1:30" ht="12.75" customHeight="1" x14ac:dyDescent="0.2">
      <c r="A1113" s="237">
        <v>1113</v>
      </c>
      <c r="B1113" s="5885"/>
      <c r="O1113" s="592"/>
      <c r="Z1113" s="597" t="str">
        <f t="shared" si="258"/>
        <v>Genbu: Amo de las entrañas de la tierra</v>
      </c>
      <c r="AA1113" s="933">
        <f t="shared" si="259"/>
        <v>40</v>
      </c>
      <c r="AB1113" s="1349" t="s">
        <v>723</v>
      </c>
      <c r="AC1113" s="55">
        <v>200</v>
      </c>
      <c r="AD1113" s="143">
        <v>350</v>
      </c>
    </row>
    <row r="1114" spans="1:30" ht="12.75" customHeight="1" x14ac:dyDescent="0.2">
      <c r="A1114" s="237">
        <v>1114</v>
      </c>
      <c r="B1114" s="5885"/>
      <c r="Z1114" s="597" t="str">
        <f t="shared" si="258"/>
        <v>Genbu: Clarividencia</v>
      </c>
      <c r="AA1114" s="933">
        <f t="shared" si="259"/>
        <v>41</v>
      </c>
      <c r="AB1114" s="1349" t="s">
        <v>724</v>
      </c>
      <c r="AC1114" s="55">
        <v>360</v>
      </c>
      <c r="AD1114" s="143">
        <v>650</v>
      </c>
    </row>
    <row r="1115" spans="1:30" ht="12.75" customHeight="1" x14ac:dyDescent="0.2">
      <c r="A1115" s="237">
        <v>1115</v>
      </c>
      <c r="B1115" s="5885"/>
      <c r="Z1115" s="597" t="str">
        <f t="shared" si="258"/>
        <v>Genbu: El escudo definitivo</v>
      </c>
      <c r="AA1115" s="933">
        <f t="shared" si="259"/>
        <v>22</v>
      </c>
      <c r="AB1115" s="1349" t="s">
        <v>725</v>
      </c>
      <c r="AC1115" s="55">
        <v>320</v>
      </c>
      <c r="AD1115" s="143">
        <v>600</v>
      </c>
    </row>
    <row r="1116" spans="1:30" ht="12.75" customHeight="1" thickBot="1" x14ac:dyDescent="0.25">
      <c r="A1116" s="237">
        <v>1116</v>
      </c>
      <c r="B1116" s="5885"/>
      <c r="H1116"/>
      <c r="I1116" s="592"/>
      <c r="N1116"/>
      <c r="O1116" s="592"/>
      <c r="Z1116" s="597" t="str">
        <f t="shared" si="258"/>
        <v>Genbu: Señor del norte</v>
      </c>
      <c r="AA1116" s="933">
        <f t="shared" si="259"/>
        <v>23</v>
      </c>
      <c r="AB1116" s="1349" t="s">
        <v>726</v>
      </c>
      <c r="AC1116" s="55">
        <v>280</v>
      </c>
      <c r="AD1116" s="143">
        <v>500</v>
      </c>
    </row>
    <row r="1117" spans="1:30" ht="12.75" customHeight="1" thickBot="1" x14ac:dyDescent="0.25">
      <c r="A1117" s="237">
        <v>1117</v>
      </c>
      <c r="B1117" s="5885"/>
      <c r="C1117" s="5898" t="s">
        <v>30</v>
      </c>
      <c r="D1117" s="5898"/>
      <c r="E1117" s="5898"/>
      <c r="F1117" s="5898"/>
      <c r="G1117" s="5898"/>
      <c r="H1117" s="5898"/>
      <c r="I1117" s="5898"/>
      <c r="J1117" s="5898"/>
      <c r="K1117" s="5898"/>
      <c r="L1117" s="5898"/>
      <c r="M1117" s="5898"/>
      <c r="N1117" s="5898"/>
      <c r="O1117" s="5898"/>
      <c r="P1117" s="5898"/>
      <c r="Q1117" s="5898"/>
      <c r="R1117" s="5898"/>
      <c r="S1117" s="5898"/>
      <c r="T1117" s="5898"/>
      <c r="U1117" s="5898"/>
      <c r="V1117" s="5898"/>
      <c r="W1117" s="5898"/>
      <c r="Z1117" s="597" t="str">
        <f t="shared" si="258"/>
        <v>Hermod, el Mensajero de los Dioses</v>
      </c>
      <c r="AA1117" s="933">
        <f t="shared" si="259"/>
        <v>24</v>
      </c>
      <c r="AB1117" s="1349" t="s">
        <v>727</v>
      </c>
      <c r="AC1117" s="55">
        <v>340</v>
      </c>
      <c r="AD1117" s="143">
        <v>700</v>
      </c>
    </row>
    <row r="1118" spans="1:30" ht="12.75" customHeight="1" x14ac:dyDescent="0.2">
      <c r="A1118" s="237">
        <v>1118</v>
      </c>
      <c r="B1118" s="5885"/>
      <c r="C1118" s="5898"/>
      <c r="D1118" s="5898"/>
      <c r="E1118" s="5898"/>
      <c r="F1118" s="5898"/>
      <c r="G1118" s="5898"/>
      <c r="H1118" s="5898"/>
      <c r="I1118" s="5898"/>
      <c r="J1118" s="5898"/>
      <c r="K1118" s="5898"/>
      <c r="L1118" s="5898"/>
      <c r="M1118" s="5898"/>
      <c r="N1118" s="5898"/>
      <c r="O1118" s="5898"/>
      <c r="P1118" s="5898"/>
      <c r="Q1118" s="5898"/>
      <c r="R1118" s="5898"/>
      <c r="S1118" s="5898"/>
      <c r="T1118" s="5898"/>
      <c r="U1118" s="5898"/>
      <c r="V1118" s="5898"/>
      <c r="W1118" s="5898"/>
      <c r="Z1118" s="597" t="str">
        <f t="shared" ref="Z1118:Z1149" si="261">VLOOKUP(A33,$AA$1086:$AB$1156,2,0)</f>
        <v>Huginn y Muninn, Ojos de Cuervo</v>
      </c>
      <c r="AA1118" s="933">
        <f t="shared" ref="AA1118:AA1149" si="262">COUNTIF($AB$1086:$AB$1156,"&lt;="&amp;AB1118)</f>
        <v>11</v>
      </c>
      <c r="AB1118" s="1349" t="s">
        <v>728</v>
      </c>
      <c r="AC1118" s="55">
        <v>320</v>
      </c>
      <c r="AD1118" s="143">
        <v>550</v>
      </c>
    </row>
    <row r="1119" spans="1:30" ht="12.75" customHeight="1" thickBot="1" x14ac:dyDescent="0.25">
      <c r="A1119" s="237">
        <v>1119</v>
      </c>
      <c r="B1119" s="5885"/>
      <c r="C1119" s="5771" t="s">
        <v>31</v>
      </c>
      <c r="D1119" s="5771"/>
      <c r="E1119" s="209" t="s">
        <v>1493</v>
      </c>
      <c r="F1119" s="209" t="s">
        <v>1846</v>
      </c>
      <c r="G1119" s="270" t="s">
        <v>1553</v>
      </c>
      <c r="H1119" s="271"/>
      <c r="I1119" s="623"/>
      <c r="J1119" s="5908" t="s">
        <v>1210</v>
      </c>
      <c r="K1119" s="5908"/>
      <c r="L1119" s="5908"/>
      <c r="M1119" s="5908"/>
      <c r="N1119" s="5908"/>
      <c r="O1119" s="5908"/>
      <c r="P1119" s="5908"/>
      <c r="Q1119" s="5908"/>
      <c r="R1119" s="5780" t="s">
        <v>1001</v>
      </c>
      <c r="S1119" s="5780"/>
      <c r="T1119" s="5780"/>
      <c r="U1119" s="5780"/>
      <c r="V1119" s="5780"/>
      <c r="W1119" s="5780"/>
      <c r="Z1119" s="597" t="str">
        <f t="shared" si="261"/>
        <v>Huginn y Muninn: Ojo del mundo</v>
      </c>
      <c r="AA1119" s="933">
        <f t="shared" si="262"/>
        <v>12</v>
      </c>
      <c r="AB1119" s="1349" t="s">
        <v>729</v>
      </c>
      <c r="AC1119" s="55">
        <v>280</v>
      </c>
      <c r="AD1119" s="143">
        <v>400</v>
      </c>
    </row>
    <row r="1120" spans="1:30" ht="12.75" customHeight="1" x14ac:dyDescent="0.2">
      <c r="A1120" s="237">
        <v>1120</v>
      </c>
      <c r="B1120" s="5885"/>
      <c r="C1120" s="264"/>
      <c r="D1120" s="88" t="s">
        <v>32</v>
      </c>
      <c r="E1120" s="85">
        <v>30</v>
      </c>
      <c r="F1120" s="85">
        <v>40</v>
      </c>
      <c r="G1120" s="44" t="s">
        <v>33</v>
      </c>
      <c r="H1120" s="23"/>
      <c r="I1120" s="55"/>
      <c r="J1120" s="15" t="s">
        <v>34</v>
      </c>
      <c r="K1120" s="23"/>
      <c r="L1120" s="23"/>
      <c r="M1120" s="23"/>
      <c r="N1120" s="23"/>
      <c r="O1120" s="55"/>
      <c r="P1120" s="23"/>
      <c r="Q1120" s="23"/>
      <c r="R1120" s="44" t="s">
        <v>35</v>
      </c>
      <c r="S1120" s="23"/>
      <c r="T1120" s="23"/>
      <c r="U1120" s="23"/>
      <c r="V1120" s="39"/>
      <c r="W1120" s="39"/>
      <c r="Z1120" s="597" t="str">
        <f t="shared" si="261"/>
        <v>Huginn y Muninn: Visión verdadera</v>
      </c>
      <c r="AA1120" s="933">
        <f t="shared" si="262"/>
        <v>13</v>
      </c>
      <c r="AB1120" s="1349" t="s">
        <v>730</v>
      </c>
      <c r="AC1120" s="55">
        <v>340</v>
      </c>
      <c r="AD1120" s="143">
        <v>700</v>
      </c>
    </row>
    <row r="1121" spans="1:30" ht="12.75" customHeight="1" x14ac:dyDescent="0.2">
      <c r="A1121" s="237">
        <v>1121</v>
      </c>
      <c r="B1121" s="5885"/>
      <c r="C1121" s="38"/>
      <c r="D1121" s="88" t="s">
        <v>36</v>
      </c>
      <c r="E1121" s="85">
        <v>30</v>
      </c>
      <c r="F1121" s="85">
        <v>40</v>
      </c>
      <c r="G1121" s="86" t="s">
        <v>37</v>
      </c>
      <c r="H1121" s="23"/>
      <c r="I1121" s="55"/>
      <c r="J1121" s="15" t="s">
        <v>38</v>
      </c>
      <c r="K1121" s="23"/>
      <c r="L1121" s="23"/>
      <c r="M1121" s="23"/>
      <c r="N1121" s="23"/>
      <c r="O1121" s="55"/>
      <c r="P1121" s="23"/>
      <c r="Q1121" s="23"/>
      <c r="R1121" s="15" t="s">
        <v>39</v>
      </c>
      <c r="S1121" s="23"/>
      <c r="T1121" s="23"/>
      <c r="U1121" s="23"/>
      <c r="V1121" s="23"/>
      <c r="W1121" s="39"/>
      <c r="Z1121" s="597" t="str">
        <f t="shared" si="261"/>
        <v>Idea, Musa de la Locura</v>
      </c>
      <c r="AA1121" s="933">
        <f t="shared" si="262"/>
        <v>2</v>
      </c>
      <c r="AB1121" s="1349" t="s">
        <v>731</v>
      </c>
      <c r="AC1121" s="55">
        <v>280</v>
      </c>
      <c r="AD1121" s="143">
        <v>500</v>
      </c>
    </row>
    <row r="1122" spans="1:30" ht="12.75" customHeight="1" x14ac:dyDescent="0.2">
      <c r="A1122" s="237">
        <v>1122</v>
      </c>
      <c r="B1122" s="5885"/>
      <c r="C1122" s="38"/>
      <c r="D1122" s="88" t="s">
        <v>40</v>
      </c>
      <c r="E1122" s="85">
        <v>20</v>
      </c>
      <c r="F1122" s="85">
        <v>30</v>
      </c>
      <c r="G1122" s="86" t="s">
        <v>41</v>
      </c>
      <c r="H1122" s="23"/>
      <c r="I1122" s="55"/>
      <c r="J1122" s="15" t="s">
        <v>42</v>
      </c>
      <c r="K1122" s="23"/>
      <c r="L1122" s="23"/>
      <c r="M1122" s="23"/>
      <c r="N1122" s="23"/>
      <c r="O1122" s="55"/>
      <c r="P1122" s="23"/>
      <c r="Q1122" s="23"/>
      <c r="R1122" s="15" t="s">
        <v>43</v>
      </c>
      <c r="S1122" s="23"/>
      <c r="T1122" s="23"/>
      <c r="U1122" s="23"/>
      <c r="V1122" s="23"/>
      <c r="W1122" s="39"/>
      <c r="Z1122" s="597" t="str">
        <f t="shared" si="261"/>
        <v>Idún, Señora de la Juventud Eterna</v>
      </c>
      <c r="AA1122" s="933">
        <f t="shared" si="262"/>
        <v>3</v>
      </c>
      <c r="AB1122" s="1349" t="s">
        <v>732</v>
      </c>
      <c r="AC1122" s="55">
        <v>240</v>
      </c>
      <c r="AD1122" s="143">
        <v>350</v>
      </c>
    </row>
    <row r="1123" spans="1:30" ht="12.75" customHeight="1" x14ac:dyDescent="0.2">
      <c r="A1123" s="237">
        <v>1123</v>
      </c>
      <c r="B1123" s="5885"/>
      <c r="C1123" s="38"/>
      <c r="D1123" s="88" t="s">
        <v>44</v>
      </c>
      <c r="E1123" s="85">
        <v>30</v>
      </c>
      <c r="F1123" s="85">
        <v>40</v>
      </c>
      <c r="G1123" s="86" t="s">
        <v>45</v>
      </c>
      <c r="H1123" s="23"/>
      <c r="I1123" s="55"/>
      <c r="J1123" s="15" t="s">
        <v>46</v>
      </c>
      <c r="K1123" s="23"/>
      <c r="L1123" s="23"/>
      <c r="M1123" s="23"/>
      <c r="N1123" s="23"/>
      <c r="O1123" s="55"/>
      <c r="P1123" s="23"/>
      <c r="Q1123" s="23"/>
      <c r="R1123" s="15" t="s">
        <v>47</v>
      </c>
      <c r="S1123" s="23"/>
      <c r="T1123" s="23"/>
      <c r="U1123" s="23"/>
      <c r="V1123" s="23"/>
      <c r="W1123" s="39"/>
      <c r="Z1123" s="597" t="str">
        <f t="shared" si="261"/>
        <v>Idún: Envejecer</v>
      </c>
      <c r="AA1123" s="933">
        <f t="shared" si="262"/>
        <v>4</v>
      </c>
      <c r="AB1123" s="1349" t="s">
        <v>733</v>
      </c>
      <c r="AC1123" s="55">
        <v>380</v>
      </c>
      <c r="AD1123" s="143">
        <v>800</v>
      </c>
    </row>
    <row r="1124" spans="1:30" ht="12.75" customHeight="1" x14ac:dyDescent="0.2">
      <c r="A1124" s="237">
        <v>1124</v>
      </c>
      <c r="B1124" s="5885"/>
      <c r="C1124" s="38"/>
      <c r="D1124" s="88" t="s">
        <v>48</v>
      </c>
      <c r="E1124" s="85">
        <v>30</v>
      </c>
      <c r="F1124" s="85">
        <v>40</v>
      </c>
      <c r="G1124" s="86" t="s">
        <v>49</v>
      </c>
      <c r="H1124" s="23"/>
      <c r="I1124" s="55"/>
      <c r="J1124" s="15" t="s">
        <v>50</v>
      </c>
      <c r="K1124" s="23"/>
      <c r="L1124" s="23"/>
      <c r="M1124" s="23"/>
      <c r="N1124" s="23"/>
      <c r="O1124" s="55"/>
      <c r="P1124" s="23"/>
      <c r="Q1124" s="23"/>
      <c r="R1124" s="15" t="s">
        <v>51</v>
      </c>
      <c r="S1124" s="23"/>
      <c r="T1124" s="23"/>
      <c r="U1124" s="23"/>
      <c r="V1124" s="23"/>
      <c r="W1124" s="39"/>
      <c r="Z1124" s="597" t="str">
        <f t="shared" si="261"/>
        <v>Idún: Rejuvenecer</v>
      </c>
      <c r="AA1124" s="933">
        <f t="shared" si="262"/>
        <v>44</v>
      </c>
      <c r="AB1124" s="1349" t="s">
        <v>734</v>
      </c>
      <c r="AC1124" s="55">
        <v>280</v>
      </c>
      <c r="AD1124" s="143">
        <v>500</v>
      </c>
    </row>
    <row r="1125" spans="1:30" ht="12.75" customHeight="1" x14ac:dyDescent="0.2">
      <c r="A1125" s="237">
        <v>1125</v>
      </c>
      <c r="B1125" s="5885"/>
      <c r="C1125" s="38"/>
      <c r="D1125" s="88" t="s">
        <v>2466</v>
      </c>
      <c r="E1125" s="85">
        <v>30</v>
      </c>
      <c r="F1125" s="85">
        <v>40</v>
      </c>
      <c r="G1125" s="86" t="s">
        <v>52</v>
      </c>
      <c r="H1125" s="23"/>
      <c r="I1125" s="55"/>
      <c r="J1125" s="15" t="s">
        <v>53</v>
      </c>
      <c r="K1125" s="23"/>
      <c r="L1125" s="23"/>
      <c r="M1125" s="23"/>
      <c r="N1125" s="23"/>
      <c r="O1125" s="55"/>
      <c r="P1125" s="23"/>
      <c r="Q1125" s="23"/>
      <c r="R1125" s="15" t="s">
        <v>54</v>
      </c>
      <c r="S1125" s="23"/>
      <c r="T1125" s="23"/>
      <c r="U1125" s="23"/>
      <c r="V1125" s="23"/>
      <c r="W1125" s="39"/>
      <c r="Z1125" s="597" t="str">
        <f t="shared" si="261"/>
        <v>Kagutsuchi: Hi no kodomo</v>
      </c>
      <c r="AA1125" s="933">
        <f t="shared" si="262"/>
        <v>45</v>
      </c>
      <c r="AB1125" s="1349" t="s">
        <v>735</v>
      </c>
      <c r="AC1125" s="55">
        <v>240</v>
      </c>
      <c r="AD1125" s="143">
        <v>350</v>
      </c>
    </row>
    <row r="1126" spans="1:30" ht="12.75" customHeight="1" x14ac:dyDescent="0.2">
      <c r="A1126" s="237">
        <v>1126</v>
      </c>
      <c r="B1126" s="5885"/>
      <c r="C1126" s="38"/>
      <c r="D1126" s="88" t="s">
        <v>55</v>
      </c>
      <c r="E1126" s="85">
        <v>30</v>
      </c>
      <c r="F1126" s="85">
        <v>40</v>
      </c>
      <c r="G1126" s="86" t="s">
        <v>56</v>
      </c>
      <c r="H1126" s="23"/>
      <c r="I1126" s="55"/>
      <c r="J1126" s="15" t="s">
        <v>57</v>
      </c>
      <c r="K1126" s="23"/>
      <c r="L1126" s="23"/>
      <c r="M1126" s="23"/>
      <c r="N1126" s="23"/>
      <c r="O1126" s="55"/>
      <c r="P1126" s="23"/>
      <c r="Q1126" s="23"/>
      <c r="R1126" s="15" t="s">
        <v>58</v>
      </c>
      <c r="S1126" s="23"/>
      <c r="T1126" s="23"/>
      <c r="U1126" s="23"/>
      <c r="V1126" s="23"/>
      <c r="W1126" s="39"/>
      <c r="Z1126" s="597" t="str">
        <f t="shared" si="261"/>
        <v>Kagutsuchi: Hi no tsubasa</v>
      </c>
      <c r="AA1126" s="933">
        <f t="shared" si="262"/>
        <v>46</v>
      </c>
      <c r="AB1126" s="1349" t="s">
        <v>736</v>
      </c>
      <c r="AC1126" s="55">
        <v>380</v>
      </c>
      <c r="AD1126" s="143">
        <v>800</v>
      </c>
    </row>
    <row r="1127" spans="1:30" ht="12.75" customHeight="1" x14ac:dyDescent="0.2">
      <c r="A1127" s="237">
        <v>1127</v>
      </c>
      <c r="B1127" s="5885"/>
      <c r="C1127" s="38"/>
      <c r="D1127" s="88" t="s">
        <v>59</v>
      </c>
      <c r="E1127" s="85">
        <v>10</v>
      </c>
      <c r="F1127" s="85">
        <v>10</v>
      </c>
      <c r="G1127" s="86" t="s">
        <v>60</v>
      </c>
      <c r="H1127" s="23"/>
      <c r="I1127" s="55"/>
      <c r="J1127" s="23" t="str">
        <f t="shared" ref="J1127:J1133" si="263">""</f>
        <v/>
      </c>
      <c r="K1127" s="23"/>
      <c r="L1127" s="23"/>
      <c r="M1127" s="23"/>
      <c r="N1127" s="23"/>
      <c r="O1127" s="55"/>
      <c r="P1127" s="23"/>
      <c r="Q1127" s="23"/>
      <c r="R1127" s="86" t="s">
        <v>61</v>
      </c>
      <c r="S1127" s="23"/>
      <c r="T1127" s="23"/>
      <c r="U1127" s="23"/>
      <c r="V1127" s="23"/>
      <c r="W1127" s="39"/>
      <c r="Z1127" s="597" t="str">
        <f t="shared" si="261"/>
        <v>Kirin, el Centro</v>
      </c>
      <c r="AA1127" s="933">
        <f t="shared" si="262"/>
        <v>69</v>
      </c>
      <c r="AB1127" s="1349" t="s">
        <v>737</v>
      </c>
      <c r="AC1127" s="55">
        <v>280</v>
      </c>
      <c r="AD1127" s="143">
        <v>500</v>
      </c>
    </row>
    <row r="1128" spans="1:30" ht="12.75" customHeight="1" x14ac:dyDescent="0.2">
      <c r="A1128" s="237">
        <v>1128</v>
      </c>
      <c r="B1128" s="5885"/>
      <c r="C1128" s="38"/>
      <c r="D1128" s="88" t="s">
        <v>62</v>
      </c>
      <c r="E1128" s="85">
        <v>10</v>
      </c>
      <c r="F1128" s="85">
        <v>10</v>
      </c>
      <c r="G1128" s="86" t="s">
        <v>63</v>
      </c>
      <c r="H1128" s="23"/>
      <c r="I1128" s="55"/>
      <c r="J1128" s="23" t="str">
        <f t="shared" si="263"/>
        <v/>
      </c>
      <c r="K1128" s="23"/>
      <c r="L1128" s="23"/>
      <c r="M1128" s="23"/>
      <c r="N1128" s="23"/>
      <c r="O1128" s="55"/>
      <c r="P1128" s="23"/>
      <c r="Q1128" s="23"/>
      <c r="R1128" s="86" t="s">
        <v>64</v>
      </c>
      <c r="S1128" s="23"/>
      <c r="T1128" s="23"/>
      <c r="U1128" s="23"/>
      <c r="V1128" s="23"/>
      <c r="W1128" s="39"/>
      <c r="Z1128" s="597" t="str">
        <f t="shared" si="261"/>
        <v>Kirin: Feng Shui</v>
      </c>
      <c r="AA1128" s="933">
        <f t="shared" si="262"/>
        <v>70</v>
      </c>
      <c r="AB1128" s="1349" t="s">
        <v>738</v>
      </c>
      <c r="AC1128" s="55">
        <v>240</v>
      </c>
      <c r="AD1128" s="143">
        <v>350</v>
      </c>
    </row>
    <row r="1129" spans="1:30" ht="12.75" customHeight="1" x14ac:dyDescent="0.2">
      <c r="A1129" s="237">
        <v>1129</v>
      </c>
      <c r="B1129" s="5885"/>
      <c r="C1129" s="38"/>
      <c r="D1129" s="88" t="s">
        <v>65</v>
      </c>
      <c r="E1129" s="85">
        <v>10</v>
      </c>
      <c r="F1129" s="85">
        <v>10</v>
      </c>
      <c r="G1129" s="86" t="s">
        <v>66</v>
      </c>
      <c r="H1129" s="23"/>
      <c r="I1129" s="55"/>
      <c r="J1129" s="23" t="str">
        <f t="shared" si="263"/>
        <v/>
      </c>
      <c r="K1129" s="23"/>
      <c r="L1129" s="23"/>
      <c r="M1129" s="23"/>
      <c r="N1129" s="23"/>
      <c r="O1129" s="55"/>
      <c r="P1129" s="23"/>
      <c r="Q1129" s="23"/>
      <c r="R1129" s="86" t="s">
        <v>67</v>
      </c>
      <c r="S1129" s="23"/>
      <c r="T1129" s="23"/>
      <c r="U1129" s="23"/>
      <c r="V1129" s="23"/>
      <c r="W1129" s="39"/>
      <c r="Z1129" s="597" t="str">
        <f t="shared" si="261"/>
        <v>Leviathan, Señor de los Océanos</v>
      </c>
      <c r="AA1129" s="933">
        <f t="shared" si="262"/>
        <v>71</v>
      </c>
      <c r="AB1129" s="1349" t="s">
        <v>739</v>
      </c>
      <c r="AC1129" s="55">
        <v>380</v>
      </c>
      <c r="AD1129" s="143">
        <v>800</v>
      </c>
    </row>
    <row r="1130" spans="1:30" ht="12.75" customHeight="1" x14ac:dyDescent="0.2">
      <c r="A1130" s="237">
        <v>1130</v>
      </c>
      <c r="B1130" s="5885"/>
      <c r="C1130" s="38"/>
      <c r="D1130" s="88" t="s">
        <v>68</v>
      </c>
      <c r="E1130" s="85">
        <v>10</v>
      </c>
      <c r="F1130" s="85">
        <v>10</v>
      </c>
      <c r="G1130" s="86" t="s">
        <v>69</v>
      </c>
      <c r="H1130" s="23"/>
      <c r="I1130" s="55"/>
      <c r="J1130" s="23" t="str">
        <f t="shared" si="263"/>
        <v/>
      </c>
      <c r="K1130" s="23"/>
      <c r="L1130" s="23"/>
      <c r="M1130" s="23"/>
      <c r="N1130" s="23"/>
      <c r="O1130" s="55"/>
      <c r="P1130" s="23"/>
      <c r="Q1130" s="23"/>
      <c r="R1130" s="86" t="s">
        <v>70</v>
      </c>
      <c r="S1130" s="23"/>
      <c r="T1130" s="23"/>
      <c r="U1130" s="23"/>
      <c r="V1130" s="23"/>
      <c r="W1130" s="39"/>
      <c r="Z1130" s="597" t="str">
        <f t="shared" si="261"/>
        <v>Leviathan: Comunión con el agua</v>
      </c>
      <c r="AA1130" s="933">
        <f t="shared" si="262"/>
        <v>53</v>
      </c>
      <c r="AB1130" s="1349" t="s">
        <v>740</v>
      </c>
      <c r="AC1130" s="55">
        <v>400</v>
      </c>
      <c r="AD1130" s="143">
        <v>800</v>
      </c>
    </row>
    <row r="1131" spans="1:30" ht="12.75" customHeight="1" x14ac:dyDescent="0.2">
      <c r="A1131" s="237">
        <v>1131</v>
      </c>
      <c r="B1131" s="5885"/>
      <c r="C1131" s="38"/>
      <c r="D1131" s="88" t="s">
        <v>71</v>
      </c>
      <c r="E1131" s="85">
        <v>10</v>
      </c>
      <c r="F1131" s="85">
        <v>10</v>
      </c>
      <c r="G1131" s="86" t="s">
        <v>72</v>
      </c>
      <c r="H1131" s="23"/>
      <c r="I1131" s="55"/>
      <c r="J1131" s="23" t="str">
        <f t="shared" si="263"/>
        <v/>
      </c>
      <c r="K1131" s="23"/>
      <c r="L1131" s="23"/>
      <c r="M1131" s="23"/>
      <c r="N1131" s="23"/>
      <c r="O1131" s="55"/>
      <c r="P1131" s="23"/>
      <c r="Q1131" s="23"/>
      <c r="R1131" s="86" t="s">
        <v>73</v>
      </c>
      <c r="S1131" s="23"/>
      <c r="T1131" s="23"/>
      <c r="U1131" s="23"/>
      <c r="V1131" s="23"/>
      <c r="W1131" s="39"/>
      <c r="Z1131" s="597" t="str">
        <f t="shared" si="261"/>
        <v>Leviathan: Señor de las aguas</v>
      </c>
      <c r="AA1131" s="933">
        <f t="shared" si="262"/>
        <v>57</v>
      </c>
      <c r="AB1131" s="1349" t="s">
        <v>741</v>
      </c>
      <c r="AC1131" s="55">
        <v>220</v>
      </c>
      <c r="AD1131" s="143">
        <v>300</v>
      </c>
    </row>
    <row r="1132" spans="1:30" ht="12.75" customHeight="1" x14ac:dyDescent="0.2">
      <c r="A1132" s="237">
        <v>1132</v>
      </c>
      <c r="B1132" s="5885"/>
      <c r="C1132" s="38"/>
      <c r="D1132" s="88" t="s">
        <v>74</v>
      </c>
      <c r="E1132" s="85">
        <v>10</v>
      </c>
      <c r="F1132" s="85">
        <v>10</v>
      </c>
      <c r="G1132" s="86" t="s">
        <v>75</v>
      </c>
      <c r="H1132" s="23"/>
      <c r="I1132" s="55"/>
      <c r="J1132" s="23" t="str">
        <f t="shared" si="263"/>
        <v/>
      </c>
      <c r="K1132" s="23"/>
      <c r="L1132" s="23"/>
      <c r="M1132" s="23"/>
      <c r="N1132" s="23"/>
      <c r="O1132" s="55"/>
      <c r="P1132" s="23"/>
      <c r="Q1132" s="23"/>
      <c r="R1132" s="86" t="s">
        <v>76</v>
      </c>
      <c r="S1132" s="23"/>
      <c r="T1132" s="23"/>
      <c r="U1132" s="23"/>
      <c r="V1132" s="23"/>
      <c r="W1132" s="39"/>
      <c r="Z1132" s="597" t="str">
        <f t="shared" si="261"/>
        <v>Lix Tetrax</v>
      </c>
      <c r="AA1132" s="933">
        <f t="shared" si="262"/>
        <v>55</v>
      </c>
      <c r="AB1132" s="1349" t="s">
        <v>742</v>
      </c>
      <c r="AC1132" s="55">
        <v>280</v>
      </c>
      <c r="AD1132" s="143">
        <v>500</v>
      </c>
    </row>
    <row r="1133" spans="1:30" ht="12.75" customHeight="1" x14ac:dyDescent="0.2">
      <c r="A1133" s="237">
        <v>1133</v>
      </c>
      <c r="B1133" s="5885"/>
      <c r="C1133" s="38"/>
      <c r="D1133" s="88" t="s">
        <v>77</v>
      </c>
      <c r="E1133" s="85">
        <v>10</v>
      </c>
      <c r="F1133" s="85">
        <v>10</v>
      </c>
      <c r="G1133" s="86" t="s">
        <v>78</v>
      </c>
      <c r="H1133" s="23"/>
      <c r="I1133" s="55"/>
      <c r="J1133" s="23" t="str">
        <f t="shared" si="263"/>
        <v/>
      </c>
      <c r="K1133" s="23"/>
      <c r="L1133" s="23"/>
      <c r="M1133" s="23"/>
      <c r="N1133" s="23"/>
      <c r="O1133" s="55"/>
      <c r="P1133" s="23"/>
      <c r="Q1133" s="23"/>
      <c r="R1133" s="86" t="s">
        <v>79</v>
      </c>
      <c r="S1133" s="23"/>
      <c r="T1133" s="23"/>
      <c r="U1133" s="23"/>
      <c r="V1133" s="23"/>
      <c r="W1133" s="39"/>
      <c r="Z1133" s="597" t="str">
        <f t="shared" si="261"/>
        <v>Naaga, Madre de los Venenos</v>
      </c>
      <c r="AA1133" s="933">
        <f t="shared" si="262"/>
        <v>56</v>
      </c>
      <c r="AB1133" s="1349" t="s">
        <v>743</v>
      </c>
      <c r="AC1133" s="55">
        <v>340</v>
      </c>
      <c r="AD1133" s="143">
        <v>660</v>
      </c>
    </row>
    <row r="1134" spans="1:30" ht="12.75" customHeight="1" x14ac:dyDescent="0.2">
      <c r="A1134" s="237">
        <v>1134</v>
      </c>
      <c r="B1134" s="5885"/>
      <c r="C1134" s="38"/>
      <c r="D1134" s="88" t="str">
        <f>IF(Personalización!W64=0,"Patrón mental #1",Personalización!W64)</f>
        <v>Patrón mental #1</v>
      </c>
      <c r="E1134" s="85">
        <f>Personalización!AB64</f>
        <v>0</v>
      </c>
      <c r="F1134" s="85">
        <f>Personalización!AC64</f>
        <v>0</v>
      </c>
      <c r="G1134" s="86">
        <f>Personalización!AD64</f>
        <v>0</v>
      </c>
      <c r="H1134" s="23"/>
      <c r="I1134" s="55"/>
      <c r="J1134" s="15">
        <f>Personalización!Y66</f>
        <v>0</v>
      </c>
      <c r="K1134" s="23"/>
      <c r="L1134" s="23"/>
      <c r="M1134" s="23"/>
      <c r="N1134" s="23"/>
      <c r="O1134" s="55"/>
      <c r="P1134" s="23"/>
      <c r="Q1134" s="23"/>
      <c r="R1134" s="86">
        <f>Personalización!Y65</f>
        <v>0</v>
      </c>
      <c r="S1134" s="23"/>
      <c r="T1134" s="23"/>
      <c r="U1134" s="23"/>
      <c r="V1134" s="23"/>
      <c r="W1134" s="39"/>
      <c r="Z1134" s="597" t="str">
        <f t="shared" si="261"/>
        <v>Pandora, el Castigo Divino</v>
      </c>
      <c r="AA1134" s="933">
        <f t="shared" si="262"/>
        <v>54</v>
      </c>
      <c r="AB1134" s="1349" t="s">
        <v>744</v>
      </c>
      <c r="AC1134" s="55">
        <v>400</v>
      </c>
      <c r="AD1134" s="143">
        <v>880</v>
      </c>
    </row>
    <row r="1135" spans="1:30" ht="12.75" customHeight="1" thickBot="1" x14ac:dyDescent="0.25">
      <c r="A1135" s="237">
        <v>1135</v>
      </c>
      <c r="B1135" s="5885"/>
      <c r="C1135" s="75"/>
      <c r="D1135" s="257" t="str">
        <f>IF(Personalización!W68=0,"Patrón mental #2",Personalización!W68)</f>
        <v>Patrón mental #2</v>
      </c>
      <c r="E1135" s="205">
        <f>Personalización!AB68</f>
        <v>0</v>
      </c>
      <c r="F1135" s="205">
        <f>Personalización!AC68</f>
        <v>0</v>
      </c>
      <c r="G1135" s="250">
        <f>Personalización!AD68</f>
        <v>0</v>
      </c>
      <c r="H1135" s="76"/>
      <c r="I1135" s="638"/>
      <c r="J1135" s="21">
        <f>Personalización!Y70</f>
        <v>0</v>
      </c>
      <c r="K1135" s="76"/>
      <c r="L1135" s="76"/>
      <c r="M1135" s="76"/>
      <c r="N1135" s="76"/>
      <c r="O1135" s="638"/>
      <c r="P1135" s="76"/>
      <c r="Q1135" s="76"/>
      <c r="R1135" s="250">
        <f>Personalización!Y69</f>
        <v>0</v>
      </c>
      <c r="S1135" s="76"/>
      <c r="T1135" s="76"/>
      <c r="U1135" s="76"/>
      <c r="V1135" s="76"/>
      <c r="W1135" s="77"/>
      <c r="Z1135" s="597" t="str">
        <f t="shared" si="261"/>
        <v>Raksasha</v>
      </c>
      <c r="AA1135" s="933">
        <f t="shared" si="262"/>
        <v>27</v>
      </c>
      <c r="AB1135" s="1349" t="s">
        <v>745</v>
      </c>
      <c r="AC1135" s="55">
        <v>400</v>
      </c>
      <c r="AD1135" s="143">
        <v>800</v>
      </c>
    </row>
    <row r="1136" spans="1:30" ht="12.75" customHeight="1" thickBot="1" x14ac:dyDescent="0.25">
      <c r="A1136" s="237">
        <v>1136</v>
      </c>
      <c r="B1136" s="5885"/>
      <c r="H1136"/>
      <c r="I1136" s="592"/>
      <c r="N1136"/>
      <c r="O1136" s="592"/>
      <c r="Z1136" s="597" t="str">
        <f t="shared" si="261"/>
        <v>Rudraskha: Exodus void nova</v>
      </c>
      <c r="AA1136" s="933">
        <f t="shared" si="262"/>
        <v>29</v>
      </c>
      <c r="AB1136" s="1349" t="s">
        <v>746</v>
      </c>
      <c r="AC1136" s="55">
        <v>220</v>
      </c>
      <c r="AD1136" s="143">
        <v>300</v>
      </c>
    </row>
    <row r="1137" spans="1:30" ht="12.75" customHeight="1" thickBot="1" x14ac:dyDescent="0.25">
      <c r="A1137" s="237">
        <v>1137</v>
      </c>
      <c r="B1137" s="5885"/>
      <c r="C1137" s="3228" t="s">
        <v>1789</v>
      </c>
      <c r="D1137" s="3229"/>
      <c r="E1137" s="3229"/>
      <c r="F1137" s="3229"/>
      <c r="G1137" s="3229"/>
      <c r="H1137" s="3229"/>
      <c r="I1137" s="3229"/>
      <c r="J1137" s="3229"/>
      <c r="K1137" s="3229"/>
      <c r="L1137" s="3229"/>
      <c r="M1137" s="3229"/>
      <c r="N1137" s="3302"/>
      <c r="P1137" s="3324" t="s">
        <v>98</v>
      </c>
      <c r="Q1137" s="3324"/>
      <c r="R1137" s="3324"/>
      <c r="S1137" s="3324"/>
      <c r="T1137" s="3324"/>
      <c r="U1137" s="3324"/>
      <c r="V1137" s="3324"/>
      <c r="W1137" s="3324"/>
      <c r="Z1137" s="597" t="str">
        <f t="shared" si="261"/>
        <v>Rudraskha: Void nova</v>
      </c>
      <c r="AA1137" s="933">
        <f t="shared" si="262"/>
        <v>30</v>
      </c>
      <c r="AB1137" s="1349" t="s">
        <v>747</v>
      </c>
      <c r="AC1137" s="55">
        <v>280</v>
      </c>
      <c r="AD1137" s="143">
        <v>500</v>
      </c>
    </row>
    <row r="1138" spans="1:30" ht="12.75" customHeight="1" thickBot="1" x14ac:dyDescent="0.25">
      <c r="A1138" s="237">
        <v>1138</v>
      </c>
      <c r="B1138" s="5885"/>
      <c r="C1138" s="6042"/>
      <c r="D1138" s="6043"/>
      <c r="E1138" s="6043"/>
      <c r="F1138" s="6043"/>
      <c r="G1138" s="6043"/>
      <c r="H1138" s="6043"/>
      <c r="I1138" s="6043"/>
      <c r="J1138" s="6043"/>
      <c r="K1138" s="6043"/>
      <c r="L1138" s="6043"/>
      <c r="M1138" s="6043"/>
      <c r="N1138" s="6044"/>
      <c r="P1138" s="3324"/>
      <c r="Q1138" s="3324"/>
      <c r="R1138" s="3324"/>
      <c r="S1138" s="3324"/>
      <c r="T1138" s="3324"/>
      <c r="U1138" s="3324"/>
      <c r="V1138" s="3324"/>
      <c r="W1138" s="3324"/>
      <c r="Z1138" s="597" t="str">
        <f t="shared" si="261"/>
        <v>Seiryu, el Dragón Celeste</v>
      </c>
      <c r="AA1138" s="933">
        <f t="shared" si="262"/>
        <v>31</v>
      </c>
      <c r="AB1138" s="1349" t="s">
        <v>748</v>
      </c>
      <c r="AC1138" s="55">
        <v>340</v>
      </c>
      <c r="AD1138" s="143">
        <v>660</v>
      </c>
    </row>
    <row r="1139" spans="1:30" ht="12.75" customHeight="1" x14ac:dyDescent="0.2">
      <c r="A1139" s="237">
        <v>1139</v>
      </c>
      <c r="B1139" s="5885"/>
      <c r="C1139" s="513"/>
      <c r="D1139" s="1082" t="s">
        <v>112</v>
      </c>
      <c r="E1139" s="1088" t="s">
        <v>102</v>
      </c>
      <c r="F1139" s="23"/>
      <c r="G1139" s="23"/>
      <c r="H1139" s="23"/>
      <c r="I1139" s="55"/>
      <c r="J1139" s="23"/>
      <c r="K1139" s="23"/>
      <c r="L1139" s="23"/>
      <c r="M1139" s="23"/>
      <c r="N1139" s="614"/>
      <c r="P1139" s="279">
        <f>IF(Q1139="",0,1)</f>
        <v>0</v>
      </c>
      <c r="Q1139" s="29" t="str">
        <f>IF(Metamagia!$F$15+Metamagia!$C$32&gt;1,"Escudos potenciados (2)",IF(Metamagia!$F$15+Metamagia!$C$32&gt;0,"Escudos potenciados (1)",""))</f>
        <v/>
      </c>
      <c r="R1139" s="29"/>
      <c r="S1139" s="29" t="str">
        <f>IF(Metamagia!$F$15+Metamagia!$C$32&gt;1,"Los escudos sobrenaturales triplican sus PVs",IF(Metamagia!$F$15+Metamagia!$C$32&gt;0,"Los escudos sobrenaturales duplican sus PVs",""))</f>
        <v/>
      </c>
      <c r="T1139" s="29"/>
      <c r="U1139" s="54"/>
      <c r="V1139" s="55"/>
      <c r="W1139" s="39"/>
      <c r="Z1139" s="597" t="str">
        <f t="shared" si="261"/>
        <v>Seiryu: La furia de la última tormenta</v>
      </c>
      <c r="AA1139" s="933">
        <f t="shared" si="262"/>
        <v>28</v>
      </c>
      <c r="AB1139" s="1349" t="s">
        <v>749</v>
      </c>
      <c r="AC1139" s="55">
        <v>400</v>
      </c>
      <c r="AD1139" s="143">
        <v>880</v>
      </c>
    </row>
    <row r="1140" spans="1:30" ht="12.75" customHeight="1" x14ac:dyDescent="0.2">
      <c r="A1140" s="237">
        <v>1140</v>
      </c>
      <c r="B1140" s="5885"/>
      <c r="C1140" s="513"/>
      <c r="D1140" s="1082" t="s">
        <v>105</v>
      </c>
      <c r="E1140" s="1088" t="s">
        <v>106</v>
      </c>
      <c r="F1140" s="23"/>
      <c r="G1140" s="23"/>
      <c r="H1140" s="23"/>
      <c r="I1140" s="55"/>
      <c r="J1140" s="23"/>
      <c r="K1140" s="23"/>
      <c r="L1140" s="23"/>
      <c r="M1140" s="23"/>
      <c r="N1140" s="614"/>
      <c r="P1140" s="279">
        <f t="shared" ref="P1140:P1181" si="264">IF(Q1140="",P1139,P1139+1)</f>
        <v>0</v>
      </c>
      <c r="Q1140" s="29" t="str">
        <f>IF(Metamagia!$I$29+Metamagia!$L$24&gt;1,"Precisión mística (2)",IF(Metamagia!$I$29+Metamagia!$L$24&gt;0,"Precisión mística (1)",""))</f>
        <v/>
      </c>
      <c r="R1140" s="29"/>
      <c r="S1140" s="29" t="str">
        <f>IF(Metamagia!$I$29+Metamagia!$L$24&gt;1,"Regla de Preciso en todo conjuro de Ataque",IF(Metamagia!$I$29+Metamagia!$L$24&gt;0,"Regla de Preciso en los conjuros de Ataque sin área",""))</f>
        <v/>
      </c>
      <c r="T1140" s="29"/>
      <c r="U1140" s="23"/>
      <c r="V1140" s="55"/>
      <c r="W1140" s="39"/>
      <c r="Z1140" s="597" t="str">
        <f t="shared" si="261"/>
        <v>Seiryu: Rayo</v>
      </c>
      <c r="AA1140" s="933">
        <f t="shared" si="262"/>
        <v>58</v>
      </c>
      <c r="AB1140" s="1349" t="s">
        <v>750</v>
      </c>
      <c r="AC1140" s="55">
        <v>400</v>
      </c>
      <c r="AD1140" s="143">
        <v>800</v>
      </c>
    </row>
    <row r="1141" spans="1:30" ht="12.75" customHeight="1" x14ac:dyDescent="0.2">
      <c r="A1141" s="237">
        <v>1141</v>
      </c>
      <c r="B1141" s="5885"/>
      <c r="C1141" s="513"/>
      <c r="D1141" s="1082" t="s">
        <v>108</v>
      </c>
      <c r="E1141" s="1088" t="s">
        <v>102</v>
      </c>
      <c r="F1141" s="23"/>
      <c r="G1141" s="23"/>
      <c r="H1141" s="23"/>
      <c r="I1141" s="55"/>
      <c r="J1141" s="23"/>
      <c r="K1141" s="23"/>
      <c r="L1141" s="23"/>
      <c r="M1141" s="23"/>
      <c r="N1141" s="614"/>
      <c r="P1141" s="279">
        <f t="shared" si="264"/>
        <v>0</v>
      </c>
      <c r="Q1141" s="29" t="str">
        <f>IF(Metamagia!$I$14+Metamagia!$O$24&gt;1,"Incremento destructivo (2)",IF(Metamagia!$I$14+Metamagia!$O$24&gt;0,"Incremento destructivo (1)",""))</f>
        <v/>
      </c>
      <c r="R1141" s="29"/>
      <c r="S1141" s="29" t="str">
        <f>IF(Metamagia!$I$14+Metamagia!$O$24&gt;1,"+20 al Daño base por Grado del conjuro",IF(Metamagia!$I$14+Metamagia!$O$24&gt;0,"+10 al Daño base por Grado del conjuro",""))</f>
        <v/>
      </c>
      <c r="T1141" s="29"/>
      <c r="U1141" s="23"/>
      <c r="V1141" s="55"/>
      <c r="W1141" s="39"/>
      <c r="Z1141" s="597" t="str">
        <f t="shared" si="261"/>
        <v>Seiryu: Señor del este</v>
      </c>
      <c r="AA1141" s="933">
        <f t="shared" si="262"/>
        <v>59</v>
      </c>
      <c r="AB1141" s="1349" t="s">
        <v>9001</v>
      </c>
      <c r="AC1141" s="55">
        <v>220</v>
      </c>
      <c r="AD1141" s="143">
        <v>300</v>
      </c>
    </row>
    <row r="1142" spans="1:30" ht="12.75" customHeight="1" x14ac:dyDescent="0.2">
      <c r="A1142" s="237">
        <v>1142</v>
      </c>
      <c r="B1142" s="5885"/>
      <c r="C1142" s="513"/>
      <c r="D1142" s="1082" t="s">
        <v>113</v>
      </c>
      <c r="E1142" s="1088" t="s">
        <v>114</v>
      </c>
      <c r="F1142" s="23"/>
      <c r="G1142" s="23"/>
      <c r="H1142" s="23"/>
      <c r="I1142" s="55"/>
      <c r="J1142" s="23"/>
      <c r="K1142" s="23"/>
      <c r="L1142" s="23"/>
      <c r="M1142" s="23"/>
      <c r="N1142" s="614"/>
      <c r="P1142" s="279">
        <f t="shared" si="264"/>
        <v>0</v>
      </c>
      <c r="Q1142" s="29" t="str">
        <f>IF(Metamagia!$F$24+Metamagia!$L$30&gt;1,"Área potenciada (2)",IF(Metamagia!$F$24+Metamagia!$L$30&gt;0,"Área potenciada (1)",""))</f>
        <v/>
      </c>
      <c r="R1142" s="29"/>
      <c r="S1142" s="29" t="str">
        <f>IF(Metamagia!$F$24+Metamagia!$L$30&gt;1,"El área de los conjuros se dobla",IF(Metamagia!$F$24+Metamagia!$L$30&gt;0,"El área de los conjuros se incrementa un 50%",""))</f>
        <v/>
      </c>
      <c r="T1142" s="29"/>
      <c r="U1142" s="23"/>
      <c r="V1142" s="55"/>
      <c r="W1142" s="39"/>
      <c r="Z1142" s="597" t="str">
        <f t="shared" si="261"/>
        <v>Seiryu: Tormenta</v>
      </c>
      <c r="AA1142" s="933">
        <f t="shared" si="262"/>
        <v>60</v>
      </c>
      <c r="AB1142" s="1349" t="s">
        <v>751</v>
      </c>
      <c r="AC1142" s="55">
        <v>280</v>
      </c>
      <c r="AD1142" s="143">
        <v>500</v>
      </c>
    </row>
    <row r="1143" spans="1:30" ht="12.75" customHeight="1" x14ac:dyDescent="0.2">
      <c r="A1143" s="237">
        <v>1143</v>
      </c>
      <c r="B1143" s="5885"/>
      <c r="C1143" s="513"/>
      <c r="D1143" s="1082" t="s">
        <v>116</v>
      </c>
      <c r="E1143" s="1088" t="s">
        <v>117</v>
      </c>
      <c r="F1143" s="23"/>
      <c r="G1143" s="23"/>
      <c r="H1143" s="23"/>
      <c r="I1143" s="55"/>
      <c r="J1143" s="23"/>
      <c r="K1143" s="23"/>
      <c r="L1143" s="23"/>
      <c r="M1143" s="23"/>
      <c r="N1143" s="614"/>
      <c r="P1143" s="279">
        <f t="shared" si="264"/>
        <v>0</v>
      </c>
      <c r="Q1143" s="29" t="str">
        <f>IF(Metamagia!$C$24+Metamagia!$L$15+Metamagia!$R$19&gt;2,"Eliminar protección (3)",IF(Metamagia!$C$24+Metamagia!$L$15+Metamagia!$R$19&gt;1,"Eliminar protección (2)",IF(Metamagia!$C$24+Metamagia!$L$15+Metamagia!$R$19&gt;0,"Eliminar protección (1)","")))</f>
        <v/>
      </c>
      <c r="R1143" s="29"/>
      <c r="S1143"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3" s="29"/>
      <c r="U1143" s="23"/>
      <c r="V1143" s="55"/>
      <c r="W1143" s="39"/>
      <c r="Z1143" s="597" t="str">
        <f t="shared" si="261"/>
        <v>Suzaku, el Fénix</v>
      </c>
      <c r="AA1143" s="933">
        <f t="shared" si="262"/>
        <v>62</v>
      </c>
      <c r="AB1143" s="1349" t="s">
        <v>752</v>
      </c>
      <c r="AC1143" s="55">
        <v>340</v>
      </c>
      <c r="AD1143" s="143">
        <v>660</v>
      </c>
    </row>
    <row r="1144" spans="1:30" ht="12.75" customHeight="1" x14ac:dyDescent="0.2">
      <c r="A1144" s="237">
        <v>1144</v>
      </c>
      <c r="B1144" s="5885"/>
      <c r="C1144" s="513"/>
      <c r="D1144" s="1082" t="s">
        <v>107</v>
      </c>
      <c r="E1144" s="1088" t="s">
        <v>102</v>
      </c>
      <c r="F1144" s="23"/>
      <c r="G1144" s="23"/>
      <c r="H1144" s="23"/>
      <c r="I1144" s="55"/>
      <c r="J1144" s="23"/>
      <c r="K1144" s="23"/>
      <c r="L1144" s="23"/>
      <c r="M1144" s="23"/>
      <c r="N1144" s="614"/>
      <c r="P1144" s="279">
        <f t="shared" si="264"/>
        <v>0</v>
      </c>
      <c r="Q1144" s="29" t="str">
        <f>IF(Metamagia!$C$39+Metamagia!$I$19+Metamagia!$F$30&gt;2,"Erudición defensiva (3)",IF(Metamagia!$C$39+Metamagia!$I$19+Metamagia!$F$30&gt;1,"Erudición defensiva (2)",IF(Metamagia!$C$39+Metamagia!$I$19+Metamagia!$F$30&gt;0,"Erudición defensiva (1)","")))</f>
        <v/>
      </c>
      <c r="R1144" s="29"/>
      <c r="S1144"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4" s="29"/>
      <c r="U1144" s="23"/>
      <c r="V1144" s="55"/>
      <c r="W1144" s="39"/>
      <c r="Z1144" s="597" t="str">
        <f t="shared" si="261"/>
        <v>Suzaku: Buena fortuna</v>
      </c>
      <c r="AA1144" s="933">
        <f t="shared" si="262"/>
        <v>61</v>
      </c>
      <c r="AB1144" s="1349" t="s">
        <v>753</v>
      </c>
      <c r="AC1144" s="55">
        <v>400</v>
      </c>
      <c r="AD1144" s="143">
        <v>880</v>
      </c>
    </row>
    <row r="1145" spans="1:30" ht="12.75" customHeight="1" x14ac:dyDescent="0.2">
      <c r="A1145" s="237">
        <v>1145</v>
      </c>
      <c r="B1145" s="5885"/>
      <c r="C1145" s="513"/>
      <c r="D1145" s="1082" t="s">
        <v>1703</v>
      </c>
      <c r="E1145" s="1088" t="s">
        <v>102</v>
      </c>
      <c r="F1145" s="23"/>
      <c r="G1145" s="23"/>
      <c r="H1145" s="23"/>
      <c r="I1145" s="55"/>
      <c r="J1145" s="23"/>
      <c r="K1145" s="23"/>
      <c r="L1145" s="23"/>
      <c r="M1145" s="23"/>
      <c r="N1145" s="614"/>
      <c r="P1145" s="279">
        <f t="shared" si="264"/>
        <v>0</v>
      </c>
      <c r="Q1145" s="29" t="str">
        <f>IF(Metamagia!$I$24+Metamagia!$I$34+Metamagia!$R$24&gt;2,"Erudición ofensiva (3)",IF(Metamagia!$I$24+Metamagia!$I$34+Metamagia!$R$24&gt;1,"Erudición ofensiva (2)",IF(Metamagia!$I$24+Metamagia!$I$34+Metamagia!$R$24&gt;0,"Erudición ofensiva (1)","")))</f>
        <v/>
      </c>
      <c r="R1145" s="29"/>
      <c r="S1145"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5" s="29"/>
      <c r="U1145" s="23"/>
      <c r="V1145" s="55"/>
      <c r="W1145" s="39"/>
      <c r="Z1145" s="597" t="str">
        <f t="shared" si="261"/>
        <v>Suzaku: Calamidad</v>
      </c>
      <c r="AA1145" s="933">
        <f t="shared" si="262"/>
        <v>5</v>
      </c>
      <c r="AB1145" s="1349" t="s">
        <v>754</v>
      </c>
      <c r="AC1145" s="55">
        <v>400</v>
      </c>
      <c r="AD1145" s="143">
        <v>800</v>
      </c>
    </row>
    <row r="1146" spans="1:30" ht="12.75" customHeight="1" x14ac:dyDescent="0.2">
      <c r="A1146" s="237">
        <v>1146</v>
      </c>
      <c r="B1146" s="5885"/>
      <c r="C1146" s="513"/>
      <c r="D1146" s="1082" t="s">
        <v>103</v>
      </c>
      <c r="E1146" s="1088" t="s">
        <v>104</v>
      </c>
      <c r="F1146" s="23"/>
      <c r="G1146" s="23"/>
      <c r="H1146" s="23"/>
      <c r="I1146" s="55"/>
      <c r="J1146" s="23"/>
      <c r="K1146" s="23"/>
      <c r="L1146" s="23"/>
      <c r="M1146" s="23"/>
      <c r="N1146" s="614"/>
      <c r="P1146" s="279">
        <f t="shared" si="264"/>
        <v>0</v>
      </c>
      <c r="Q1146" s="15" t="str">
        <f>IF(Metamagia!$F$37=1,"Metamagister: Doble daño","")</f>
        <v/>
      </c>
      <c r="R1146" s="15"/>
      <c r="S1146" s="15" t="str">
        <f>IF(Metamagia!$F$37=1,"El Daño Base de los conjuros ofensivos se dobla","")</f>
        <v/>
      </c>
      <c r="T1146" s="15"/>
      <c r="U1146" s="15"/>
      <c r="V1146" s="236"/>
      <c r="W1146" s="9"/>
      <c r="Z1146" s="597" t="str">
        <f t="shared" si="261"/>
        <v>Suzaku: El elegido del sol</v>
      </c>
      <c r="AA1146" s="933">
        <f t="shared" si="262"/>
        <v>8</v>
      </c>
      <c r="AB1146" s="1349" t="s">
        <v>755</v>
      </c>
      <c r="AC1146" s="55">
        <v>220</v>
      </c>
      <c r="AD1146" s="143">
        <v>300</v>
      </c>
    </row>
    <row r="1147" spans="1:30" ht="12.75" customHeight="1" x14ac:dyDescent="0.2">
      <c r="A1147" s="237">
        <v>1147</v>
      </c>
      <c r="B1147" s="5885"/>
      <c r="C1147" s="513"/>
      <c r="D1147" s="1082" t="s">
        <v>111</v>
      </c>
      <c r="E1147" s="1088" t="s">
        <v>100</v>
      </c>
      <c r="F1147" s="23"/>
      <c r="G1147" s="23"/>
      <c r="H1147" s="23"/>
      <c r="I1147" s="55"/>
      <c r="J1147" s="23"/>
      <c r="K1147" s="23"/>
      <c r="L1147" s="23"/>
      <c r="M1147" s="23"/>
      <c r="N1147" s="614"/>
      <c r="P1147" s="279">
        <f t="shared" si="264"/>
        <v>0</v>
      </c>
      <c r="Q1147" s="15" t="str">
        <f>IF(Metamagia!$X$54=1,"Magia combinada","")</f>
        <v/>
      </c>
      <c r="R1147" s="23"/>
      <c r="S1147" s="15" t="str">
        <f>IF(Metamagia!$X$54=1,"Permite a varios hechiceros combinarse para lanzar un conjuro. Ver","")</f>
        <v/>
      </c>
      <c r="T1147" s="23"/>
      <c r="U1147" s="23"/>
      <c r="V1147" s="55"/>
      <c r="W1147" s="39"/>
      <c r="Z1147" s="597" t="str">
        <f t="shared" si="261"/>
        <v>Suzaku: Señor del sur</v>
      </c>
      <c r="AA1147" s="933">
        <f t="shared" si="262"/>
        <v>7</v>
      </c>
      <c r="AB1147" s="1349" t="s">
        <v>756</v>
      </c>
      <c r="AC1147" s="55">
        <v>280</v>
      </c>
      <c r="AD1147" s="143">
        <v>500</v>
      </c>
    </row>
    <row r="1148" spans="1:30" ht="12.75" customHeight="1" x14ac:dyDescent="0.2">
      <c r="A1148" s="237">
        <v>1148</v>
      </c>
      <c r="B1148" s="5885"/>
      <c r="C1148" s="513"/>
      <c r="D1148" s="1082" t="s">
        <v>109</v>
      </c>
      <c r="E1148" s="1088" t="s">
        <v>110</v>
      </c>
      <c r="F1148" s="23"/>
      <c r="G1148" s="23"/>
      <c r="H1148" s="23"/>
      <c r="I1148" s="55"/>
      <c r="J1148" s="23"/>
      <c r="K1148" s="23"/>
      <c r="L1148" s="23"/>
      <c r="M1148" s="23"/>
      <c r="N1148" s="614"/>
      <c r="P1148" s="279">
        <f t="shared" si="264"/>
        <v>0</v>
      </c>
      <c r="Q1148" s="15" t="str">
        <f>IF(Metamagia!$AD$54=1,"Efectos persistentes","")</f>
        <v/>
      </c>
      <c r="R1148" s="23"/>
      <c r="S1148" s="15" t="str">
        <f>IF(Metamagia!$AD$54=1,"El afectado por un conjuro Anímico no puede repetir RM hasta 10 asaltos","")</f>
        <v/>
      </c>
      <c r="T1148" s="23"/>
      <c r="U1148" s="23"/>
      <c r="V1148" s="55"/>
      <c r="W1148" s="39"/>
      <c r="Z1148" s="597" t="str">
        <f t="shared" si="261"/>
        <v>Tawil At-U'mr, Señor de las Puertas</v>
      </c>
      <c r="AA1148" s="933">
        <f t="shared" si="262"/>
        <v>9</v>
      </c>
      <c r="AB1148" s="1349" t="s">
        <v>757</v>
      </c>
      <c r="AC1148" s="55">
        <v>340</v>
      </c>
      <c r="AD1148" s="143">
        <v>660</v>
      </c>
    </row>
    <row r="1149" spans="1:30" ht="12.75" customHeight="1" x14ac:dyDescent="0.2">
      <c r="A1149" s="237">
        <v>1149</v>
      </c>
      <c r="B1149" s="5885"/>
      <c r="C1149" s="513"/>
      <c r="D1149" s="1082" t="s">
        <v>99</v>
      </c>
      <c r="E1149" s="1088" t="s">
        <v>100</v>
      </c>
      <c r="F1149" s="23"/>
      <c r="G1149" s="23"/>
      <c r="H1149" s="23"/>
      <c r="I1149" s="55"/>
      <c r="J1149" s="23"/>
      <c r="K1149" s="23"/>
      <c r="L1149" s="23"/>
      <c r="M1149" s="23"/>
      <c r="N1149" s="614"/>
      <c r="P1149" s="279">
        <f t="shared" si="264"/>
        <v>0</v>
      </c>
      <c r="Q1149" s="15" t="str">
        <f>IF(Metamagia!$AA$64+Metamagia!$AA$59+Metamagia!$AA$54+Metamagia!$AD$48+Metamagia!$AG$46+Metamagia!$U$54+Metamagia!$R$54&gt;0,"Proyección mágica determinada ("&amp;Metamagia!$AA$64+Metamagia!$AA$59+Metamagia!$AA$54+Metamagia!$AD$48+Metamagia!$AG$46+Metamagia!$U$54+Metamagia!$R$54&amp;")","")</f>
        <v/>
      </c>
      <c r="R1149" s="23"/>
      <c r="S1149" s="15" t="str">
        <f>IF(Metamagia!$AA$64+Metamagia!$AA$59+Metamagia!$AA$54+Metamagia!$AD$48+Metamagia!$AG$46+Metamagia!$U$54+Metamagia!$R$54&gt;0,"Proy. Mágica determinada con consumo de Zeón. Ver tabla de Proyección","")</f>
        <v/>
      </c>
      <c r="T1149" s="23"/>
      <c r="U1149" s="23"/>
      <c r="V1149" s="55"/>
      <c r="W1149" s="39"/>
      <c r="Z1149" s="597" t="str">
        <f t="shared" si="261"/>
        <v>Tawil At-U'mr: Compresión del tiempo</v>
      </c>
      <c r="AA1149" s="933">
        <f t="shared" si="262"/>
        <v>6</v>
      </c>
      <c r="AB1149" s="1349" t="s">
        <v>758</v>
      </c>
      <c r="AC1149" s="55">
        <v>400</v>
      </c>
      <c r="AD1149" s="143">
        <v>880</v>
      </c>
    </row>
    <row r="1150" spans="1:30" ht="12.75" customHeight="1" x14ac:dyDescent="0.2">
      <c r="A1150" s="237">
        <v>1150</v>
      </c>
      <c r="B1150" s="5885"/>
      <c r="C1150" s="513"/>
      <c r="D1150" s="1082" t="s">
        <v>101</v>
      </c>
      <c r="E1150" s="1088" t="s">
        <v>102</v>
      </c>
      <c r="F1150" s="23"/>
      <c r="G1150" s="23"/>
      <c r="H1150" s="23"/>
      <c r="I1150" s="55"/>
      <c r="J1150" s="23"/>
      <c r="K1150" s="23"/>
      <c r="L1150" s="23"/>
      <c r="M1150" s="23"/>
      <c r="N1150" s="614"/>
      <c r="P1150" s="279">
        <f t="shared" si="264"/>
        <v>0</v>
      </c>
      <c r="Q1150" s="29" t="str">
        <f>IF(Metamagia!$AD$63+Metamagia!$AG$54&gt;1,"Explotación de la energía física (2)",IF(Metamagia!$AD$63+Metamagia!$AG$54&gt;0,"Explotación de la energía física (1)",""))</f>
        <v/>
      </c>
      <c r="R1150" s="29"/>
      <c r="S1150" s="29" t="str">
        <f>IF(Metamagia!$AD$63+Metamagia!$AG$54&gt;1,"+40 a ACT por Cansancio consumido",IF(Metamagia!$AD$63+Metamagia!$AG$54&gt;0,"+25 a ACT por Cansancio consumido",""))</f>
        <v/>
      </c>
      <c r="T1150" s="29"/>
      <c r="U1150" s="23"/>
      <c r="V1150" s="55"/>
      <c r="W1150" s="39"/>
      <c r="Z1150" s="597" t="str">
        <f t="shared" ref="Z1150:Z1156" si="265">VLOOKUP(A65,$AA$1086:$AB$1156,2,0)</f>
        <v>Tawil At-U'mr: La puerta</v>
      </c>
      <c r="AA1150" s="933">
        <f t="shared" ref="AA1150:AA1156" si="266">COUNTIF($AB$1086:$AB$1156,"&lt;="&amp;AB1150)</f>
        <v>42</v>
      </c>
      <c r="AB1150" s="1349" t="s">
        <v>759</v>
      </c>
      <c r="AC1150" s="55">
        <v>440</v>
      </c>
      <c r="AD1150" s="143">
        <v>800</v>
      </c>
    </row>
    <row r="1151" spans="1:30" ht="12.75" customHeight="1" thickBot="1" x14ac:dyDescent="0.25">
      <c r="A1151" s="237">
        <v>1151</v>
      </c>
      <c r="B1151" s="5885"/>
      <c r="C1151" s="513"/>
      <c r="D1151" s="1082" t="s">
        <v>115</v>
      </c>
      <c r="E1151" s="1088" t="s">
        <v>102</v>
      </c>
      <c r="F1151" s="23"/>
      <c r="G1151" s="23"/>
      <c r="H1151" s="23"/>
      <c r="I1151" s="55"/>
      <c r="J1151" s="23"/>
      <c r="K1151" s="23"/>
      <c r="L1151" s="23"/>
      <c r="M1151" s="23"/>
      <c r="N1151" s="614"/>
      <c r="P1151" s="279">
        <f t="shared" si="264"/>
        <v>0</v>
      </c>
      <c r="Q1151" s="15" t="str">
        <f>IF(Metamagia!$R$59+Metamagia!$X$63+Metamagia!$X$48&gt;2,"Regeneración zeónica avanzada (3)",IF(Metamagia!$R$59+Metamagia!$X$63+Metamagia!$X$48&gt;1,"Regeneración zeónica avanzada (2)",IF(Metamagia!$R$59+Metamagia!$X$63+Metamagia!$X$48&gt;0,"Regeneración zeónica avanzada (1)","")))</f>
        <v/>
      </c>
      <c r="R1151" s="23"/>
      <c r="S1151"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1" s="23"/>
      <c r="U1151" s="23"/>
      <c r="V1151" s="55"/>
      <c r="W1151" s="39"/>
      <c r="Z1151" s="597" t="str">
        <f t="shared" si="265"/>
        <v>Tawil At-U'mr: Más allá del tiempo y el espacio</v>
      </c>
      <c r="AA1151" s="933">
        <f t="shared" si="266"/>
        <v>43</v>
      </c>
      <c r="AB1151" s="1349" t="s">
        <v>760</v>
      </c>
      <c r="AC1151" s="55">
        <v>440</v>
      </c>
      <c r="AD1151" s="143">
        <v>1000</v>
      </c>
    </row>
    <row r="1152" spans="1:30" ht="12.75" customHeight="1" thickBot="1" x14ac:dyDescent="0.25">
      <c r="A1152" s="237">
        <v>1152</v>
      </c>
      <c r="B1152" s="5885"/>
      <c r="C1152" s="1792"/>
      <c r="D1152" s="1793" t="s">
        <v>8930</v>
      </c>
      <c r="E1152" s="1794"/>
      <c r="F1152" s="1795"/>
      <c r="G1152" s="1794"/>
      <c r="H1152" s="1794"/>
      <c r="I1152" s="1794"/>
      <c r="J1152" s="1794"/>
      <c r="K1152" s="1794"/>
      <c r="L1152" s="1794"/>
      <c r="M1152" s="1794"/>
      <c r="N1152" s="1796"/>
      <c r="P1152" s="279">
        <f t="shared" si="264"/>
        <v>0</v>
      </c>
      <c r="Q1152" s="15" t="str">
        <f>IF(Metamagia!$AA$49=1,"Elevación","")</f>
        <v/>
      </c>
      <c r="R1152" s="23"/>
      <c r="S1152" s="15" t="str">
        <f>IF(Metamagia!$AA$49=1,"Permite entrar en un trance cuya duración cuenta doble para recuperar Zeón","")</f>
        <v/>
      </c>
      <c r="T1152" s="23"/>
      <c r="U1152" s="23"/>
      <c r="V1152" s="55"/>
      <c r="W1152" s="39"/>
      <c r="Z1152" s="597" t="str">
        <f t="shared" si="265"/>
        <v>Thanathos</v>
      </c>
      <c r="AA1152" s="933">
        <f t="shared" si="266"/>
        <v>17</v>
      </c>
      <c r="AB1152" s="1349" t="s">
        <v>761</v>
      </c>
      <c r="AC1152" s="55">
        <v>240</v>
      </c>
      <c r="AD1152" s="143">
        <v>800</v>
      </c>
    </row>
    <row r="1153" spans="1:30" ht="12.75" customHeight="1" x14ac:dyDescent="0.2">
      <c r="A1153" s="237">
        <v>1153</v>
      </c>
      <c r="B1153" s="5885"/>
      <c r="F1153" s="592"/>
      <c r="H1153"/>
      <c r="N1153"/>
      <c r="P1153" s="279">
        <f t="shared" si="264"/>
        <v>0</v>
      </c>
      <c r="Q1153" s="15" t="str">
        <f>IF(Metamagia!$AA$44=1,"Avatar","")</f>
        <v/>
      </c>
      <c r="R1153" s="23"/>
      <c r="S1153" s="15" t="str">
        <f>IF(Metamagia!$AA$44=1,"El personaje puede convertirse en un Avatar de Magia. Ver","")</f>
        <v/>
      </c>
      <c r="T1153" s="23"/>
      <c r="U1153" s="23"/>
      <c r="V1153" s="55"/>
      <c r="W1153" s="39"/>
      <c r="Z1153" s="597" t="str">
        <f t="shared" si="265"/>
        <v>Veles, el Poder de la Magia</v>
      </c>
      <c r="AA1153" s="933">
        <f t="shared" si="266"/>
        <v>63</v>
      </c>
      <c r="AB1153" s="1349" t="s">
        <v>762</v>
      </c>
      <c r="AC1153" s="55">
        <v>400</v>
      </c>
      <c r="AD1153" s="143">
        <v>800</v>
      </c>
    </row>
    <row r="1154" spans="1:30" ht="12.75" customHeight="1" x14ac:dyDescent="0.2">
      <c r="A1154" s="237">
        <v>1154</v>
      </c>
      <c r="B1154" s="5885"/>
      <c r="C1154" s="1229" t="s">
        <v>254</v>
      </c>
      <c r="D1154" s="1229"/>
      <c r="E1154" s="1229"/>
      <c r="F1154" s="1229"/>
      <c r="G1154" s="1229"/>
      <c r="H1154"/>
      <c r="I1154" s="1229"/>
      <c r="J1154" s="1229"/>
      <c r="K1154" s="1229"/>
      <c r="L1154" s="1229"/>
      <c r="M1154" s="1229"/>
      <c r="N1154"/>
      <c r="P1154" s="279">
        <f t="shared" si="264"/>
        <v>0</v>
      </c>
      <c r="Q1154" s="15" t="str">
        <f>IF(Metamagia!$AD$41=1,"Metamagister: Zeón Ilimitado","")</f>
        <v/>
      </c>
      <c r="R1154" s="23"/>
      <c r="S1154" s="15" t="str">
        <f>IF(Metamagia!$AD$41=1,"El hechicero devuelve a la reserva la mitad del coste de sus conjuros","")</f>
        <v/>
      </c>
      <c r="T1154" s="23"/>
      <c r="U1154" s="23"/>
      <c r="V1154" s="55"/>
      <c r="W1154" s="39"/>
      <c r="Z1154" s="597" t="str">
        <f t="shared" si="265"/>
        <v>Ziz, Señor de los Cielos</v>
      </c>
      <c r="AA1154" s="933">
        <f t="shared" si="266"/>
        <v>64</v>
      </c>
      <c r="AB1154" s="1349" t="s">
        <v>763</v>
      </c>
      <c r="AC1154" s="55">
        <v>280</v>
      </c>
      <c r="AD1154" s="143">
        <v>500</v>
      </c>
    </row>
    <row r="1155" spans="1:30" ht="12.75" customHeight="1" x14ac:dyDescent="0.2">
      <c r="A1155" s="237">
        <v>1155</v>
      </c>
      <c r="B1155" s="5885"/>
      <c r="C1155" s="1229"/>
      <c r="D1155" s="1229"/>
      <c r="E1155" s="1229"/>
      <c r="F1155" s="1229"/>
      <c r="G1155" s="1229"/>
      <c r="H1155"/>
      <c r="I1155" s="1229"/>
      <c r="J1155" s="1229"/>
      <c r="K1155" s="1229"/>
      <c r="L1155" s="1229"/>
      <c r="M1155" s="1229"/>
      <c r="N1155"/>
      <c r="P1155" s="279">
        <f t="shared" si="264"/>
        <v>0</v>
      </c>
      <c r="Q1155" s="15" t="str">
        <f>IF(Metamagia!$F$63=1,"Seguridad defensiva","")</f>
        <v/>
      </c>
      <c r="R1155" s="23"/>
      <c r="S1155" s="15" t="str">
        <f>IF(Metamagia!$F$63=1,"Con Pifia al proyectar un escudo se sigue activando el conjuro","")</f>
        <v/>
      </c>
      <c r="T1155" s="23"/>
      <c r="U1155" s="23"/>
      <c r="V1155" s="55"/>
      <c r="W1155" s="39"/>
      <c r="Z1155" s="597" t="str">
        <f t="shared" si="265"/>
        <v>Ziz: Comunión con el viento</v>
      </c>
      <c r="AA1155" s="933">
        <f t="shared" si="266"/>
        <v>65</v>
      </c>
      <c r="AB1155" s="1349" t="s">
        <v>764</v>
      </c>
      <c r="AC1155" s="55">
        <v>400</v>
      </c>
      <c r="AD1155" s="143">
        <v>900</v>
      </c>
    </row>
    <row r="1156" spans="1:30" ht="12.75" customHeight="1" x14ac:dyDescent="0.2">
      <c r="A1156" s="237">
        <v>1156</v>
      </c>
      <c r="B1156" s="5885"/>
      <c r="C1156" s="1229"/>
      <c r="D1156" s="1229"/>
      <c r="E1156" s="1229"/>
      <c r="F1156" s="1229"/>
      <c r="G1156" s="1229"/>
      <c r="H1156"/>
      <c r="I1156" s="388"/>
      <c r="J1156" s="388"/>
      <c r="K1156" s="388"/>
      <c r="L1156" s="387"/>
      <c r="M1156" s="387"/>
      <c r="N1156"/>
      <c r="P1156" s="279">
        <f t="shared" si="264"/>
        <v>0</v>
      </c>
      <c r="Q1156" s="29" t="str">
        <f>IF(Metamagia!$I$64+Metamagia!$I$54&gt;1,"Magia vital (2)",IF(Metamagia!$I$64+Metamagia!$I$54&gt;0,"Magia vital (1)",""))</f>
        <v/>
      </c>
      <c r="R1156" s="29"/>
      <c r="S1156" s="29" t="str">
        <f>IF(Metamagia!$I$64+Metamagia!$I$54&gt;1,"Curación incrementada +40 PVs por Grado de conjuro",IF(Metamagia!$I$64+Metamagia!$I$54&gt;0,"Curación incrementada +20 PVs por Grado de conjuro",""))</f>
        <v/>
      </c>
      <c r="T1156" s="29"/>
      <c r="U1156" s="23"/>
      <c r="V1156" s="55"/>
      <c r="W1156" s="39"/>
      <c r="Z1156" s="597" t="str">
        <f t="shared" si="265"/>
        <v>Ziz: Señor del viento</v>
      </c>
      <c r="AA1156" s="933">
        <f t="shared" si="266"/>
        <v>66</v>
      </c>
      <c r="AB1156" s="1349" t="s">
        <v>765</v>
      </c>
      <c r="AC1156" s="55">
        <v>500</v>
      </c>
      <c r="AD1156" s="143">
        <v>1200</v>
      </c>
    </row>
    <row r="1157" spans="1:30" ht="12.75" customHeight="1" x14ac:dyDescent="0.2">
      <c r="A1157" s="237">
        <v>1157</v>
      </c>
      <c r="B1157" s="5885"/>
      <c r="C1157" s="1229"/>
      <c r="D1157" s="1229"/>
      <c r="E1157" s="1229"/>
      <c r="F1157" s="1229"/>
      <c r="G1157" s="1229"/>
      <c r="H1157"/>
      <c r="L1157" s="1230"/>
      <c r="M1157" s="283"/>
      <c r="N1157"/>
      <c r="P1157" s="279">
        <f t="shared" si="264"/>
        <v>0</v>
      </c>
      <c r="Q1157" s="15" t="str">
        <f>IF(Metamagia!$C$54=1,"Sentir la magia","")</f>
        <v/>
      </c>
      <c r="R1157" s="23"/>
      <c r="S1157" s="15" t="str">
        <f>IF(Metamagia!$C$54=1,"Mejora un Grado los resultados en Valoración Mágica. Ver","")</f>
        <v/>
      </c>
      <c r="T1157" s="23"/>
      <c r="U1157" s="23"/>
      <c r="V1157" s="55"/>
      <c r="W1157" s="39"/>
      <c r="Z1157" s="597" t="str">
        <f t="shared" ref="Z1157:Z1202" si="267">VLOOKUP(A1,$AA$1157:$AB$1202,2,0)</f>
        <v>&gt; ENCARNACIONES</v>
      </c>
      <c r="AA1157" s="933">
        <f t="shared" ref="AA1157:AA1202" si="268">COUNTIF($AB$1157:$AB$1202,"&lt;="&amp;AB1157)</f>
        <v>1</v>
      </c>
      <c r="AB1157" s="1349" t="s">
        <v>766</v>
      </c>
      <c r="AC1157" s="55"/>
      <c r="AD1157" s="143"/>
    </row>
    <row r="1158" spans="1:30" ht="12.75" customHeight="1" x14ac:dyDescent="0.2">
      <c r="A1158" s="237">
        <v>1158</v>
      </c>
      <c r="B1158" s="5885"/>
      <c r="C1158" s="1229"/>
      <c r="D1158" s="1229"/>
      <c r="E1158" s="1229"/>
      <c r="F1158" s="1229"/>
      <c r="G1158" s="1229"/>
      <c r="H1158"/>
      <c r="L1158" s="285"/>
      <c r="M1158" s="283"/>
      <c r="N1158"/>
      <c r="P1158" s="279">
        <f t="shared" si="264"/>
        <v>0</v>
      </c>
      <c r="Q1158" s="15" t="str">
        <f>IF(Metamagia!$O$54=1,"Magia oculta","")</f>
        <v/>
      </c>
      <c r="R1158" s="23"/>
      <c r="S1158" s="15" t="str">
        <f>IF(Metamagia!$O$54=1,"Disminuye penalizador para ocultar sortilegios y dificulta la detección de la magia","")</f>
        <v/>
      </c>
      <c r="T1158" s="23"/>
      <c r="U1158" s="23"/>
      <c r="V1158" s="55"/>
      <c r="W1158" s="39"/>
      <c r="Z1158" s="597" t="str">
        <f t="shared" si="267"/>
        <v>Aeriel, el Caballero de Argenta (Nv 12)</v>
      </c>
      <c r="AA1158" s="933">
        <f t="shared" si="268"/>
        <v>30</v>
      </c>
      <c r="AB1158" s="1349" t="s">
        <v>767</v>
      </c>
      <c r="AC1158" s="55">
        <v>260</v>
      </c>
      <c r="AD1158" s="143">
        <v>400</v>
      </c>
    </row>
    <row r="1159" spans="1:30" ht="12.75" customHeight="1" x14ac:dyDescent="0.2">
      <c r="A1159" s="237">
        <v>1159</v>
      </c>
      <c r="B1159" s="5885"/>
      <c r="C1159" s="1229"/>
      <c r="D1159" s="1229"/>
      <c r="E1159" s="1229"/>
      <c r="F1159" s="1229"/>
      <c r="G1159" s="1229"/>
      <c r="H1159"/>
      <c r="L1159" s="285"/>
      <c r="M1159" s="283"/>
      <c r="N1159"/>
      <c r="P1159" s="279">
        <f t="shared" si="264"/>
        <v>0</v>
      </c>
      <c r="Q1159" s="15" t="str">
        <f>IF(Metamagia!$I$49+Metamagia!$L$48&gt;1,"Bucle existencial (2)",IF(Metamagia!$I$49+Metamagia!$L$48&gt;0,"Bucle existencial (1)",""))</f>
        <v/>
      </c>
      <c r="R1159" s="15"/>
      <c r="S1159" s="15" t="str">
        <f>IF(Metamagia!$I$49+Metamagia!$L$48&gt;1,"Puede mantenerse hasta 5 asaltos",IF(Metamagia!$I$49+Metamagia!$L$48&gt;0,"Puede mantenerse hasta 2 asaltos",""))</f>
        <v/>
      </c>
      <c r="T1159" s="15"/>
      <c r="U1159" s="23"/>
      <c r="V1159" s="55"/>
      <c r="W1159" s="39"/>
      <c r="Z1159" s="597" t="str">
        <f t="shared" si="267"/>
        <v>Aeriel, el Caballero de Argenta (Nv 6)</v>
      </c>
      <c r="AA1159" s="933">
        <f t="shared" si="268"/>
        <v>31</v>
      </c>
      <c r="AB1159" s="1349" t="s">
        <v>768</v>
      </c>
      <c r="AC1159" s="55">
        <v>300</v>
      </c>
      <c r="AD1159" s="143">
        <v>600</v>
      </c>
    </row>
    <row r="1160" spans="1:30" ht="12.75" customHeight="1" x14ac:dyDescent="0.2">
      <c r="A1160" s="237">
        <v>1160</v>
      </c>
      <c r="B1160" s="5885"/>
      <c r="C1160" s="1229"/>
      <c r="D1160" s="1229"/>
      <c r="E1160" s="1229"/>
      <c r="F1160" s="1229"/>
      <c r="G1160" s="1229"/>
      <c r="H1160"/>
      <c r="L1160" s="285"/>
      <c r="M1160" s="283"/>
      <c r="N1160"/>
      <c r="P1160" s="279">
        <f t="shared" si="264"/>
        <v>0</v>
      </c>
      <c r="Q1160" s="15" t="str">
        <f>IF(Metamagia!$F$48=1,"Control del espacio","")</f>
        <v/>
      </c>
      <c r="R1160" s="23"/>
      <c r="S1160" s="15" t="str">
        <f>IF(Metamagia!$F$48=1,"Permite seleccionar blancos en todos los conjuros de área","")</f>
        <v/>
      </c>
      <c r="T1160" s="23"/>
      <c r="U1160" s="23"/>
      <c r="V1160" s="55"/>
      <c r="W1160" s="39"/>
      <c r="Z1160" s="597" t="str">
        <f t="shared" si="267"/>
        <v>Aeriel, el Caballero de Argenta (Nv 9)</v>
      </c>
      <c r="AA1160" s="933">
        <f t="shared" si="268"/>
        <v>29</v>
      </c>
      <c r="AB1160" s="1349" t="s">
        <v>769</v>
      </c>
      <c r="AC1160" s="55">
        <v>380</v>
      </c>
      <c r="AD1160" s="143">
        <v>900</v>
      </c>
    </row>
    <row r="1161" spans="1:30" ht="12.75" customHeight="1" x14ac:dyDescent="0.2">
      <c r="A1161" s="237">
        <v>1161</v>
      </c>
      <c r="B1161" s="5885"/>
      <c r="C1161" s="1229"/>
      <c r="D1161" s="1229"/>
      <c r="E1161" s="1229"/>
      <c r="F1161" s="1229"/>
      <c r="G1161" s="1229"/>
      <c r="H1161"/>
      <c r="L1161" s="285"/>
      <c r="M1161" s="283"/>
      <c r="N1161"/>
      <c r="P1161" s="279">
        <f t="shared" si="264"/>
        <v>0</v>
      </c>
      <c r="Q1161" s="15" t="str">
        <f>IF(Metamagia!$I$59=1,"Control de la energía","")</f>
        <v/>
      </c>
      <c r="R1161" s="23"/>
      <c r="S1161" s="15" t="str">
        <f>IF(Metamagia!$I$59=1,"Por 10 de Zeón permite que un conjuro físico pueda dañar o parar energía","")</f>
        <v/>
      </c>
      <c r="T1161" s="23"/>
      <c r="U1161" s="23"/>
      <c r="V1161" s="55"/>
      <c r="W1161" s="39"/>
      <c r="Z1161" s="597" t="str">
        <f t="shared" si="267"/>
        <v>Ambrose Magus, el Hechicero (Nv 4)</v>
      </c>
      <c r="AA1161" s="933">
        <f t="shared" si="268"/>
        <v>36</v>
      </c>
      <c r="AB1161" s="1349" t="s">
        <v>770</v>
      </c>
      <c r="AC1161" s="55">
        <v>280</v>
      </c>
      <c r="AD1161" s="143">
        <v>350</v>
      </c>
    </row>
    <row r="1162" spans="1:30" ht="12.75" customHeight="1" x14ac:dyDescent="0.2">
      <c r="A1162" s="237">
        <v>1162</v>
      </c>
      <c r="B1162" s="5885"/>
      <c r="C1162" s="1229"/>
      <c r="D1162" s="1229"/>
      <c r="E1162" s="1229"/>
      <c r="F1162" s="1229"/>
      <c r="G1162" s="1229"/>
      <c r="H1162"/>
      <c r="L1162" s="285"/>
      <c r="M1162" s="283"/>
      <c r="N1162"/>
      <c r="P1162" s="279">
        <f t="shared" si="264"/>
        <v>0</v>
      </c>
      <c r="Q1162" s="15" t="str">
        <f>IF(Metamagia!$L$54=1,"Aguante al daño sobrenatural","")</f>
        <v/>
      </c>
      <c r="R1162" s="23"/>
      <c r="S1162" s="15" t="str">
        <f>IF(Metamagia!$L$54=1,"Permite sufrir hasta la mitad de Daño mágico en puntos de Zeón","")</f>
        <v/>
      </c>
      <c r="T1162" s="23"/>
      <c r="U1162" s="23"/>
      <c r="V1162" s="55"/>
      <c r="W1162" s="39"/>
      <c r="Z1162" s="597" t="str">
        <f t="shared" si="267"/>
        <v>Ambrose Magus, el Hechicero (Nv 6)</v>
      </c>
      <c r="AA1162" s="933">
        <f t="shared" si="268"/>
        <v>37</v>
      </c>
      <c r="AB1162" s="1349" t="s">
        <v>771</v>
      </c>
      <c r="AC1162" s="55">
        <v>340</v>
      </c>
      <c r="AD1162" s="143">
        <v>700</v>
      </c>
    </row>
    <row r="1163" spans="1:30" ht="12.75" customHeight="1" x14ac:dyDescent="0.2">
      <c r="A1163" s="237">
        <v>1163</v>
      </c>
      <c r="B1163" s="5885"/>
      <c r="C1163" s="1229"/>
      <c r="D1163" s="1229"/>
      <c r="E1163" s="1229"/>
      <c r="F1163" s="1229"/>
      <c r="G1163" s="1229"/>
      <c r="H1163"/>
      <c r="L1163" s="285"/>
      <c r="M1163" s="283"/>
      <c r="N1163"/>
      <c r="P1163" s="279">
        <f t="shared" si="264"/>
        <v>0</v>
      </c>
      <c r="Q1163" s="15" t="str">
        <f>IF(Metamagia!$F$54=1,"Transmisión de magia","")</f>
        <v/>
      </c>
      <c r="R1163" s="23"/>
      <c r="S1163" s="15" t="str">
        <f>IF(Metamagia!$F$54=1,"Permite la transferencia de Zeón a distancia (Presencia en metros)","")</f>
        <v/>
      </c>
      <c r="T1163" s="23"/>
      <c r="U1163" s="23"/>
      <c r="V1163" s="55"/>
      <c r="W1163" s="39"/>
      <c r="Z1163" s="597" t="str">
        <f t="shared" si="267"/>
        <v>Ambrose Magus, el Hechicero (Nv 8)</v>
      </c>
      <c r="AA1163" s="933">
        <f t="shared" si="268"/>
        <v>35</v>
      </c>
      <c r="AB1163" s="1349" t="s">
        <v>772</v>
      </c>
      <c r="AC1163" s="55">
        <v>400</v>
      </c>
      <c r="AD1163" s="143">
        <v>900</v>
      </c>
    </row>
    <row r="1164" spans="1:30" ht="12.75" customHeight="1" x14ac:dyDescent="0.2">
      <c r="A1164" s="237">
        <v>1164</v>
      </c>
      <c r="B1164" s="5885"/>
      <c r="C1164" s="1229"/>
      <c r="D1164" s="1229"/>
      <c r="E1164" s="1229"/>
      <c r="F1164" s="1229"/>
      <c r="G1164" s="1229"/>
      <c r="H1164"/>
      <c r="L1164" s="285"/>
      <c r="M1164" s="283"/>
      <c r="N1164"/>
      <c r="P1164" s="279">
        <f t="shared" si="264"/>
        <v>0</v>
      </c>
      <c r="Q1164" s="29" t="str">
        <f>IF(Metamagia!$R$49+Metamagia!$L$63+Metamagia!$C$46&gt;2,"Forzar velocidad (3)",IF(Metamagia!$R$49+Metamagia!$L$63+Metamagia!$C$46&gt;1,"Forzar velocidad (2)",IF(Metamagia!$R$49+Metamagia!$L$63+Metamagia!$C$46&gt;0,"Forzar velocidad (1)","")))</f>
        <v/>
      </c>
      <c r="R1164" s="29"/>
      <c r="S1164"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4" s="29"/>
      <c r="U1164" s="23"/>
      <c r="V1164" s="55"/>
      <c r="W1164" s="39"/>
      <c r="Z1164" s="597" t="str">
        <f t="shared" si="267"/>
        <v>Anassilish, el Sin Rostro (Nv 2)</v>
      </c>
      <c r="AA1164" s="933">
        <f t="shared" si="268"/>
        <v>14</v>
      </c>
      <c r="AB1164" s="1349" t="s">
        <v>773</v>
      </c>
      <c r="AC1164" s="55">
        <v>220</v>
      </c>
      <c r="AD1164" s="143">
        <v>200</v>
      </c>
    </row>
    <row r="1165" spans="1:30" ht="12.75" customHeight="1" x14ac:dyDescent="0.2">
      <c r="A1165" s="237">
        <v>1165</v>
      </c>
      <c r="B1165" s="5885"/>
      <c r="C1165" s="1229"/>
      <c r="D1165" s="1229"/>
      <c r="E1165" s="1229"/>
      <c r="F1165" s="1229"/>
      <c r="G1165" s="1229"/>
      <c r="H1165"/>
      <c r="L1165" s="285"/>
      <c r="M1165" s="283"/>
      <c r="N1165"/>
      <c r="P1165" s="279">
        <f t="shared" si="264"/>
        <v>0</v>
      </c>
      <c r="Q1165" s="15" t="str">
        <f>IF(Metamagia!$I$44=1,"Doble conjuro innato","")</f>
        <v/>
      </c>
      <c r="R1165" s="23"/>
      <c r="S1165" s="15" t="str">
        <f>IF(Metamagia!$I$44=1,"Permite realizar 2 conjuros innatos distintos por asalto","")</f>
        <v/>
      </c>
      <c r="T1165" s="23"/>
      <c r="U1165" s="23"/>
      <c r="V1165" s="55"/>
      <c r="W1165" s="39"/>
      <c r="Z1165" s="597" t="str">
        <f t="shared" si="267"/>
        <v>Anassilish, el Sin Rostro (Nv 5)</v>
      </c>
      <c r="AA1165" s="933">
        <f t="shared" si="268"/>
        <v>15</v>
      </c>
      <c r="AB1165" s="1349" t="s">
        <v>774</v>
      </c>
      <c r="AC1165" s="55">
        <v>300</v>
      </c>
      <c r="AD1165" s="143">
        <v>480</v>
      </c>
    </row>
    <row r="1166" spans="1:30" ht="12.75" customHeight="1" x14ac:dyDescent="0.2">
      <c r="A1166" s="237">
        <v>1166</v>
      </c>
      <c r="B1166" s="5885"/>
      <c r="C1166" s="1229"/>
      <c r="D1166" s="1229"/>
      <c r="E1166" s="1229"/>
      <c r="F1166" s="1229"/>
      <c r="G1166" s="1229"/>
      <c r="H1166"/>
      <c r="L1166" s="285"/>
      <c r="M1166" s="283"/>
      <c r="N1166"/>
      <c r="P1166" s="279">
        <f t="shared" si="264"/>
        <v>0</v>
      </c>
      <c r="Q1166" s="15" t="str">
        <f>IF(Metamagia!$L$41=1,"Metamagister: Mantenimiento añadido","")</f>
        <v/>
      </c>
      <c r="R1166" s="23"/>
      <c r="S1166" s="15" t="str">
        <f>IF(Metamagia!$L$41=1,"El mantenimiento pasa a ser cada 5 asaltos (cada semana los Diarios)","")</f>
        <v/>
      </c>
      <c r="T1166" s="23"/>
      <c r="U1166" s="23"/>
      <c r="V1166" s="55"/>
      <c r="W1166" s="39"/>
      <c r="Z1166" s="597" t="str">
        <f t="shared" si="267"/>
        <v>Anassilish, el Sin Rostro (Nv 8)</v>
      </c>
      <c r="AA1166" s="933">
        <f t="shared" si="268"/>
        <v>16</v>
      </c>
      <c r="AB1166" s="1349" t="s">
        <v>775</v>
      </c>
      <c r="AC1166" s="55">
        <v>360</v>
      </c>
      <c r="AD1166" s="143">
        <v>600</v>
      </c>
    </row>
    <row r="1167" spans="1:30" ht="12.75" customHeight="1" x14ac:dyDescent="0.2">
      <c r="A1167" s="237">
        <v>1167</v>
      </c>
      <c r="B1167" s="5885"/>
      <c r="C1167" s="1229"/>
      <c r="D1167" s="1229"/>
      <c r="E1167" s="1229"/>
      <c r="F1167" s="1229"/>
      <c r="G1167" s="1229"/>
      <c r="H1167"/>
      <c r="L1167" s="285"/>
      <c r="M1167" s="283"/>
      <c r="N1167"/>
      <c r="P1167" s="279">
        <f t="shared" si="264"/>
        <v>0</v>
      </c>
      <c r="Q1167" s="15" t="str">
        <f>IF(Metamagia!$AA$14=1,"Concentración mística","")</f>
        <v/>
      </c>
      <c r="R1167" s="23"/>
      <c r="S1167" s="15" t="str">
        <f>IF(Metamagia!$AA$14=1,"Reduce a la mitad la dificultad de Resistir Dolor al concentrar Zeón","")</f>
        <v/>
      </c>
      <c r="T1167" s="23"/>
      <c r="U1167" s="23"/>
      <c r="V1167" s="55"/>
      <c r="W1167" s="39"/>
      <c r="Z1167" s="597" t="str">
        <f t="shared" si="267"/>
        <v>Arturia, el León Blanco (Nv 1)</v>
      </c>
      <c r="AA1167" s="933">
        <f t="shared" si="268"/>
        <v>38</v>
      </c>
      <c r="AB1167" s="1349" t="s">
        <v>776</v>
      </c>
      <c r="AC1167" s="55">
        <v>200</v>
      </c>
      <c r="AD1167" s="143">
        <v>150</v>
      </c>
    </row>
    <row r="1168" spans="1:30" ht="12.75" customHeight="1" x14ac:dyDescent="0.2">
      <c r="A1168" s="237">
        <v>1168</v>
      </c>
      <c r="B1168" s="5885"/>
      <c r="C1168" s="1229"/>
      <c r="D1168" s="1229"/>
      <c r="E1168" s="1229"/>
      <c r="F1168" s="1229"/>
      <c r="G1168" s="1229"/>
      <c r="H1168"/>
      <c r="L1168" s="285"/>
      <c r="M1168" s="283"/>
      <c r="N1168"/>
      <c r="P1168" s="279">
        <f t="shared" si="264"/>
        <v>0</v>
      </c>
      <c r="Q1168" s="15" t="str">
        <f>IF(Metamagia!$X$15=1,"Conjuro especializado Nv 30","")</f>
        <v/>
      </c>
      <c r="R1168" s="23"/>
      <c r="S1168" s="15" t="str">
        <f>IF(Metamagia!$X$15=1,"+10 ACT, +1 INT para Requisitos de conjuro: "&amp;Personalización!AF55,"")</f>
        <v/>
      </c>
      <c r="T1168" s="23"/>
      <c r="U1168" s="23"/>
      <c r="V1168" s="55"/>
      <c r="W1168" s="39"/>
      <c r="Z1168" s="597" t="str">
        <f t="shared" si="267"/>
        <v>Arturia, el León Blanco (Nv 3)</v>
      </c>
      <c r="AA1168" s="933">
        <f t="shared" si="268"/>
        <v>39</v>
      </c>
      <c r="AB1168" s="1349" t="s">
        <v>777</v>
      </c>
      <c r="AC1168" s="55">
        <v>240</v>
      </c>
      <c r="AD1168" s="143">
        <v>300</v>
      </c>
    </row>
    <row r="1169" spans="1:30" ht="12.75" customHeight="1" x14ac:dyDescent="0.2">
      <c r="A1169" s="237">
        <v>1169</v>
      </c>
      <c r="B1169" s="5885"/>
      <c r="C1169" s="1229"/>
      <c r="D1169" s="1229"/>
      <c r="E1169" s="1229"/>
      <c r="F1169" s="1229"/>
      <c r="G1169" s="1229"/>
      <c r="H1169"/>
      <c r="L1169" s="285"/>
      <c r="M1169" s="283"/>
      <c r="N1169"/>
      <c r="P1169" s="279">
        <f t="shared" si="264"/>
        <v>0</v>
      </c>
      <c r="Q1169" s="15" t="str">
        <f>IF(Metamagia!$AD$15=1,"Conjuro especializado Nv 30","")</f>
        <v/>
      </c>
      <c r="R1169" s="23"/>
      <c r="S1169" s="15" t="str">
        <f>IF(Metamagia!$AD$15=1,"+10 ACT, +1 INT para Requisitos de conjuro: "&amp;Personalización!AF56,"")</f>
        <v/>
      </c>
      <c r="T1169" s="23"/>
      <c r="U1169" s="23"/>
      <c r="V1169" s="55"/>
      <c r="W1169" s="39"/>
      <c r="Z1169" s="597" t="str">
        <f t="shared" si="267"/>
        <v>Arturia, el León Blanco (Nv 6)</v>
      </c>
      <c r="AA1169" s="933">
        <f t="shared" si="268"/>
        <v>40</v>
      </c>
      <c r="AB1169" s="1349" t="s">
        <v>778</v>
      </c>
      <c r="AC1169" s="55">
        <v>260</v>
      </c>
      <c r="AD1169" s="143">
        <v>450</v>
      </c>
    </row>
    <row r="1170" spans="1:30" ht="12.75" customHeight="1" x14ac:dyDescent="0.2">
      <c r="A1170" s="237">
        <v>1170</v>
      </c>
      <c r="B1170" s="5885"/>
      <c r="C1170" s="1229"/>
      <c r="D1170" s="1229"/>
      <c r="E1170" s="1229"/>
      <c r="F1170" s="1229"/>
      <c r="G1170" s="1229"/>
      <c r="H1170"/>
      <c r="L1170" s="285"/>
      <c r="M1170" s="283"/>
      <c r="N1170"/>
      <c r="P1170" s="279">
        <f t="shared" si="264"/>
        <v>0</v>
      </c>
      <c r="Q1170" s="15" t="str">
        <f>IF(Metamagia!$R$29=1,"Conjuro especializado Nv 50","")</f>
        <v/>
      </c>
      <c r="R1170" s="23"/>
      <c r="S1170" s="15" t="str">
        <f>IF(Metamagia!$R$29=1,"+10 ACT, +1 INT para Requisitos de conjuro: "&amp;Personalización!AF57,"")</f>
        <v/>
      </c>
      <c r="T1170" s="23"/>
      <c r="U1170" s="23"/>
      <c r="V1170" s="55"/>
      <c r="W1170" s="39"/>
      <c r="Z1170" s="597" t="str">
        <f t="shared" si="267"/>
        <v>Eiko, la princesa Oni (Nv 3)</v>
      </c>
      <c r="AA1170" s="933">
        <f t="shared" si="268"/>
        <v>18</v>
      </c>
      <c r="AB1170" s="1349" t="s">
        <v>779</v>
      </c>
      <c r="AC1170" s="55">
        <v>270</v>
      </c>
      <c r="AD1170" s="143">
        <v>390</v>
      </c>
    </row>
    <row r="1171" spans="1:30" ht="12.75" customHeight="1" x14ac:dyDescent="0.2">
      <c r="A1171" s="237">
        <v>1171</v>
      </c>
      <c r="B1171" s="5885"/>
      <c r="C1171" s="1229"/>
      <c r="D1171" s="1229"/>
      <c r="E1171" s="1229"/>
      <c r="F1171" s="1229"/>
      <c r="G1171" s="1229"/>
      <c r="H1171"/>
      <c r="L1171" s="285"/>
      <c r="M1171" s="283"/>
      <c r="N1171"/>
      <c r="P1171" s="279">
        <f t="shared" si="264"/>
        <v>0</v>
      </c>
      <c r="Q1171" s="15" t="str">
        <f>IF(Metamagia!$X$24=1,"Conjuro especializado Nv 60","")</f>
        <v/>
      </c>
      <c r="R1171" s="23"/>
      <c r="S1171" s="15" t="str">
        <f>IF(Metamagia!$X$24=1,"+10 ACT, +1 INT para Requisitos de conjuro: "&amp;Personalización!AF59,"")</f>
        <v/>
      </c>
      <c r="T1171" s="23"/>
      <c r="U1171" s="23"/>
      <c r="V1171" s="55"/>
      <c r="W1171" s="39"/>
      <c r="Z1171" s="597" t="str">
        <f t="shared" si="267"/>
        <v>Eiko, la princesa Oni (Nv 6)</v>
      </c>
      <c r="AA1171" s="933">
        <f t="shared" si="268"/>
        <v>19</v>
      </c>
      <c r="AB1171" s="1349" t="s">
        <v>780</v>
      </c>
      <c r="AC1171" s="55">
        <v>380</v>
      </c>
      <c r="AD1171" s="143">
        <v>750</v>
      </c>
    </row>
    <row r="1172" spans="1:30" ht="12.75" customHeight="1" x14ac:dyDescent="0.2">
      <c r="A1172" s="237">
        <v>1172</v>
      </c>
      <c r="B1172" s="5885"/>
      <c r="C1172" s="1229"/>
      <c r="D1172" s="1229"/>
      <c r="E1172" s="1229"/>
      <c r="F1172" s="1229"/>
      <c r="G1172" s="1229"/>
      <c r="H1172"/>
      <c r="L1172" s="285"/>
      <c r="M1172" s="283"/>
      <c r="N1172"/>
      <c r="P1172" s="279">
        <f t="shared" si="264"/>
        <v>0</v>
      </c>
      <c r="Q1172" s="15" t="str">
        <f>IF(Metamagia!$AG$24=1,"Conjuro especializado Nv 60","")</f>
        <v/>
      </c>
      <c r="R1172" s="23"/>
      <c r="S1172" s="15" t="str">
        <f>IF(Metamagia!$AG$24=1,"+10 ACT, +1 INT para Requisitos de conjuro: "&amp;Personalización!AF58,"")</f>
        <v/>
      </c>
      <c r="T1172" s="23"/>
      <c r="U1172" s="23"/>
      <c r="V1172" s="55"/>
      <c r="W1172" s="39"/>
      <c r="Z1172" s="597" t="str">
        <f t="shared" si="267"/>
        <v>Eiko, la princesa Oni (Nv 9)</v>
      </c>
      <c r="AA1172" s="933">
        <f t="shared" si="268"/>
        <v>17</v>
      </c>
      <c r="AB1172" s="1349" t="s">
        <v>781</v>
      </c>
      <c r="AC1172" s="55">
        <v>490</v>
      </c>
      <c r="AD1172" s="143">
        <v>1400</v>
      </c>
    </row>
    <row r="1173" spans="1:30" ht="12.75" customHeight="1" x14ac:dyDescent="0.2">
      <c r="A1173" s="237">
        <v>1173</v>
      </c>
      <c r="B1173" s="5885"/>
      <c r="C1173" s="1229"/>
      <c r="D1173" s="1229"/>
      <c r="E1173" s="1229"/>
      <c r="F1173" s="1229"/>
      <c r="G1173" s="1229"/>
      <c r="H1173"/>
      <c r="L1173" s="285"/>
      <c r="M1173" s="283"/>
      <c r="N1173"/>
      <c r="P1173" s="279">
        <f t="shared" si="264"/>
        <v>0</v>
      </c>
      <c r="Q1173" s="15" t="str">
        <f>IF(Metamagia!$AG$39=1,"Conjuro especializado Nv 70","")</f>
        <v/>
      </c>
      <c r="R1173" s="23"/>
      <c r="S1173" s="15" t="str">
        <f>IF(Metamagia!$AG$39=1,"+10 ACT, +1 INT para Requisitos de conjuro: "&amp;Personalización!AF60,"")</f>
        <v/>
      </c>
      <c r="T1173" s="23"/>
      <c r="U1173" s="23"/>
      <c r="V1173" s="55"/>
      <c r="W1173" s="39"/>
      <c r="Z1173" s="597" t="str">
        <f t="shared" si="267"/>
        <v>Gygjur, Asesino de Dragones (Nv 13)</v>
      </c>
      <c r="AA1173" s="933">
        <f t="shared" si="268"/>
        <v>11</v>
      </c>
      <c r="AB1173" s="1349" t="s">
        <v>782</v>
      </c>
      <c r="AC1173" s="55">
        <v>160</v>
      </c>
      <c r="AD1173" s="143">
        <v>180</v>
      </c>
    </row>
    <row r="1174" spans="1:30" ht="12.75" customHeight="1" x14ac:dyDescent="0.2">
      <c r="A1174" s="237">
        <v>1174</v>
      </c>
      <c r="B1174" s="5885"/>
      <c r="C1174" s="1229"/>
      <c r="D1174" s="1229"/>
      <c r="E1174" s="1229"/>
      <c r="F1174" s="1229"/>
      <c r="G1174" s="1229"/>
      <c r="H1174"/>
      <c r="L1174" s="285"/>
      <c r="M1174" s="283"/>
      <c r="N1174"/>
      <c r="P1174" s="279">
        <f t="shared" si="264"/>
        <v>0</v>
      </c>
      <c r="Q1174" s="15" t="str">
        <f>IF(Metamagia!$AA$29=1,"Conjuro especializado Nv 80","")</f>
        <v/>
      </c>
      <c r="R1174" s="23"/>
      <c r="S1174" s="15" t="str">
        <f>IF(Metamagia!$AA$29=1,"+10 ACT, +1 INT para Requisitos de conjuro: "&amp;Personalización!AF61,"")</f>
        <v/>
      </c>
      <c r="T1174" s="23"/>
      <c r="U1174" s="23"/>
      <c r="V1174" s="55"/>
      <c r="W1174" s="39"/>
      <c r="Z1174" s="597" t="str">
        <f t="shared" si="267"/>
        <v>Gygjur, Asesino de Dragones (Nv 5)</v>
      </c>
      <c r="AA1174" s="933">
        <f t="shared" si="268"/>
        <v>12</v>
      </c>
      <c r="AB1174" s="1349" t="s">
        <v>783</v>
      </c>
      <c r="AC1174" s="55">
        <v>200</v>
      </c>
      <c r="AD1174" s="143">
        <v>300</v>
      </c>
    </row>
    <row r="1175" spans="1:30" ht="12.75" customHeight="1" x14ac:dyDescent="0.2">
      <c r="A1175" s="237">
        <v>1175</v>
      </c>
      <c r="B1175" s="5885"/>
      <c r="C1175" s="1229"/>
      <c r="D1175" s="1229"/>
      <c r="E1175" s="1229"/>
      <c r="F1175" s="1229"/>
      <c r="G1175" s="1229"/>
      <c r="H1175"/>
      <c r="L1175" s="285"/>
      <c r="M1175" s="283"/>
      <c r="N1175"/>
      <c r="P1175" s="279">
        <f t="shared" si="264"/>
        <v>0</v>
      </c>
      <c r="Q1175" s="15" t="str">
        <f>IF(Metamagia!$AD$24+Metamagia!$AG$32&gt;1,"Romper resistencias (2)",IF(Metamagia!$AD$24+Metamagia!$AG$32&gt;0,"Romper resistencias (1)",""))</f>
        <v/>
      </c>
      <c r="R1175" s="23"/>
      <c r="S1175" s="15" t="str">
        <f>IF(Metamagia!$AD$24+Metamagia!$AG$32&gt;1,"+10 a la RM por cada 50% de éxito en la Proyección",IF(Metamagia!$AD$24+Metamagia!$AG$32&gt;0,"+5 a la RM por cada 50% de éxito en la Proyección",""))</f>
        <v/>
      </c>
      <c r="T1175" s="23"/>
      <c r="U1175" s="23"/>
      <c r="V1175" s="55"/>
      <c r="W1175" s="39"/>
      <c r="Z1175" s="597" t="str">
        <f t="shared" si="267"/>
        <v>Gygjur, Asesino de Dragones (Nv 9)</v>
      </c>
      <c r="AA1175" s="933">
        <f t="shared" si="268"/>
        <v>13</v>
      </c>
      <c r="AB1175" s="1349" t="s">
        <v>784</v>
      </c>
      <c r="AC1175" s="55">
        <v>280</v>
      </c>
      <c r="AD1175" s="143">
        <v>400</v>
      </c>
    </row>
    <row r="1176" spans="1:30" ht="12.75" customHeight="1" x14ac:dyDescent="0.2">
      <c r="A1176" s="237">
        <v>1176</v>
      </c>
      <c r="B1176" s="5885"/>
      <c r="C1176" s="1229"/>
      <c r="D1176" s="1229"/>
      <c r="E1176" s="1229"/>
      <c r="F1176" s="1229"/>
      <c r="G1176" s="1229"/>
      <c r="H1176"/>
      <c r="L1176" s="285"/>
      <c r="M1176" s="283"/>
      <c r="N1176"/>
      <c r="P1176" s="279">
        <f t="shared" si="264"/>
        <v>0</v>
      </c>
      <c r="Q1176" s="15" t="str">
        <f>IF(Metamagia!$U$24+Metamagia!$AA$19&gt;1,"Distancia incrementada (2)",IF(Metamagia!$U$24+Metamagia!$AA$19&gt;0,"Distancia incrementada (1)",""))</f>
        <v/>
      </c>
      <c r="R1176" s="23"/>
      <c r="S1176" s="15" t="str">
        <f>IF(Metamagia!$U$24+Metamagia!$AA$19&gt;1,"Alcance cuadriplicado respecto a lo que indica el nivel de Proyección",IF(Metamagia!$U$24+Metamagia!$AA$19&gt;0,"Alcance duplicado respecto a lo que indica el nivel de Proyección",""))</f>
        <v/>
      </c>
      <c r="T1176" s="23"/>
      <c r="U1176" s="23"/>
      <c r="V1176" s="55"/>
      <c r="W1176" s="39"/>
      <c r="Z1176" s="597" t="str">
        <f t="shared" si="267"/>
        <v>Holst, Rey de Héroes (Nv 12)</v>
      </c>
      <c r="AA1176" s="933">
        <f t="shared" si="268"/>
        <v>23</v>
      </c>
      <c r="AB1176" s="1349" t="s">
        <v>785</v>
      </c>
      <c r="AC1176" s="55">
        <v>230</v>
      </c>
      <c r="AD1176" s="143">
        <v>200</v>
      </c>
    </row>
    <row r="1177" spans="1:30" ht="12.75" customHeight="1" x14ac:dyDescent="0.2">
      <c r="A1177" s="237">
        <v>1177</v>
      </c>
      <c r="B1177" s="5885"/>
      <c r="C1177" s="1229"/>
      <c r="D1177" s="1229"/>
      <c r="E1177" s="1229"/>
      <c r="F1177" s="1229"/>
      <c r="G1177" s="1229"/>
      <c r="H1177"/>
      <c r="L1177" s="285"/>
      <c r="M1177" s="283"/>
      <c r="N1177"/>
      <c r="P1177" s="279">
        <f t="shared" si="264"/>
        <v>0</v>
      </c>
      <c r="Q1177" s="15" t="str">
        <f>IF(Metamagia!$AD$30=1,"Enlazar conjuros","")</f>
        <v/>
      </c>
      <c r="R1177" s="23"/>
      <c r="S1177" s="15" t="str">
        <f>IF(Metamagia!$AD$30=1,"Permite mezclar dos conjuros en uno solo. Ver","")</f>
        <v/>
      </c>
      <c r="T1177" s="23"/>
      <c r="U1177" s="23"/>
      <c r="V1177" s="55"/>
      <c r="W1177" s="39"/>
      <c r="Z1177" s="597" t="str">
        <f t="shared" si="267"/>
        <v>Holst, Rey de Héroes (Nv 15)</v>
      </c>
      <c r="AA1177" s="933">
        <f t="shared" si="268"/>
        <v>24</v>
      </c>
      <c r="AB1177" s="1349" t="s">
        <v>786</v>
      </c>
      <c r="AC1177" s="55">
        <v>280</v>
      </c>
      <c r="AD1177" s="143">
        <v>450</v>
      </c>
    </row>
    <row r="1178" spans="1:30" ht="12.75" customHeight="1" x14ac:dyDescent="0.2">
      <c r="A1178" s="237">
        <v>1178</v>
      </c>
      <c r="B1178" s="5885"/>
      <c r="C1178" s="1229"/>
      <c r="D1178" s="1229"/>
      <c r="E1178" s="1229"/>
      <c r="F1178" s="1229"/>
      <c r="G1178" s="1229"/>
      <c r="H1178"/>
      <c r="L1178" s="285"/>
      <c r="M1178" s="283"/>
      <c r="N1178"/>
      <c r="P1178" s="279">
        <f t="shared" si="264"/>
        <v>0</v>
      </c>
      <c r="Q1178" s="15" t="str">
        <f>IF(Metamagia!$AA$24=1,"Maximización de conjuros","")</f>
        <v/>
      </c>
      <c r="R1178" s="23"/>
      <c r="S1178" s="15" t="str">
        <f>IF(Metamagia!$AA$24=1,"Se considera que el personaje tiene +1 INT para los Requisitos de conjuro","")</f>
        <v/>
      </c>
      <c r="T1178" s="23"/>
      <c r="U1178" s="23"/>
      <c r="V1178" s="55"/>
      <c r="W1178" s="39"/>
      <c r="Z1178" s="597" t="str">
        <f t="shared" si="267"/>
        <v>Holst, Rey de Héroes (Nv 8)</v>
      </c>
      <c r="AA1178" s="933">
        <f t="shared" si="268"/>
        <v>25</v>
      </c>
      <c r="AB1178" s="1349" t="s">
        <v>787</v>
      </c>
      <c r="AC1178" s="55">
        <v>320</v>
      </c>
      <c r="AD1178" s="143">
        <v>550</v>
      </c>
    </row>
    <row r="1179" spans="1:30" ht="12.75" customHeight="1" x14ac:dyDescent="0.2">
      <c r="A1179" s="237">
        <v>1179</v>
      </c>
      <c r="B1179" s="5885"/>
      <c r="C1179" s="1229"/>
      <c r="D1179" s="1229"/>
      <c r="E1179" s="1229"/>
      <c r="F1179" s="1229"/>
      <c r="G1179" s="1229"/>
      <c r="H1179"/>
      <c r="L1179" s="285"/>
      <c r="M1179" s="283"/>
      <c r="N1179"/>
      <c r="P1179" s="279">
        <f t="shared" si="264"/>
        <v>0</v>
      </c>
      <c r="Q1179" s="15" t="str">
        <f>IF(Metamagia!$X$30=1,"Doble conjuro","")</f>
        <v/>
      </c>
      <c r="R1179" s="23"/>
      <c r="S1179" s="15" t="str">
        <f>IF(Metamagia!$X$30=1,"Permite lanzar dos conjuros con la ACT doblada. Ver","")</f>
        <v/>
      </c>
      <c r="T1179" s="23"/>
      <c r="U1179" s="23"/>
      <c r="V1179" s="55"/>
      <c r="W1179" s="39"/>
      <c r="Z1179" s="597" t="str">
        <f t="shared" si="267"/>
        <v>Kha-nefer, el Sacerdote Impío (Nv 3)</v>
      </c>
      <c r="AA1179" s="933">
        <f t="shared" si="268"/>
        <v>8</v>
      </c>
      <c r="AB1179" s="1349" t="s">
        <v>788</v>
      </c>
      <c r="AC1179" s="55">
        <v>180</v>
      </c>
      <c r="AD1179" s="143">
        <v>150</v>
      </c>
    </row>
    <row r="1180" spans="1:30" ht="12.75" customHeight="1" x14ac:dyDescent="0.2">
      <c r="A1180" s="237">
        <v>1180</v>
      </c>
      <c r="B1180" s="5885"/>
      <c r="C1180" s="1229"/>
      <c r="D1180" s="1229"/>
      <c r="E1180" s="1229"/>
      <c r="F1180" s="1229"/>
      <c r="G1180" s="1229"/>
      <c r="H1180"/>
      <c r="L1180" s="285"/>
      <c r="M1180" s="283"/>
      <c r="N1180"/>
      <c r="P1180" s="279">
        <f t="shared" si="264"/>
        <v>0</v>
      </c>
      <c r="Q1180" s="15" t="str">
        <f>IF(Metamagia!$AA$34=1,"Conjuro innato superior","")</f>
        <v/>
      </c>
      <c r="R1180" s="23"/>
      <c r="S1180" s="15" t="str">
        <f>IF(Metamagia!$AA$34=1,"Permite acumular magia mientras se lanzan conjuros innatos","")</f>
        <v/>
      </c>
      <c r="T1180" s="23"/>
      <c r="U1180" s="23"/>
      <c r="V1180" s="55"/>
      <c r="W1180" s="39"/>
      <c r="Z1180" s="597" t="str">
        <f t="shared" si="267"/>
        <v>Kha-nefer, el Sacerdote Impío (Nv 6)</v>
      </c>
      <c r="AA1180" s="933">
        <f t="shared" si="268"/>
        <v>9</v>
      </c>
      <c r="AB1180" s="1349" t="s">
        <v>789</v>
      </c>
      <c r="AC1180" s="55">
        <v>280</v>
      </c>
      <c r="AD1180" s="143">
        <v>400</v>
      </c>
    </row>
    <row r="1181" spans="1:30" ht="12.75" customHeight="1" thickBot="1" x14ac:dyDescent="0.25">
      <c r="A1181" s="237">
        <v>1181</v>
      </c>
      <c r="B1181" s="5885"/>
      <c r="C1181" s="1229"/>
      <c r="D1181" s="1229"/>
      <c r="E1181" s="1229"/>
      <c r="F1181" s="1229"/>
      <c r="G1181" s="1229"/>
      <c r="H1181"/>
      <c r="L1181" s="285"/>
      <c r="M1181" s="283"/>
      <c r="N1181"/>
      <c r="P1181" s="280">
        <f t="shared" si="264"/>
        <v>0</v>
      </c>
      <c r="Q1181" s="21" t="str">
        <f>IF(Metamagia!$X$37=1,"Metamagister: Alta Magia","")</f>
        <v/>
      </c>
      <c r="R1181" s="76"/>
      <c r="S1181" s="21" t="str">
        <f>IF(Metamagia!$X$37=1,"Permite lanzar conjuros de Alta Magia sin Gnosis 25. Ver","")</f>
        <v/>
      </c>
      <c r="T1181" s="76"/>
      <c r="U1181" s="76"/>
      <c r="V1181" s="638"/>
      <c r="W1181" s="77"/>
      <c r="Z1181" s="597" t="str">
        <f t="shared" si="267"/>
        <v>Kha-nefer, el Sacerdote Impío (Nv 9)</v>
      </c>
      <c r="AA1181" s="933">
        <f t="shared" si="268"/>
        <v>10</v>
      </c>
      <c r="AB1181" s="1349" t="s">
        <v>790</v>
      </c>
      <c r="AC1181" s="55">
        <v>300</v>
      </c>
      <c r="AD1181" s="143">
        <v>600</v>
      </c>
    </row>
    <row r="1182" spans="1:30" ht="12.75" customHeight="1" x14ac:dyDescent="0.2">
      <c r="A1182" s="237">
        <v>1182</v>
      </c>
      <c r="B1182" s="5885"/>
      <c r="C1182" s="1229"/>
      <c r="D1182" s="1229"/>
      <c r="E1182" s="1229"/>
      <c r="F1182" s="1229"/>
      <c r="G1182" s="1229"/>
      <c r="H1182"/>
      <c r="L1182" s="285"/>
      <c r="M1182" s="283"/>
      <c r="N1182"/>
      <c r="Z1182" s="597" t="str">
        <f t="shared" si="267"/>
        <v>Kristoff, el Rey Pirata (Nv 11)</v>
      </c>
      <c r="AA1182" s="933">
        <f t="shared" si="268"/>
        <v>5</v>
      </c>
      <c r="AB1182" s="1349" t="s">
        <v>791</v>
      </c>
      <c r="AC1182" s="55">
        <v>240</v>
      </c>
      <c r="AD1182" s="143">
        <v>200</v>
      </c>
    </row>
    <row r="1183" spans="1:30" ht="12.75" customHeight="1" x14ac:dyDescent="0.2">
      <c r="A1183" s="237">
        <v>1183</v>
      </c>
      <c r="B1183" s="5885"/>
      <c r="C1183" s="1229"/>
      <c r="D1183" s="1229"/>
      <c r="E1183" s="1229"/>
      <c r="F1183" s="1229"/>
      <c r="G1183" s="1229"/>
      <c r="H1183"/>
      <c r="L1183" s="285"/>
      <c r="M1183" s="283"/>
      <c r="N1183"/>
      <c r="Z1183" s="597" t="str">
        <f t="shared" si="267"/>
        <v>Kristoff, el Rey Pirata (Nv 4)</v>
      </c>
      <c r="AA1183" s="933">
        <f t="shared" si="268"/>
        <v>6</v>
      </c>
      <c r="AB1183" s="1349" t="s">
        <v>792</v>
      </c>
      <c r="AC1183" s="55">
        <v>260</v>
      </c>
      <c r="AD1183" s="143">
        <v>350</v>
      </c>
    </row>
    <row r="1184" spans="1:30" ht="12.75" customHeight="1" x14ac:dyDescent="0.2">
      <c r="A1184" s="237">
        <v>1184</v>
      </c>
      <c r="B1184" s="5885"/>
      <c r="C1184" s="1229"/>
      <c r="D1184" s="1229"/>
      <c r="E1184" s="1229"/>
      <c r="F1184" s="1229"/>
      <c r="G1184" s="1229"/>
      <c r="H1184"/>
      <c r="L1184" s="285"/>
      <c r="M1184" s="283"/>
      <c r="N1184"/>
      <c r="Z1184" s="597" t="str">
        <f t="shared" si="267"/>
        <v>Kristoff, el Rey Pirata (Nv 8)</v>
      </c>
      <c r="AA1184" s="933">
        <f t="shared" si="268"/>
        <v>7</v>
      </c>
      <c r="AB1184" s="1349" t="s">
        <v>793</v>
      </c>
      <c r="AC1184" s="55">
        <v>280</v>
      </c>
      <c r="AD1184" s="143">
        <v>500</v>
      </c>
    </row>
    <row r="1185" spans="1:30" ht="12.75" customHeight="1" x14ac:dyDescent="0.2">
      <c r="A1185" s="237">
        <v>1185</v>
      </c>
      <c r="B1185" s="5885"/>
      <c r="C1185" s="1229"/>
      <c r="D1185" s="1229"/>
      <c r="E1185" s="1229"/>
      <c r="F1185" s="1229"/>
      <c r="G1185" s="1229"/>
      <c r="H1185"/>
      <c r="L1185" s="285"/>
      <c r="M1185" s="283"/>
      <c r="N1185"/>
      <c r="Z1185" s="597" t="str">
        <f t="shared" si="267"/>
        <v>Linx Kazte Hex, la Sombra de la Muerte (Nv 12)</v>
      </c>
      <c r="AA1185" s="933">
        <f t="shared" si="268"/>
        <v>42</v>
      </c>
      <c r="AB1185" s="1349" t="s">
        <v>794</v>
      </c>
      <c r="AC1185" s="55">
        <v>280</v>
      </c>
      <c r="AD1185" s="143">
        <v>450</v>
      </c>
    </row>
    <row r="1186" spans="1:30" ht="12.75" customHeight="1" x14ac:dyDescent="0.2">
      <c r="A1186" s="237">
        <v>1186</v>
      </c>
      <c r="B1186" s="5885"/>
      <c r="C1186" s="1229"/>
      <c r="D1186" s="1229"/>
      <c r="E1186" s="1229"/>
      <c r="F1186" s="1229"/>
      <c r="G1186" s="1229"/>
      <c r="H1186"/>
      <c r="L1186" s="285"/>
      <c r="M1186" s="283"/>
      <c r="N1186"/>
      <c r="Z1186" s="597" t="str">
        <f t="shared" si="267"/>
        <v>Linx Kazte Hex, la Sombra de la Muerte (Nv 4)</v>
      </c>
      <c r="AA1186" s="933">
        <f t="shared" si="268"/>
        <v>43</v>
      </c>
      <c r="AB1186" s="1349" t="s">
        <v>795</v>
      </c>
      <c r="AC1186" s="55">
        <v>360</v>
      </c>
      <c r="AD1186" s="143">
        <v>750</v>
      </c>
    </row>
    <row r="1187" spans="1:30" ht="12.75" customHeight="1" x14ac:dyDescent="0.2">
      <c r="A1187" s="237">
        <v>1187</v>
      </c>
      <c r="B1187" s="5885"/>
      <c r="C1187" s="1229"/>
      <c r="D1187" s="1229"/>
      <c r="E1187" s="1229"/>
      <c r="F1187" s="1229"/>
      <c r="G1187" s="1229"/>
      <c r="H1187"/>
      <c r="L1187" s="285"/>
      <c r="M1187" s="283"/>
      <c r="N1187"/>
      <c r="Z1187" s="597" t="str">
        <f t="shared" si="267"/>
        <v>Linx Kazte Hex, la Sombra de la Muerte (Nv 8)</v>
      </c>
      <c r="AA1187" s="933">
        <f t="shared" si="268"/>
        <v>41</v>
      </c>
      <c r="AB1187" s="1349" t="s">
        <v>796</v>
      </c>
      <c r="AC1187" s="55">
        <v>460</v>
      </c>
      <c r="AD1187" s="143">
        <v>1000</v>
      </c>
    </row>
    <row r="1188" spans="1:30" ht="12.75" customHeight="1" x14ac:dyDescent="0.2">
      <c r="A1188" s="237">
        <v>1188</v>
      </c>
      <c r="B1188" s="5885"/>
      <c r="C1188" s="1229"/>
      <c r="D1188" s="1229"/>
      <c r="E1188" s="1229"/>
      <c r="F1188" s="1229"/>
      <c r="G1188" s="1229"/>
      <c r="H1188"/>
      <c r="L1188" s="285"/>
      <c r="M1188" s="283"/>
      <c r="N1188"/>
      <c r="Z1188" s="597" t="str">
        <f t="shared" si="267"/>
        <v>Loly Ann (Nv 1)</v>
      </c>
      <c r="AA1188" s="933">
        <f t="shared" si="268"/>
        <v>27</v>
      </c>
      <c r="AB1188" s="1349" t="s">
        <v>797</v>
      </c>
      <c r="AC1188" s="55">
        <v>250</v>
      </c>
      <c r="AD1188" s="143">
        <v>350</v>
      </c>
    </row>
    <row r="1189" spans="1:30" ht="12.75" customHeight="1" x14ac:dyDescent="0.2">
      <c r="A1189" s="237">
        <v>1189</v>
      </c>
      <c r="B1189" s="5885"/>
      <c r="C1189" s="1229"/>
      <c r="D1189" s="1229"/>
      <c r="E1189" s="1229"/>
      <c r="F1189" s="1229"/>
      <c r="G1189" s="1229"/>
      <c r="H1189"/>
      <c r="L1189" s="285"/>
      <c r="M1189" s="283"/>
      <c r="N1189"/>
      <c r="Z1189" s="597" t="str">
        <f t="shared" si="267"/>
        <v>Loly Ann (Nv 3)</v>
      </c>
      <c r="AA1189" s="933">
        <f t="shared" si="268"/>
        <v>28</v>
      </c>
      <c r="AB1189" s="1349" t="s">
        <v>798</v>
      </c>
      <c r="AC1189" s="55">
        <v>300</v>
      </c>
      <c r="AD1189" s="143">
        <v>500</v>
      </c>
    </row>
    <row r="1190" spans="1:30" ht="12.75" customHeight="1" x14ac:dyDescent="0.2">
      <c r="A1190" s="237">
        <v>1190</v>
      </c>
      <c r="B1190" s="5885"/>
      <c r="C1190" s="1229"/>
      <c r="D1190" s="1229"/>
      <c r="E1190" s="1229"/>
      <c r="F1190" s="1229"/>
      <c r="G1190" s="1229"/>
      <c r="H1190"/>
      <c r="L1190" s="285"/>
      <c r="M1190" s="283"/>
      <c r="N1190"/>
      <c r="Z1190" s="597" t="str">
        <f t="shared" si="267"/>
        <v>Loly Ann (Nv 5)</v>
      </c>
      <c r="AA1190" s="933">
        <f t="shared" si="268"/>
        <v>26</v>
      </c>
      <c r="AB1190" s="1349" t="s">
        <v>799</v>
      </c>
      <c r="AC1190" s="55">
        <v>380</v>
      </c>
      <c r="AD1190" s="143">
        <v>800</v>
      </c>
    </row>
    <row r="1191" spans="1:30" ht="12.75" customHeight="1" x14ac:dyDescent="0.2">
      <c r="A1191" s="237">
        <v>1191</v>
      </c>
      <c r="B1191" s="5885"/>
      <c r="C1191" s="1229"/>
      <c r="D1191" s="1229"/>
      <c r="E1191" s="1229"/>
      <c r="F1191" s="1229"/>
      <c r="G1191" s="1229"/>
      <c r="H1191"/>
      <c r="L1191" s="285"/>
      <c r="M1191" s="283"/>
      <c r="N1191"/>
      <c r="Z1191" s="597" t="str">
        <f t="shared" si="267"/>
        <v>Nerval, Defensor de los Perdidos (Nv 11)</v>
      </c>
      <c r="AA1191" s="933">
        <f t="shared" si="268"/>
        <v>32</v>
      </c>
      <c r="AB1191" s="1349" t="s">
        <v>800</v>
      </c>
      <c r="AC1191" s="55">
        <v>180</v>
      </c>
      <c r="AD1191" s="143">
        <v>150</v>
      </c>
    </row>
    <row r="1192" spans="1:30" ht="12.75" customHeight="1" x14ac:dyDescent="0.2">
      <c r="A1192" s="237">
        <v>1192</v>
      </c>
      <c r="B1192" s="5885"/>
      <c r="C1192" s="1229"/>
      <c r="D1192" s="1229"/>
      <c r="E1192" s="1229"/>
      <c r="F1192" s="1229"/>
      <c r="G1192" s="1229"/>
      <c r="H1192"/>
      <c r="L1192" s="285"/>
      <c r="M1192" s="283"/>
      <c r="N1192"/>
      <c r="Z1192" s="597" t="str">
        <f t="shared" si="267"/>
        <v>Nerval, Defensor de los Perdidos (Nv 4)</v>
      </c>
      <c r="AA1192" s="933">
        <f t="shared" si="268"/>
        <v>33</v>
      </c>
      <c r="AB1192" s="1349" t="s">
        <v>801</v>
      </c>
      <c r="AC1192" s="55">
        <v>220</v>
      </c>
      <c r="AD1192" s="143">
        <v>250</v>
      </c>
    </row>
    <row r="1193" spans="1:30" ht="12.75" customHeight="1" x14ac:dyDescent="0.2">
      <c r="A1193" s="237">
        <v>1193</v>
      </c>
      <c r="B1193" s="5885"/>
      <c r="C1193" s="1229"/>
      <c r="D1193" s="1229"/>
      <c r="E1193" s="1229"/>
      <c r="F1193" s="1229"/>
      <c r="G1193" s="1229"/>
      <c r="H1193"/>
      <c r="L1193" s="285"/>
      <c r="M1193" s="283"/>
      <c r="N1193"/>
      <c r="Z1193" s="597" t="str">
        <f t="shared" si="267"/>
        <v>Nerval, Defensor de los Perdidos (Nv 7)</v>
      </c>
      <c r="AA1193" s="933">
        <f t="shared" si="268"/>
        <v>34</v>
      </c>
      <c r="AB1193" s="1349" t="s">
        <v>802</v>
      </c>
      <c r="AC1193" s="55">
        <v>280</v>
      </c>
      <c r="AD1193" s="143">
        <v>400</v>
      </c>
    </row>
    <row r="1194" spans="1:30" ht="12.75" customHeight="1" x14ac:dyDescent="0.2">
      <c r="A1194" s="237">
        <v>1194</v>
      </c>
      <c r="B1194" s="5885"/>
      <c r="C1194" s="1229"/>
      <c r="D1194" s="1229"/>
      <c r="E1194" s="1229"/>
      <c r="F1194" s="1229"/>
      <c r="G1194" s="1229"/>
      <c r="H1194"/>
      <c r="L1194" s="285"/>
      <c r="M1194" s="283"/>
      <c r="N1194"/>
      <c r="Z1194" s="597" t="str">
        <f t="shared" si="267"/>
        <v>Quezcatli, Hijo del Sol (Nv 2)</v>
      </c>
      <c r="AA1194" s="933">
        <f t="shared" si="268"/>
        <v>3</v>
      </c>
      <c r="AB1194" s="1349" t="s">
        <v>803</v>
      </c>
      <c r="AC1194" s="55">
        <v>290</v>
      </c>
      <c r="AD1194" s="143">
        <v>450</v>
      </c>
    </row>
    <row r="1195" spans="1:30" ht="12.75" customHeight="1" x14ac:dyDescent="0.2">
      <c r="A1195" s="237">
        <v>1195</v>
      </c>
      <c r="B1195" s="5885"/>
      <c r="C1195" s="1229"/>
      <c r="D1195" s="1229"/>
      <c r="E1195" s="1229"/>
      <c r="F1195" s="1229"/>
      <c r="G1195" s="1229"/>
      <c r="H1195"/>
      <c r="L1195" s="285"/>
      <c r="M1195" s="283"/>
      <c r="N1195"/>
      <c r="Z1195" s="597" t="str">
        <f t="shared" si="267"/>
        <v>Quezcatli, Hijo del Sol (Nv 4)</v>
      </c>
      <c r="AA1195" s="933">
        <f t="shared" si="268"/>
        <v>4</v>
      </c>
      <c r="AB1195" s="1349" t="s">
        <v>804</v>
      </c>
      <c r="AC1195" s="55">
        <v>380</v>
      </c>
      <c r="AD1195" s="143">
        <v>750</v>
      </c>
    </row>
    <row r="1196" spans="1:30" ht="12.75" customHeight="1" x14ac:dyDescent="0.2">
      <c r="A1196" s="237">
        <v>1196</v>
      </c>
      <c r="B1196" s="5885"/>
      <c r="C1196" s="1229"/>
      <c r="D1196" s="1229"/>
      <c r="E1196" s="1229"/>
      <c r="F1196" s="1229"/>
      <c r="G1196" s="1229"/>
      <c r="H1196"/>
      <c r="L1196" s="285"/>
      <c r="M1196" s="283"/>
      <c r="N1196"/>
      <c r="Z1196" s="597" t="str">
        <f t="shared" si="267"/>
        <v>Quezcatli, Hijo del Sol (Nv 6)</v>
      </c>
      <c r="AA1196" s="933">
        <f t="shared" si="268"/>
        <v>2</v>
      </c>
      <c r="AB1196" s="1349" t="s">
        <v>805</v>
      </c>
      <c r="AC1196" s="55">
        <v>460</v>
      </c>
      <c r="AD1196" s="143">
        <v>1250</v>
      </c>
    </row>
    <row r="1197" spans="1:30" ht="12.75" customHeight="1" x14ac:dyDescent="0.2">
      <c r="A1197" s="237">
        <v>1197</v>
      </c>
      <c r="B1197" s="5885"/>
      <c r="C1197" s="1229"/>
      <c r="D1197" s="1229"/>
      <c r="E1197" s="1229"/>
      <c r="F1197" s="1229"/>
      <c r="G1197" s="1229"/>
      <c r="H1197"/>
      <c r="L1197" s="285"/>
      <c r="M1197" s="283"/>
      <c r="N1197"/>
      <c r="Z1197" s="597" t="str">
        <f t="shared" si="267"/>
        <v>Ruatha Synn (Nv 12)</v>
      </c>
      <c r="AA1197" s="933">
        <f t="shared" si="268"/>
        <v>45</v>
      </c>
      <c r="AB1197" s="1349" t="s">
        <v>806</v>
      </c>
      <c r="AC1197" s="55">
        <v>260</v>
      </c>
      <c r="AD1197" s="143">
        <v>400</v>
      </c>
    </row>
    <row r="1198" spans="1:30" ht="12.75" customHeight="1" x14ac:dyDescent="0.2">
      <c r="A1198" s="237">
        <v>1198</v>
      </c>
      <c r="B1198" s="5885"/>
      <c r="C1198" s="1229"/>
      <c r="D1198" s="1229"/>
      <c r="E1198" s="1229"/>
      <c r="F1198" s="1229"/>
      <c r="G1198" s="1229"/>
      <c r="H1198"/>
      <c r="L1198" s="285"/>
      <c r="M1198" s="283"/>
      <c r="N1198"/>
      <c r="Z1198" s="597" t="str">
        <f t="shared" si="267"/>
        <v>Ruatha Synn (Nv 4)</v>
      </c>
      <c r="AA1198" s="933">
        <f t="shared" si="268"/>
        <v>46</v>
      </c>
      <c r="AB1198" s="1349" t="s">
        <v>807</v>
      </c>
      <c r="AC1198" s="55">
        <v>300</v>
      </c>
      <c r="AD1198" s="143">
        <v>600</v>
      </c>
    </row>
    <row r="1199" spans="1:30" ht="12.75" customHeight="1" x14ac:dyDescent="0.2">
      <c r="A1199" s="237">
        <v>1199</v>
      </c>
      <c r="B1199" s="5885"/>
      <c r="C1199" s="1229"/>
      <c r="D1199" s="1229"/>
      <c r="E1199" s="1229"/>
      <c r="F1199" s="1229"/>
      <c r="G1199" s="1229"/>
      <c r="H1199"/>
      <c r="L1199" s="285"/>
      <c r="M1199" s="283"/>
      <c r="N1199"/>
      <c r="Z1199" s="597" t="str">
        <f t="shared" si="267"/>
        <v>Ruatha Synn (Nv 8)</v>
      </c>
      <c r="AA1199" s="933">
        <f t="shared" si="268"/>
        <v>44</v>
      </c>
      <c r="AB1199" s="1349" t="s">
        <v>808</v>
      </c>
      <c r="AC1199" s="55">
        <v>500</v>
      </c>
      <c r="AD1199" s="143">
        <v>1200</v>
      </c>
    </row>
    <row r="1200" spans="1:30" ht="12.75" customHeight="1" x14ac:dyDescent="0.2">
      <c r="A1200" s="237">
        <v>1200</v>
      </c>
      <c r="B1200" s="5885"/>
      <c r="C1200" s="1229"/>
      <c r="D1200" s="1229"/>
      <c r="E1200" s="1229"/>
      <c r="F1200" s="1229"/>
      <c r="G1200" s="1229"/>
      <c r="H1200"/>
      <c r="L1200" s="285"/>
      <c r="M1200" s="283"/>
      <c r="N1200"/>
      <c r="Z1200" s="597" t="str">
        <f t="shared" si="267"/>
        <v>Wang Shou Bo (Nv 13)</v>
      </c>
      <c r="AA1200" s="933">
        <f t="shared" si="268"/>
        <v>22</v>
      </c>
      <c r="AB1200" s="1349" t="s">
        <v>809</v>
      </c>
      <c r="AC1200" s="55">
        <v>360</v>
      </c>
      <c r="AD1200" s="143">
        <v>750</v>
      </c>
    </row>
    <row r="1201" spans="1:80" ht="12.75" customHeight="1" x14ac:dyDescent="0.2">
      <c r="A1201" s="237">
        <v>1201</v>
      </c>
      <c r="B1201" s="5885"/>
      <c r="C1201" s="1229"/>
      <c r="D1201" s="1229"/>
      <c r="E1201" s="1229"/>
      <c r="F1201" s="1229"/>
      <c r="G1201" s="1229"/>
      <c r="H1201"/>
      <c r="L1201" s="285"/>
      <c r="M1201" s="283"/>
      <c r="N1201"/>
      <c r="Z1201" s="597" t="str">
        <f t="shared" si="267"/>
        <v>Wang Shou Bo (Nv 5)</v>
      </c>
      <c r="AA1201" s="933">
        <f t="shared" si="268"/>
        <v>20</v>
      </c>
      <c r="AB1201" s="1349" t="s">
        <v>810</v>
      </c>
      <c r="AC1201" s="55">
        <v>440</v>
      </c>
      <c r="AD1201" s="143">
        <v>1200</v>
      </c>
    </row>
    <row r="1202" spans="1:80" ht="12.75" customHeight="1" x14ac:dyDescent="0.2">
      <c r="A1202" s="237">
        <v>1202</v>
      </c>
      <c r="B1202" s="5885"/>
      <c r="C1202" s="1229"/>
      <c r="D1202" s="1229"/>
      <c r="E1202" s="1229"/>
      <c r="F1202" s="1229"/>
      <c r="G1202" s="1229"/>
      <c r="H1202"/>
      <c r="L1202" s="285"/>
      <c r="M1202" s="283"/>
      <c r="N1202"/>
      <c r="Z1202" s="597" t="str">
        <f t="shared" si="267"/>
        <v>Wang Shou Bo (Nv 9)</v>
      </c>
      <c r="AA1202" s="933">
        <f t="shared" si="268"/>
        <v>21</v>
      </c>
      <c r="AB1202" s="1349" t="s">
        <v>811</v>
      </c>
      <c r="AC1202" s="55">
        <v>520</v>
      </c>
      <c r="AD1202" s="143">
        <v>1500</v>
      </c>
    </row>
    <row r="1203" spans="1:80" ht="12.75" customHeight="1" x14ac:dyDescent="0.2">
      <c r="A1203" s="237">
        <v>1203</v>
      </c>
      <c r="B1203" s="5885"/>
      <c r="C1203" s="1229"/>
      <c r="D1203" s="1229"/>
      <c r="E1203" s="1229"/>
      <c r="F1203" s="1229"/>
      <c r="G1203" s="1229"/>
      <c r="H1203"/>
      <c r="L1203" s="285"/>
      <c r="M1203" s="283"/>
      <c r="N1203"/>
      <c r="Z1203" s="597" t="str">
        <f>AB1203</f>
        <v>&gt; INVOCACIONES PERSONALIZADAS</v>
      </c>
      <c r="AA1203" s="933"/>
      <c r="AB1203" s="1349" t="s">
        <v>812</v>
      </c>
      <c r="AC1203" s="55"/>
      <c r="AD1203" s="143"/>
    </row>
    <row r="1204" spans="1:80" ht="12.75" customHeight="1" x14ac:dyDescent="0.2">
      <c r="A1204" s="237">
        <v>1204</v>
      </c>
      <c r="B1204" s="5885"/>
      <c r="C1204" s="1229"/>
      <c r="D1204" s="1229"/>
      <c r="E1204" s="1229"/>
      <c r="F1204" s="1229"/>
      <c r="G1204" s="1229"/>
      <c r="H1204"/>
      <c r="L1204" s="285"/>
      <c r="M1204" s="283"/>
      <c r="N1204"/>
      <c r="Z1204" s="597" t="str">
        <f t="shared" ref="Z1204:Z1209" si="269">AB1204</f>
        <v>Invocación personalizada #1</v>
      </c>
      <c r="AA1204" s="933"/>
      <c r="AB1204" s="1349" t="str">
        <f>IF(Personalización!V55=0,"Invocación personalizada #1",Personalización!V55)</f>
        <v>Invocación personalizada #1</v>
      </c>
      <c r="AC1204" s="55">
        <f>Personalización!AB55</f>
        <v>0</v>
      </c>
      <c r="AD1204" s="143">
        <f>Personalización!AC55</f>
        <v>0</v>
      </c>
    </row>
    <row r="1205" spans="1:80" ht="12.75" customHeight="1" x14ac:dyDescent="0.2">
      <c r="A1205" s="237">
        <v>1205</v>
      </c>
      <c r="B1205" s="5885"/>
      <c r="C1205" s="1229"/>
      <c r="D1205" s="1229"/>
      <c r="E1205" s="1229"/>
      <c r="F1205" s="1229"/>
      <c r="G1205" s="1229"/>
      <c r="H1205"/>
      <c r="L1205" s="285"/>
      <c r="M1205" s="283"/>
      <c r="N1205"/>
      <c r="Z1205" s="597" t="str">
        <f t="shared" si="269"/>
        <v>Invocación personalizada #2</v>
      </c>
      <c r="AA1205" s="933"/>
      <c r="AB1205" s="1349" t="str">
        <f>IF(Personalización!V56=0,"Invocación personalizada #2",Personalización!V56)</f>
        <v>Invocación personalizada #2</v>
      </c>
      <c r="AC1205" s="55">
        <f>Personalización!AB56</f>
        <v>0</v>
      </c>
      <c r="AD1205" s="143">
        <f>Personalización!AC56</f>
        <v>0</v>
      </c>
    </row>
    <row r="1206" spans="1:80" ht="12.75" customHeight="1" x14ac:dyDescent="0.2">
      <c r="A1206" s="237">
        <v>1206</v>
      </c>
      <c r="B1206" s="5885"/>
      <c r="C1206" s="1229"/>
      <c r="D1206" s="1229"/>
      <c r="E1206" s="1229"/>
      <c r="F1206" s="1229"/>
      <c r="G1206" s="1229"/>
      <c r="H1206"/>
      <c r="L1206" s="285"/>
      <c r="M1206" s="283"/>
      <c r="N1206"/>
      <c r="Z1206" s="597" t="str">
        <f t="shared" si="269"/>
        <v>Invocación personalizada #3</v>
      </c>
      <c r="AA1206" s="933"/>
      <c r="AB1206" s="1349" t="str">
        <f>IF(Personalización!V57=0,"Invocación personalizada #3",Personalización!V57)</f>
        <v>Invocación personalizada #3</v>
      </c>
      <c r="AC1206" s="55">
        <f>Personalización!AB57</f>
        <v>0</v>
      </c>
      <c r="AD1206" s="143">
        <f>Personalización!AC57</f>
        <v>0</v>
      </c>
    </row>
    <row r="1207" spans="1:80" ht="12.75" customHeight="1" x14ac:dyDescent="0.2">
      <c r="A1207" s="237">
        <v>1207</v>
      </c>
      <c r="B1207" s="5885"/>
      <c r="C1207" s="1229"/>
      <c r="D1207" s="1229"/>
      <c r="E1207" s="1229"/>
      <c r="F1207" s="1229"/>
      <c r="G1207" s="1229"/>
      <c r="H1207"/>
      <c r="L1207" s="285"/>
      <c r="M1207" s="283"/>
      <c r="N1207"/>
      <c r="Z1207" s="597" t="str">
        <f t="shared" si="269"/>
        <v>Invocación personalizada #4</v>
      </c>
      <c r="AA1207" s="933"/>
      <c r="AB1207" s="1349" t="str">
        <f>IF(Personalización!V58=0,"Invocación personalizada #4",Personalización!V58)</f>
        <v>Invocación personalizada #4</v>
      </c>
      <c r="AC1207" s="55">
        <f>Personalización!AB58</f>
        <v>0</v>
      </c>
      <c r="AD1207" s="143">
        <f>Personalización!AC58</f>
        <v>0</v>
      </c>
    </row>
    <row r="1208" spans="1:80" ht="12.75" customHeight="1" x14ac:dyDescent="0.2">
      <c r="A1208" s="237">
        <v>1208</v>
      </c>
      <c r="B1208" s="5885"/>
      <c r="C1208" s="1229"/>
      <c r="D1208" s="1229"/>
      <c r="E1208" s="1229"/>
      <c r="F1208" s="1229"/>
      <c r="G1208" s="1229"/>
      <c r="H1208"/>
      <c r="L1208" s="285"/>
      <c r="M1208" s="283"/>
      <c r="N1208"/>
      <c r="Z1208" s="597" t="str">
        <f t="shared" si="269"/>
        <v>Invocación personalizada #5</v>
      </c>
      <c r="AA1208" s="933"/>
      <c r="AB1208" s="1349" t="str">
        <f>IF(Personalización!V59=0,"Invocación personalizada #5",Personalización!V59)</f>
        <v>Invocación personalizada #5</v>
      </c>
      <c r="AC1208" s="55">
        <f>Personalización!AB59</f>
        <v>0</v>
      </c>
      <c r="AD1208" s="143">
        <f>Personalización!AC59</f>
        <v>0</v>
      </c>
    </row>
    <row r="1209" spans="1:80" ht="12.75" customHeight="1" x14ac:dyDescent="0.2">
      <c r="A1209" s="237">
        <v>1209</v>
      </c>
      <c r="B1209" s="5885"/>
      <c r="C1209" s="1229"/>
      <c r="D1209" s="1229"/>
      <c r="E1209" s="1229"/>
      <c r="F1209" s="1229"/>
      <c r="G1209" s="1229"/>
      <c r="H1209"/>
      <c r="L1209" s="285"/>
      <c r="M1209" s="283"/>
      <c r="N1209"/>
      <c r="Z1209" s="597" t="str">
        <f t="shared" si="269"/>
        <v>Invocación personalizada #6</v>
      </c>
      <c r="AA1209" s="933"/>
      <c r="AB1209" s="1349" t="str">
        <f>IF(Personalización!V60=0,"Invocación personalizada #6",Personalización!V60)</f>
        <v>Invocación personalizada #6</v>
      </c>
      <c r="AC1209" s="55">
        <f>Personalización!AB60</f>
        <v>0</v>
      </c>
      <c r="AD1209" s="143">
        <f>Personalización!AC60</f>
        <v>0</v>
      </c>
    </row>
    <row r="1210" spans="1:80" ht="12.75" customHeight="1" thickBot="1" x14ac:dyDescent="0.25">
      <c r="A1210" s="237">
        <v>1210</v>
      </c>
      <c r="B1210" s="5885"/>
      <c r="C1210" s="1229"/>
      <c r="D1210" s="1229"/>
      <c r="E1210" s="1229"/>
      <c r="F1210" s="1229"/>
      <c r="G1210" s="1229"/>
      <c r="H1210"/>
      <c r="L1210" s="285"/>
      <c r="M1210" s="283"/>
      <c r="N1210"/>
      <c r="Z1210" s="239" t="str">
        <f>AB1210</f>
        <v>Invocación personalizada #7</v>
      </c>
      <c r="AA1210" s="638"/>
      <c r="AB1210" s="1350" t="str">
        <f>IF(Personalización!V61=0,"Invocación personalizada #7",Personalización!V61)</f>
        <v>Invocación personalizada #7</v>
      </c>
      <c r="AC1210" s="638">
        <f>Personalización!AB61</f>
        <v>0</v>
      </c>
      <c r="AD1210" s="643">
        <f>Personalización!AC61</f>
        <v>0</v>
      </c>
    </row>
    <row r="1211" spans="1:80" ht="12.75" customHeight="1" x14ac:dyDescent="0.2">
      <c r="A1211" s="237">
        <v>1211</v>
      </c>
      <c r="B1211" s="5885"/>
      <c r="C1211" s="1229"/>
      <c r="D1211" s="1229"/>
      <c r="E1211" s="1229"/>
      <c r="F1211" s="1229"/>
      <c r="G1211" s="1229"/>
      <c r="H1211"/>
      <c r="L1211" s="285"/>
      <c r="M1211" s="283"/>
      <c r="N1211"/>
    </row>
    <row r="1212" spans="1:80" ht="12.75" customHeight="1" x14ac:dyDescent="0.2">
      <c r="A1212" s="237">
        <v>1212</v>
      </c>
      <c r="B1212" s="5838"/>
      <c r="C1212" s="5812" t="s">
        <v>7508</v>
      </c>
      <c r="D1212" s="5812"/>
      <c r="E1212" s="5812"/>
      <c r="F1212" s="5812"/>
      <c r="G1212" s="5812"/>
      <c r="H1212" s="5812"/>
      <c r="I1212" s="5812"/>
      <c r="J1212" s="5812"/>
      <c r="K1212" s="5812"/>
      <c r="L1212" s="5812"/>
      <c r="M1212" s="5812"/>
      <c r="N1212" s="5812"/>
      <c r="O1212" s="5812"/>
      <c r="P1212" s="5812"/>
      <c r="Q1212" s="5812"/>
      <c r="R1212" s="5812"/>
      <c r="S1212" s="5812"/>
      <c r="T1212" s="5812"/>
      <c r="U1212" s="5812"/>
      <c r="V1212" s="5812"/>
      <c r="W1212" s="5812"/>
      <c r="X1212" s="5812"/>
      <c r="Y1212" s="5812"/>
      <c r="Z1212" s="5812"/>
      <c r="AA1212" s="5812"/>
      <c r="AB1212" s="5812"/>
      <c r="AC1212" s="5812"/>
      <c r="AD1212" s="5812"/>
      <c r="AE1212" s="5812"/>
      <c r="AF1212" s="5812"/>
      <c r="AG1212" s="5812"/>
      <c r="AH1212" s="5812"/>
      <c r="AI1212" s="5812"/>
      <c r="AJ1212" s="5812"/>
      <c r="AK1212" s="5812"/>
      <c r="AL1212" s="5812"/>
      <c r="AM1212" s="5812"/>
      <c r="AN1212" s="5812"/>
      <c r="AO1212" s="5812"/>
      <c r="AP1212" s="5812"/>
      <c r="AQ1212" s="5812"/>
      <c r="AR1212" s="5812"/>
      <c r="AS1212" s="5812"/>
      <c r="AT1212" s="5812"/>
      <c r="AU1212" s="5812"/>
      <c r="AV1212" s="5812"/>
      <c r="AW1212" s="5812"/>
      <c r="AX1212" s="5812"/>
      <c r="AY1212" s="5812"/>
      <c r="AZ1212" s="5812"/>
      <c r="BA1212" s="5812"/>
      <c r="BB1212" s="5812"/>
      <c r="BC1212" s="5812"/>
      <c r="BD1212" s="5812"/>
      <c r="BE1212" s="5812"/>
      <c r="BF1212" s="5812"/>
      <c r="BG1212" s="5812"/>
      <c r="BH1212" s="5812"/>
      <c r="BI1212" s="5812"/>
      <c r="BJ1212" s="5812"/>
      <c r="BK1212" s="5812"/>
      <c r="BL1212" s="5812"/>
      <c r="BM1212" s="5812"/>
      <c r="BN1212" s="5812"/>
      <c r="BO1212" s="5812"/>
      <c r="BP1212" s="5812"/>
      <c r="BQ1212" s="5812"/>
      <c r="BR1212" s="5812"/>
      <c r="BS1212" s="5812"/>
      <c r="BT1212" s="5812"/>
      <c r="BU1212" s="5812"/>
      <c r="BV1212" s="5812"/>
      <c r="BW1212" s="5812"/>
      <c r="BX1212" s="5812"/>
      <c r="BY1212" s="5812"/>
      <c r="BZ1212" s="5812"/>
      <c r="CA1212" s="5812"/>
      <c r="CB1212" s="5812"/>
    </row>
    <row r="1213" spans="1:80" ht="12.75" customHeight="1" x14ac:dyDescent="0.2">
      <c r="A1213" s="237">
        <v>1213</v>
      </c>
      <c r="B1213" s="5838"/>
      <c r="C1213" s="5812"/>
      <c r="D1213" s="5812"/>
      <c r="E1213" s="5812"/>
      <c r="F1213" s="5812"/>
      <c r="G1213" s="5812"/>
      <c r="H1213" s="5812"/>
      <c r="I1213" s="5812"/>
      <c r="J1213" s="5812"/>
      <c r="K1213" s="5812"/>
      <c r="L1213" s="5812"/>
      <c r="M1213" s="5812"/>
      <c r="N1213" s="5812"/>
      <c r="O1213" s="5812"/>
      <c r="P1213" s="5812"/>
      <c r="Q1213" s="5812"/>
      <c r="R1213" s="5812"/>
      <c r="S1213" s="5812"/>
      <c r="T1213" s="5812"/>
      <c r="U1213" s="5812"/>
      <c r="V1213" s="5812"/>
      <c r="W1213" s="5812"/>
      <c r="X1213" s="5812"/>
      <c r="Y1213" s="5812"/>
      <c r="Z1213" s="5812"/>
      <c r="AA1213" s="5812"/>
      <c r="AB1213" s="5812"/>
      <c r="AC1213" s="5812"/>
      <c r="AD1213" s="5812"/>
      <c r="AE1213" s="5812"/>
      <c r="AF1213" s="5812"/>
      <c r="AG1213" s="5812"/>
      <c r="AH1213" s="5812"/>
      <c r="AI1213" s="5812"/>
      <c r="AJ1213" s="5812"/>
      <c r="AK1213" s="5812"/>
      <c r="AL1213" s="5812"/>
      <c r="AM1213" s="5812"/>
      <c r="AN1213" s="5812"/>
      <c r="AO1213" s="5812"/>
      <c r="AP1213" s="5812"/>
      <c r="AQ1213" s="5812"/>
      <c r="AR1213" s="5812"/>
      <c r="AS1213" s="5812"/>
      <c r="AT1213" s="5812"/>
      <c r="AU1213" s="5812"/>
      <c r="AV1213" s="5812"/>
      <c r="AW1213" s="5812"/>
      <c r="AX1213" s="5812"/>
      <c r="AY1213" s="5812"/>
      <c r="AZ1213" s="5812"/>
      <c r="BA1213" s="5812"/>
      <c r="BB1213" s="5812"/>
      <c r="BC1213" s="5812"/>
      <c r="BD1213" s="5812"/>
      <c r="BE1213" s="5812"/>
      <c r="BF1213" s="5812"/>
      <c r="BG1213" s="5812"/>
      <c r="BH1213" s="5812"/>
      <c r="BI1213" s="5812"/>
      <c r="BJ1213" s="5812"/>
      <c r="BK1213" s="5812"/>
      <c r="BL1213" s="5812"/>
      <c r="BM1213" s="5812"/>
      <c r="BN1213" s="5812"/>
      <c r="BO1213" s="5812"/>
      <c r="BP1213" s="5812"/>
      <c r="BQ1213" s="5812"/>
      <c r="BR1213" s="5812"/>
      <c r="BS1213" s="5812"/>
      <c r="BT1213" s="5812"/>
      <c r="BU1213" s="5812"/>
      <c r="BV1213" s="5812"/>
      <c r="BW1213" s="5812"/>
      <c r="BX1213" s="5812"/>
      <c r="BY1213" s="5812"/>
      <c r="BZ1213" s="5812"/>
      <c r="CA1213" s="5812"/>
      <c r="CB1213" s="5812"/>
    </row>
    <row r="1214" spans="1:80" ht="12.75" customHeight="1" x14ac:dyDescent="0.2">
      <c r="A1214" s="237">
        <v>1214</v>
      </c>
      <c r="B1214" s="5838"/>
      <c r="C1214" s="5812"/>
      <c r="D1214" s="5812"/>
      <c r="E1214" s="5812"/>
      <c r="F1214" s="5812"/>
      <c r="G1214" s="5812"/>
      <c r="H1214" s="5812"/>
      <c r="I1214" s="5812"/>
      <c r="J1214" s="5812"/>
      <c r="K1214" s="5812"/>
      <c r="L1214" s="5812"/>
      <c r="M1214" s="5812"/>
      <c r="N1214" s="5812"/>
      <c r="O1214" s="5812"/>
      <c r="P1214" s="5812"/>
      <c r="Q1214" s="5812"/>
      <c r="R1214" s="5812"/>
      <c r="S1214" s="5812"/>
      <c r="T1214" s="5812"/>
      <c r="U1214" s="5812"/>
      <c r="V1214" s="5812"/>
      <c r="W1214" s="5812"/>
      <c r="X1214" s="5812"/>
      <c r="Y1214" s="5812"/>
      <c r="Z1214" s="5812"/>
      <c r="AA1214" s="5812"/>
      <c r="AB1214" s="5812"/>
      <c r="AC1214" s="5812"/>
      <c r="AD1214" s="5812"/>
      <c r="AE1214" s="5812"/>
      <c r="AF1214" s="5812"/>
      <c r="AG1214" s="5812"/>
      <c r="AH1214" s="5812"/>
      <c r="AI1214" s="5812"/>
      <c r="AJ1214" s="5812"/>
      <c r="AK1214" s="5812"/>
      <c r="AL1214" s="5812"/>
      <c r="AM1214" s="5812"/>
      <c r="AN1214" s="5812"/>
      <c r="AO1214" s="5812"/>
      <c r="AP1214" s="5812"/>
      <c r="AQ1214" s="5812"/>
      <c r="AR1214" s="5812"/>
      <c r="AS1214" s="5812"/>
      <c r="AT1214" s="5812"/>
      <c r="AU1214" s="5812"/>
      <c r="AV1214" s="5812"/>
      <c r="AW1214" s="5812"/>
      <c r="AX1214" s="5812"/>
      <c r="AY1214" s="5812"/>
      <c r="AZ1214" s="5812"/>
      <c r="BA1214" s="5812"/>
      <c r="BB1214" s="5812"/>
      <c r="BC1214" s="5812"/>
      <c r="BD1214" s="5812"/>
      <c r="BE1214" s="5812"/>
      <c r="BF1214" s="5812"/>
      <c r="BG1214" s="5812"/>
      <c r="BH1214" s="5812"/>
      <c r="BI1214" s="5812"/>
      <c r="BJ1214" s="5812"/>
      <c r="BK1214" s="5812"/>
      <c r="BL1214" s="5812"/>
      <c r="BM1214" s="5812"/>
      <c r="BN1214" s="5812"/>
      <c r="BO1214" s="5812"/>
      <c r="BP1214" s="5812"/>
      <c r="BQ1214" s="5812"/>
      <c r="BR1214" s="5812"/>
      <c r="BS1214" s="5812"/>
      <c r="BT1214" s="5812"/>
      <c r="BU1214" s="5812"/>
      <c r="BV1214" s="5812"/>
      <c r="BW1214" s="5812"/>
      <c r="BX1214" s="5812"/>
      <c r="BY1214" s="5812"/>
      <c r="BZ1214" s="5812"/>
      <c r="CA1214" s="5812"/>
      <c r="CB1214" s="5812"/>
    </row>
    <row r="1215" spans="1:80" ht="12.75" customHeight="1" thickBot="1" x14ac:dyDescent="0.25">
      <c r="A1215" s="237">
        <v>1215</v>
      </c>
      <c r="B1215" s="5838"/>
      <c r="H1215"/>
      <c r="I1215" s="592"/>
      <c r="N1215"/>
      <c r="O1215" s="592"/>
    </row>
    <row r="1216" spans="1:80" ht="12.75" customHeight="1" x14ac:dyDescent="0.2">
      <c r="A1216" s="237">
        <v>1216</v>
      </c>
      <c r="B1216" s="5838"/>
      <c r="C1216" s="5986" t="s">
        <v>1250</v>
      </c>
      <c r="D1216" s="5987"/>
      <c r="E1216" s="5987"/>
      <c r="F1216" s="5987"/>
      <c r="G1216" s="5987"/>
      <c r="H1216" s="5987"/>
      <c r="I1216" s="5987"/>
      <c r="J1216" s="5987"/>
      <c r="K1216" s="5988"/>
      <c r="M1216" s="5847" t="s">
        <v>1442</v>
      </c>
      <c r="N1216" s="5848"/>
      <c r="O1216" s="5848"/>
      <c r="P1216" s="5848"/>
      <c r="Q1216" s="5848"/>
      <c r="R1216" s="5848"/>
      <c r="S1216" s="5848"/>
      <c r="T1216" s="5849"/>
      <c r="W1216" s="6027" t="s">
        <v>1444</v>
      </c>
      <c r="X1216" s="6028"/>
      <c r="Y1216" s="6024" t="s">
        <v>7519</v>
      </c>
      <c r="Z1216" s="6023" t="s">
        <v>7524</v>
      </c>
      <c r="AA1216" s="6024"/>
      <c r="AB1216" s="6024"/>
      <c r="AC1216" s="6024"/>
      <c r="AD1216" s="6024"/>
      <c r="AE1216" s="6024"/>
      <c r="AF1216" s="6024"/>
      <c r="AG1216" s="6024"/>
      <c r="AH1216" s="6024"/>
      <c r="AI1216" s="6024"/>
      <c r="AJ1216" s="6024"/>
      <c r="AK1216" s="6024"/>
      <c r="AL1216" s="6024"/>
      <c r="AM1216" s="6024"/>
      <c r="AN1216" s="6024"/>
      <c r="AO1216" s="6024"/>
      <c r="AP1216" s="6024"/>
      <c r="AQ1216" s="6024"/>
      <c r="AR1216" s="6024"/>
      <c r="AS1216" s="6024"/>
      <c r="AT1216" s="6024"/>
      <c r="AU1216" s="6024"/>
      <c r="AV1216" s="6024"/>
      <c r="AW1216" s="6024"/>
      <c r="AX1216" s="6024"/>
      <c r="AY1216" s="6024"/>
      <c r="AZ1216" s="6024"/>
      <c r="BA1216" s="6024"/>
      <c r="BB1216" s="6024"/>
      <c r="BC1216" s="6024"/>
      <c r="BD1216" s="6024"/>
      <c r="BE1216" s="6024"/>
      <c r="BF1216" s="6024"/>
      <c r="BG1216" s="6024"/>
      <c r="BH1216" s="6024"/>
      <c r="BI1216" s="6024"/>
      <c r="BJ1216" s="6024"/>
      <c r="BK1216" s="6024"/>
      <c r="BL1216" s="6024"/>
      <c r="BM1216" s="6024"/>
      <c r="BN1216" s="6024"/>
      <c r="BO1216" s="6024"/>
      <c r="BP1216" s="6024"/>
      <c r="BQ1216" s="6024"/>
      <c r="BR1216" s="6024"/>
      <c r="BS1216" s="6024"/>
      <c r="BT1216" s="6024"/>
      <c r="BU1216" s="6024"/>
      <c r="BV1216" s="6024"/>
      <c r="BW1216" s="6024"/>
      <c r="BX1216" s="6024"/>
      <c r="BY1216" s="6024"/>
      <c r="BZ1216" s="6024"/>
      <c r="CA1216" s="6024"/>
      <c r="CB1216" s="6025"/>
    </row>
    <row r="1217" spans="1:80" ht="12.75" customHeight="1" x14ac:dyDescent="0.2">
      <c r="A1217" s="237">
        <v>1217</v>
      </c>
      <c r="B1217" s="5838"/>
      <c r="C1217" s="5989"/>
      <c r="D1217" s="5990"/>
      <c r="E1217" s="5990"/>
      <c r="F1217" s="5990"/>
      <c r="G1217" s="5990"/>
      <c r="H1217" s="5990"/>
      <c r="I1217" s="5990"/>
      <c r="J1217" s="5990"/>
      <c r="K1217" s="5991"/>
      <c r="M1217" s="5850"/>
      <c r="N1217" s="4595"/>
      <c r="O1217" s="4595"/>
      <c r="P1217" s="4595"/>
      <c r="Q1217" s="4595"/>
      <c r="R1217" s="4595"/>
      <c r="S1217" s="4595"/>
      <c r="T1217" s="5851"/>
      <c r="W1217" s="6029"/>
      <c r="X1217" s="4605"/>
      <c r="Y1217" s="6021"/>
      <c r="Z1217" s="6026"/>
      <c r="AA1217" s="6021"/>
      <c r="AB1217" s="6021"/>
      <c r="AC1217" s="6021"/>
      <c r="AD1217" s="6021"/>
      <c r="AE1217" s="6021"/>
      <c r="AF1217" s="6021"/>
      <c r="AG1217" s="6021"/>
      <c r="AH1217" s="6021"/>
      <c r="AI1217" s="6021"/>
      <c r="AJ1217" s="6021"/>
      <c r="AK1217" s="6021"/>
      <c r="AL1217" s="6021"/>
      <c r="AM1217" s="6021"/>
      <c r="AN1217" s="6021"/>
      <c r="AO1217" s="6021"/>
      <c r="AP1217" s="6021"/>
      <c r="AQ1217" s="6021"/>
      <c r="AR1217" s="6021"/>
      <c r="AS1217" s="6021"/>
      <c r="AT1217" s="6021"/>
      <c r="AU1217" s="6021"/>
      <c r="AV1217" s="6021"/>
      <c r="AW1217" s="6021"/>
      <c r="AX1217" s="6021"/>
      <c r="AY1217" s="6021"/>
      <c r="AZ1217" s="6021"/>
      <c r="BA1217" s="6021"/>
      <c r="BB1217" s="6021"/>
      <c r="BC1217" s="6021"/>
      <c r="BD1217" s="6021"/>
      <c r="BE1217" s="6021"/>
      <c r="BF1217" s="6021"/>
      <c r="BG1217" s="6021"/>
      <c r="BH1217" s="6021"/>
      <c r="BI1217" s="6021"/>
      <c r="BJ1217" s="6021"/>
      <c r="BK1217" s="6021"/>
      <c r="BL1217" s="6021"/>
      <c r="BM1217" s="6021"/>
      <c r="BN1217" s="6021"/>
      <c r="BO1217" s="6021"/>
      <c r="BP1217" s="6021"/>
      <c r="BQ1217" s="6021"/>
      <c r="BR1217" s="6021"/>
      <c r="BS1217" s="6021"/>
      <c r="BT1217" s="6021"/>
      <c r="BU1217" s="6021"/>
      <c r="BV1217" s="6021"/>
      <c r="BW1217" s="6021"/>
      <c r="BX1217" s="6021"/>
      <c r="BY1217" s="6021"/>
      <c r="BZ1217" s="6021"/>
      <c r="CA1217" s="6021"/>
      <c r="CB1217" s="6022"/>
    </row>
    <row r="1218" spans="1:80" ht="12.75" customHeight="1" x14ac:dyDescent="0.2">
      <c r="A1218" s="237">
        <v>1218</v>
      </c>
      <c r="B1218" s="5838"/>
      <c r="C1218" s="1068"/>
      <c r="D1218" s="1009"/>
      <c r="E1218" s="1009">
        <v>1</v>
      </c>
      <c r="F1218" s="1009">
        <v>2</v>
      </c>
      <c r="G1218" s="1009">
        <v>3</v>
      </c>
      <c r="H1218" s="1009">
        <v>4</v>
      </c>
      <c r="I1218" s="1009">
        <v>5</v>
      </c>
      <c r="J1218" s="1009">
        <v>6</v>
      </c>
      <c r="K1218" s="776">
        <v>7</v>
      </c>
      <c r="M1218" s="1068"/>
      <c r="N1218" s="1009"/>
      <c r="O1218" s="1009">
        <v>1</v>
      </c>
      <c r="P1218" s="1009">
        <v>2</v>
      </c>
      <c r="Q1218" s="1009">
        <v>3</v>
      </c>
      <c r="R1218" s="1009">
        <v>4</v>
      </c>
      <c r="S1218" s="1009">
        <v>5</v>
      </c>
      <c r="T1218" s="776">
        <v>6</v>
      </c>
      <c r="W1218" s="1089" t="s">
        <v>1309</v>
      </c>
      <c r="X1218" s="808"/>
      <c r="Y1218" s="1080"/>
      <c r="Z1218" s="1369"/>
      <c r="AA1218" s="1370"/>
      <c r="AB1218" s="1370"/>
      <c r="AC1218" s="1370"/>
      <c r="AD1218" s="1370"/>
      <c r="AE1218" s="1370"/>
      <c r="AF1218" s="1370"/>
      <c r="AG1218" s="1370"/>
      <c r="AH1218" s="1370"/>
      <c r="AI1218" s="1370"/>
      <c r="AJ1218" s="1370"/>
      <c r="AK1218" s="1370"/>
      <c r="AL1218" s="1370"/>
      <c r="AM1218" s="1370"/>
      <c r="AN1218" s="1370"/>
      <c r="AO1218" s="1370"/>
      <c r="AP1218" s="1370"/>
      <c r="AQ1218" s="1371"/>
      <c r="AR1218" s="1371"/>
      <c r="AS1218" s="1371"/>
      <c r="AT1218" s="1371"/>
      <c r="AU1218" s="1371"/>
      <c r="AV1218" s="1371"/>
      <c r="AW1218" s="1371"/>
      <c r="AX1218" s="1371"/>
      <c r="AY1218" s="1371"/>
      <c r="AZ1218" s="1371"/>
      <c r="BA1218" s="1371"/>
      <c r="BB1218" s="1371"/>
      <c r="BC1218" s="1371"/>
      <c r="BD1218" s="1371"/>
      <c r="BE1218" s="1371"/>
      <c r="BF1218" s="1371"/>
      <c r="BG1218" s="1371"/>
      <c r="BH1218" s="1371"/>
      <c r="BI1218" s="1371"/>
      <c r="BJ1218" s="1371"/>
      <c r="BK1218" s="1371"/>
      <c r="BL1218" s="1371"/>
      <c r="BM1218" s="1372"/>
      <c r="BN1218" s="1372"/>
      <c r="BO1218" s="1372"/>
      <c r="BP1218" s="1372"/>
      <c r="BQ1218" s="1372"/>
      <c r="BR1218" s="1372"/>
      <c r="BS1218" s="1372"/>
      <c r="BT1218" s="1372"/>
      <c r="BU1218" s="1372"/>
      <c r="BV1218" s="1372"/>
      <c r="BW1218" s="1372"/>
      <c r="BX1218" s="1372"/>
      <c r="BY1218" s="1372"/>
      <c r="BZ1218" s="1372"/>
      <c r="CA1218" s="1372"/>
      <c r="CB1218" s="1373"/>
    </row>
    <row r="1219" spans="1:80" ht="12.75" customHeight="1" x14ac:dyDescent="0.2">
      <c r="A1219" s="237">
        <v>1219</v>
      </c>
      <c r="B1219" s="5838"/>
      <c r="C1219" s="1069"/>
      <c r="D1219" s="1070"/>
      <c r="E1219" s="1008" t="s">
        <v>1444</v>
      </c>
      <c r="F1219" s="1008" t="s">
        <v>1251</v>
      </c>
      <c r="G1219" s="1008" t="s">
        <v>1493</v>
      </c>
      <c r="H1219" s="1008" t="s">
        <v>2261</v>
      </c>
      <c r="I1219" s="1071" t="s">
        <v>1909</v>
      </c>
      <c r="J1219" s="1008" t="s">
        <v>7268</v>
      </c>
      <c r="K1219" s="1072" t="s">
        <v>7516</v>
      </c>
      <c r="M1219" s="1074"/>
      <c r="N1219" s="1075"/>
      <c r="O1219" s="1008" t="s">
        <v>1444</v>
      </c>
      <c r="P1219" s="1008" t="s">
        <v>1379</v>
      </c>
      <c r="Q1219" s="1076" t="s">
        <v>1493</v>
      </c>
      <c r="R1219" s="1008" t="s">
        <v>2261</v>
      </c>
      <c r="S1219" s="1008" t="s">
        <v>7268</v>
      </c>
      <c r="T1219" s="1072" t="s">
        <v>7516</v>
      </c>
      <c r="W1219" s="1089" t="s">
        <v>1922</v>
      </c>
      <c r="X1219" s="314"/>
      <c r="Y1219" s="1084" t="str">
        <f>IF(Z1219="","",SUBSTITUTE("PodHab_"&amp;W1219," ",""))</f>
        <v/>
      </c>
      <c r="Z1219" s="1368" t="s">
        <v>7112</v>
      </c>
      <c r="AA1219" s="1374"/>
      <c r="AB1219" s="1374"/>
      <c r="AC1219" s="1374"/>
      <c r="AD1219" s="1374"/>
      <c r="AE1219" s="1374"/>
      <c r="AF1219" s="1374"/>
      <c r="AG1219" s="1374"/>
      <c r="AH1219" s="1374"/>
      <c r="AI1219" s="1374"/>
      <c r="AJ1219" s="1374"/>
      <c r="AK1219" s="1374"/>
      <c r="AL1219" s="1374"/>
      <c r="AM1219" s="1374"/>
      <c r="AN1219" s="1374"/>
      <c r="AO1219" s="1374"/>
      <c r="AP1219" s="1374"/>
      <c r="AQ1219" s="1372"/>
      <c r="AR1219" s="1372"/>
      <c r="AS1219" s="1372"/>
      <c r="AT1219" s="1372"/>
      <c r="AU1219" s="1372"/>
      <c r="AV1219" s="1372"/>
      <c r="AW1219" s="1372"/>
      <c r="AX1219" s="1372"/>
      <c r="AY1219" s="1372"/>
      <c r="AZ1219" s="1372"/>
      <c r="BA1219" s="1372"/>
      <c r="BB1219" s="1372"/>
      <c r="BC1219" s="1372"/>
      <c r="BD1219" s="1372"/>
      <c r="BE1219" s="1372"/>
      <c r="BF1219" s="1372"/>
      <c r="BG1219" s="1372"/>
      <c r="BH1219" s="1372"/>
      <c r="BI1219" s="1372"/>
      <c r="BJ1219" s="1372"/>
      <c r="BK1219" s="1372"/>
      <c r="BL1219" s="1372"/>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838"/>
      <c r="C1220" s="597"/>
      <c r="D1220" s="274"/>
      <c r="E1220" s="1064" t="s">
        <v>1252</v>
      </c>
      <c r="F1220" s="85">
        <v>0</v>
      </c>
      <c r="G1220" s="85">
        <v>0</v>
      </c>
      <c r="H1220" s="85"/>
      <c r="I1220" s="1066"/>
      <c r="J1220" s="184"/>
      <c r="K1220" s="1057"/>
      <c r="M1220" s="336"/>
      <c r="N1220" s="23"/>
      <c r="O1220" s="142" t="s">
        <v>1309</v>
      </c>
      <c r="P1220" s="1054"/>
      <c r="Q1220" s="94"/>
      <c r="R1220" s="1066"/>
      <c r="S1220" s="184"/>
      <c r="T1220" s="1057"/>
      <c r="W1220" s="1089" t="s">
        <v>7526</v>
      </c>
      <c r="X1220" s="314"/>
      <c r="Y1220" s="886" t="str">
        <f t="shared" ref="Y1220:Y1225" si="270">IF(Z1220="","",SUBSTITUTE("PodHab_"&amp;W1220," ",""))</f>
        <v>PodHab_Ataqueadicional</v>
      </c>
      <c r="Z1220" s="1368" t="s">
        <v>7576</v>
      </c>
      <c r="AA1220" s="1374" t="s">
        <v>7577</v>
      </c>
      <c r="AB1220" s="1374" t="s">
        <v>7578</v>
      </c>
      <c r="AC1220" s="1374" t="s">
        <v>7579</v>
      </c>
      <c r="AD1220" s="1374" t="s">
        <v>7580</v>
      </c>
      <c r="AE1220" s="1374" t="s">
        <v>7581</v>
      </c>
      <c r="AF1220" s="1374" t="s">
        <v>7548</v>
      </c>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838"/>
      <c r="C1221" s="1061"/>
      <c r="D1221" s="66"/>
      <c r="E1221" s="1064" t="s">
        <v>1253</v>
      </c>
      <c r="F1221" s="85">
        <v>0</v>
      </c>
      <c r="G1221" s="85">
        <v>10</v>
      </c>
      <c r="H1221" s="85">
        <f>COUNTIF(HabilidadesEsenciales_Adquiridas,Tablas!E1221)</f>
        <v>0</v>
      </c>
      <c r="I1221" s="1066">
        <v>1</v>
      </c>
      <c r="J1221" s="184"/>
      <c r="K1221" s="1057"/>
      <c r="M1221" s="336"/>
      <c r="N1221" s="23"/>
      <c r="O1221" s="142" t="s">
        <v>1922</v>
      </c>
      <c r="P1221" s="1059">
        <v>0</v>
      </c>
      <c r="Q1221" s="184">
        <v>20</v>
      </c>
      <c r="R1221" s="1066">
        <f>COUNTIF(PoderesDeCriatura_Adquiridos,Tablas!O1221)</f>
        <v>0</v>
      </c>
      <c r="S1221" s="184"/>
      <c r="T1221" s="1057"/>
      <c r="W1221" s="1089" t="s">
        <v>1640</v>
      </c>
      <c r="X1221" s="333"/>
      <c r="Y1221" s="886" t="str">
        <f>IF(Z1221="","",SUBSTITUTE("PodHab_"&amp;W1221," ",""))</f>
        <v>PodHab_Ataqueelemental</v>
      </c>
      <c r="Z1221" s="1368" t="s">
        <v>1614</v>
      </c>
      <c r="AA1221" s="1374" t="s">
        <v>1607</v>
      </c>
      <c r="AB1221" s="1374" t="s">
        <v>1610</v>
      </c>
      <c r="AC1221" s="1374" t="s">
        <v>1708</v>
      </c>
      <c r="AD1221" s="1374" t="s">
        <v>1703</v>
      </c>
      <c r="AE1221" s="1374" t="s">
        <v>1704</v>
      </c>
      <c r="AF1221" s="1370"/>
      <c r="AG1221" s="1370"/>
      <c r="AH1221" s="1370"/>
      <c r="AI1221" s="1370"/>
      <c r="AJ1221" s="1370"/>
      <c r="AK1221" s="1370"/>
      <c r="AL1221" s="1370"/>
      <c r="AM1221" s="1370"/>
      <c r="AN1221" s="1370"/>
      <c r="AO1221" s="1370"/>
      <c r="AP1221" s="1370"/>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838"/>
      <c r="C1222" s="1061"/>
      <c r="D1222" s="66"/>
      <c r="E1222" s="1064" t="s">
        <v>2280</v>
      </c>
      <c r="F1222" s="85">
        <v>5</v>
      </c>
      <c r="G1222" s="85">
        <v>30</v>
      </c>
      <c r="H1222" s="85">
        <f>COUNTIF(HabilidadesEsenciales_Adquiridas,Tablas!E1222)</f>
        <v>0</v>
      </c>
      <c r="I1222" s="1066">
        <v>2</v>
      </c>
      <c r="J1222" s="184"/>
      <c r="K1222" s="1057"/>
      <c r="M1222" s="336"/>
      <c r="N1222" s="23"/>
      <c r="O1222" s="142" t="s">
        <v>7844</v>
      </c>
      <c r="P1222" s="1059">
        <v>0</v>
      </c>
      <c r="Q1222" s="184">
        <v>20</v>
      </c>
      <c r="R1222" s="1066">
        <f>COUNTIF(PoderesDeCriatura_Adquiridos,Tablas!O1222)</f>
        <v>0</v>
      </c>
      <c r="S1222" s="184"/>
      <c r="T1222" s="1057"/>
      <c r="W1222" s="1089" t="s">
        <v>7549</v>
      </c>
      <c r="X1222" s="314"/>
      <c r="Y1222" s="886" t="str">
        <f t="shared" si="270"/>
        <v>PodHab_Ataqueespecial</v>
      </c>
      <c r="Z1222" s="1368" t="s">
        <v>7582</v>
      </c>
      <c r="AA1222" s="1374" t="s">
        <v>7583</v>
      </c>
      <c r="AB1222" s="1374" t="s">
        <v>7584</v>
      </c>
      <c r="AC1222" s="1374" t="s">
        <v>7585</v>
      </c>
      <c r="AD1222" s="1374" t="s">
        <v>7586</v>
      </c>
      <c r="AE1222" s="1374" t="s">
        <v>7587</v>
      </c>
      <c r="AF1222" s="1374" t="s">
        <v>7588</v>
      </c>
      <c r="AG1222" s="1374" t="s">
        <v>7589</v>
      </c>
      <c r="AH1222" s="1374" t="s">
        <v>7590</v>
      </c>
      <c r="AI1222" s="1374" t="s">
        <v>7591</v>
      </c>
      <c r="AJ1222" s="1374" t="s">
        <v>7592</v>
      </c>
      <c r="AK1222" s="1374" t="s">
        <v>7593</v>
      </c>
      <c r="AL1222" s="1374" t="s">
        <v>7594</v>
      </c>
      <c r="AM1222" s="1374" t="s">
        <v>7595</v>
      </c>
      <c r="AN1222" s="1374" t="s">
        <v>7596</v>
      </c>
      <c r="AO1222" s="1374" t="s">
        <v>7597</v>
      </c>
      <c r="AP1222" s="1374" t="s">
        <v>7598</v>
      </c>
      <c r="AQ1222" s="1372" t="s">
        <v>7599</v>
      </c>
      <c r="AR1222" s="1372" t="s">
        <v>7600</v>
      </c>
      <c r="AS1222" s="1372" t="s">
        <v>7601</v>
      </c>
      <c r="AT1222" s="1372" t="s">
        <v>7602</v>
      </c>
      <c r="AU1222" s="1372" t="s">
        <v>7603</v>
      </c>
      <c r="AV1222" s="1372" t="s">
        <v>7604</v>
      </c>
      <c r="AW1222" s="1372" t="s">
        <v>5645</v>
      </c>
      <c r="AX1222" s="1372" t="s">
        <v>7605</v>
      </c>
      <c r="AY1222" s="1372" t="s">
        <v>7606</v>
      </c>
      <c r="AZ1222" s="1372" t="s">
        <v>7607</v>
      </c>
      <c r="BA1222" s="1372" t="s">
        <v>7608</v>
      </c>
      <c r="BB1222" s="1372" t="s">
        <v>7609</v>
      </c>
      <c r="BC1222" s="1372" t="s">
        <v>7610</v>
      </c>
      <c r="BD1222" s="1372" t="s">
        <v>7611</v>
      </c>
      <c r="BE1222" s="1372"/>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838"/>
      <c r="C1223" s="1061"/>
      <c r="D1223" s="66"/>
      <c r="E1223" s="1064" t="s">
        <v>1254</v>
      </c>
      <c r="F1223" s="85">
        <v>5</v>
      </c>
      <c r="G1223" s="85">
        <v>15</v>
      </c>
      <c r="H1223" s="85">
        <f>COUNTIF(HabilidadesEsenciales_Adquiridas,Tablas!E1223)</f>
        <v>0</v>
      </c>
      <c r="I1223" s="1066"/>
      <c r="J1223" s="184"/>
      <c r="K1223" s="1057"/>
      <c r="M1223" s="336"/>
      <c r="N1223" s="23"/>
      <c r="O1223" s="142" t="s">
        <v>7845</v>
      </c>
      <c r="P1223" s="1059">
        <v>0</v>
      </c>
      <c r="Q1223" s="184">
        <v>30</v>
      </c>
      <c r="R1223" s="1066">
        <f>COUNTIF(PoderesDeCriatura_Adquiridos,Tablas!O1223)</f>
        <v>0</v>
      </c>
      <c r="S1223" s="184"/>
      <c r="T1223" s="1057"/>
      <c r="W1223" s="1089" t="s">
        <v>1311</v>
      </c>
      <c r="X1223" s="333"/>
      <c r="Y1223" s="886" t="str">
        <f t="shared" si="270"/>
        <v/>
      </c>
      <c r="Z1223" s="1369"/>
      <c r="AA1223" s="1370"/>
      <c r="AB1223" s="1370"/>
      <c r="AC1223" s="1370"/>
      <c r="AD1223" s="1370"/>
      <c r="AE1223" s="1370"/>
      <c r="AF1223" s="1370"/>
      <c r="AG1223" s="1370"/>
      <c r="AH1223" s="1370"/>
      <c r="AI1223" s="1370"/>
      <c r="AJ1223" s="1370"/>
      <c r="AK1223" s="1370"/>
      <c r="AL1223" s="1370"/>
      <c r="AM1223" s="1370"/>
      <c r="AN1223" s="1370"/>
      <c r="AO1223" s="1370"/>
      <c r="AP1223" s="1370"/>
      <c r="AQ1223" s="1371"/>
      <c r="AR1223" s="1371"/>
      <c r="AS1223" s="1371"/>
      <c r="AT1223" s="1371"/>
      <c r="AU1223" s="1371"/>
      <c r="AV1223" s="1371"/>
      <c r="AW1223" s="1371"/>
      <c r="AX1223" s="1371"/>
      <c r="AY1223" s="1371"/>
      <c r="AZ1223" s="1371"/>
      <c r="BA1223" s="1371"/>
      <c r="BB1223" s="1371"/>
      <c r="BC1223" s="1371"/>
      <c r="BD1223" s="1371"/>
      <c r="BE1223" s="1371"/>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838"/>
      <c r="C1224" s="1061"/>
      <c r="D1224" s="66"/>
      <c r="E1224" s="1064" t="s">
        <v>1255</v>
      </c>
      <c r="F1224" s="85">
        <v>5</v>
      </c>
      <c r="G1224" s="85">
        <v>30</v>
      </c>
      <c r="H1224" s="85">
        <f>COUNTIF(HabilidadesEsenciales_Adquiridas,Tablas!E1224)</f>
        <v>0</v>
      </c>
      <c r="I1224" s="1066"/>
      <c r="J1224" s="184"/>
      <c r="K1224" s="1057"/>
      <c r="M1224" s="336"/>
      <c r="N1224" s="23"/>
      <c r="O1224" s="142" t="s">
        <v>7846</v>
      </c>
      <c r="P1224" s="1059">
        <v>0</v>
      </c>
      <c r="Q1224" s="184">
        <v>40</v>
      </c>
      <c r="R1224" s="1066">
        <f>COUNTIF(PoderesDeCriatura_Adquiridos,Tablas!O1224)</f>
        <v>0</v>
      </c>
      <c r="S1224" s="184"/>
      <c r="T1224" s="1057"/>
      <c r="W1224" s="1089" t="s">
        <v>7529</v>
      </c>
      <c r="X1224" s="314"/>
      <c r="Y1224" s="886" t="str">
        <f t="shared" si="270"/>
        <v>PodHab_Ataquevenenoso</v>
      </c>
      <c r="Z1224" s="1368" t="s">
        <v>7612</v>
      </c>
      <c r="AA1224" s="1374" t="s">
        <v>7613</v>
      </c>
      <c r="AB1224" s="1374" t="s">
        <v>7614</v>
      </c>
      <c r="AC1224" s="1374" t="s">
        <v>7615</v>
      </c>
      <c r="AD1224" s="1374" t="s">
        <v>7616</v>
      </c>
      <c r="AE1224" s="1374" t="s">
        <v>7617</v>
      </c>
      <c r="AF1224" s="1374" t="s">
        <v>7618</v>
      </c>
      <c r="AG1224" s="1374" t="s">
        <v>7619</v>
      </c>
      <c r="AH1224" s="1374" t="s">
        <v>7620</v>
      </c>
      <c r="AI1224" s="1374" t="s">
        <v>7621</v>
      </c>
      <c r="AJ1224" s="1374"/>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838"/>
      <c r="C1225" s="1061"/>
      <c r="D1225" s="66"/>
      <c r="E1225" s="1064" t="s">
        <v>1256</v>
      </c>
      <c r="F1225" s="85">
        <v>0</v>
      </c>
      <c r="G1225" s="85">
        <v>10</v>
      </c>
      <c r="H1225" s="85">
        <f>COUNTIF(HabilidadesEsenciales_Adquiridas,Tablas!E1225)</f>
        <v>0</v>
      </c>
      <c r="I1225" s="1066"/>
      <c r="J1225" s="184"/>
      <c r="K1225" s="1057"/>
      <c r="M1225" s="336"/>
      <c r="N1225" s="23"/>
      <c r="O1225" s="142" t="s">
        <v>7847</v>
      </c>
      <c r="P1225" s="1059">
        <v>5</v>
      </c>
      <c r="Q1225" s="184">
        <v>50</v>
      </c>
      <c r="R1225" s="1066">
        <f>COUNTIF(PoderesDeCriatura_Adquiridos,Tablas!O1225)</f>
        <v>0</v>
      </c>
      <c r="S1225" s="184"/>
      <c r="T1225" s="1057"/>
      <c r="W1225" s="1089" t="s">
        <v>7290</v>
      </c>
      <c r="X1225" s="314"/>
      <c r="Y1225" s="886" t="str">
        <f t="shared" si="270"/>
        <v>PodHab_Críticoincrementado</v>
      </c>
      <c r="Z1225" s="1368" t="s">
        <v>7622</v>
      </c>
      <c r="AA1225" s="1374" t="s">
        <v>7623</v>
      </c>
      <c r="AB1225" s="1374" t="s">
        <v>7624</v>
      </c>
      <c r="AC1225" s="1374" t="s">
        <v>7625</v>
      </c>
      <c r="AD1225" s="1374" t="s">
        <v>7626</v>
      </c>
      <c r="AE1225" s="1374" t="s">
        <v>7627</v>
      </c>
      <c r="AF1225" s="1374" t="s">
        <v>7628</v>
      </c>
      <c r="AG1225" s="1374" t="s">
        <v>7629</v>
      </c>
      <c r="AH1225" s="1374" t="s">
        <v>7630</v>
      </c>
      <c r="AI1225" s="1374" t="s">
        <v>7631</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838"/>
      <c r="C1226" s="1061"/>
      <c r="D1226" s="66"/>
      <c r="E1226" s="1064" t="s">
        <v>1257</v>
      </c>
      <c r="F1226" s="85">
        <v>5</v>
      </c>
      <c r="G1226" s="85">
        <v>10</v>
      </c>
      <c r="H1226" s="85">
        <f>COUNTIF(HabilidadesEsenciales_Adquiridas,Tablas!E1226)</f>
        <v>0</v>
      </c>
      <c r="I1226" s="1066"/>
      <c r="J1226" s="184"/>
      <c r="K1226" s="1057"/>
      <c r="M1226" s="336"/>
      <c r="N1226" s="23"/>
      <c r="O1226" s="142" t="s">
        <v>7848</v>
      </c>
      <c r="P1226" s="1059">
        <v>5</v>
      </c>
      <c r="Q1226" s="184">
        <v>60</v>
      </c>
      <c r="R1226" s="1066">
        <f>COUNTIF(PoderesDeCriatura_Adquiridos,Tablas!O1226)</f>
        <v>0</v>
      </c>
      <c r="S1226" s="184"/>
      <c r="T1226" s="1057"/>
      <c r="W1226" s="1089" t="s">
        <v>8513</v>
      </c>
      <c r="X1226" s="314"/>
      <c r="Y1226" s="886"/>
      <c r="Z1226" s="1368"/>
      <c r="AA1226" s="1374"/>
      <c r="AB1226" s="1374"/>
      <c r="AC1226" s="1374"/>
      <c r="AD1226" s="1374"/>
      <c r="AE1226" s="1374"/>
      <c r="AF1226" s="1374"/>
      <c r="AG1226" s="1374"/>
      <c r="AH1226" s="1374"/>
      <c r="AI1226" s="1374"/>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838"/>
      <c r="C1227" s="1061"/>
      <c r="D1227" s="66"/>
      <c r="E1227" s="1064" t="s">
        <v>1258</v>
      </c>
      <c r="F1227" s="85">
        <v>0</v>
      </c>
      <c r="G1227" s="85">
        <v>20</v>
      </c>
      <c r="H1227" s="85">
        <f>COUNTIF(HabilidadesEsenciales_Adquiridas,Tablas!E1227)</f>
        <v>0</v>
      </c>
      <c r="I1227" s="1066">
        <v>1</v>
      </c>
      <c r="J1227" s="184">
        <f>IF(H1231&gt;0,20,IF(H1229&gt;0,15,IF(H1227&gt;0,13,10)))</f>
        <v>10</v>
      </c>
      <c r="K1227" s="1057" t="s">
        <v>8493</v>
      </c>
      <c r="M1227" s="336"/>
      <c r="N1227" s="23"/>
      <c r="O1227" s="142" t="s">
        <v>7849</v>
      </c>
      <c r="P1227" s="1059">
        <v>10</v>
      </c>
      <c r="Q1227" s="184">
        <v>80</v>
      </c>
      <c r="R1227" s="1066">
        <f>COUNTIF(PoderesDeCriatura_Adquiridos,Tablas!O1227)</f>
        <v>0</v>
      </c>
      <c r="S1227" s="184"/>
      <c r="T1227" s="1057"/>
      <c r="W1227" s="1089" t="s">
        <v>1641</v>
      </c>
      <c r="X1227" s="314"/>
      <c r="Y1227" s="886" t="str">
        <f>IF(Z1227="","",SUBSTITUTE("PodHab_"&amp;W1227," ",""))</f>
        <v>PodHab_Dañoincrementado</v>
      </c>
      <c r="Z1227" s="1368" t="s">
        <v>7632</v>
      </c>
      <c r="AA1227" s="1374" t="s">
        <v>7633</v>
      </c>
      <c r="AB1227" s="1374" t="s">
        <v>7634</v>
      </c>
      <c r="AC1227" s="1374" t="s">
        <v>7635</v>
      </c>
      <c r="AD1227" s="1374" t="s">
        <v>7636</v>
      </c>
      <c r="AE1227" s="1374" t="s">
        <v>7637</v>
      </c>
      <c r="AF1227" s="1374" t="s">
        <v>7638</v>
      </c>
      <c r="AG1227" s="1374" t="s">
        <v>7639</v>
      </c>
      <c r="AH1227" s="1374" t="s">
        <v>7640</v>
      </c>
      <c r="AI1227" s="1370"/>
      <c r="AJ1227" s="1370"/>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838"/>
      <c r="C1228" s="1061"/>
      <c r="D1228" s="66"/>
      <c r="E1228" s="1064" t="s">
        <v>1259</v>
      </c>
      <c r="F1228" s="85">
        <v>5</v>
      </c>
      <c r="G1228" s="85">
        <v>20</v>
      </c>
      <c r="H1228" s="85">
        <f>COUNTIF(HabilidadesEsenciales_Adquiridas,Tablas!E1228)</f>
        <v>0</v>
      </c>
      <c r="I1228" s="1066">
        <v>1</v>
      </c>
      <c r="J1228" s="184">
        <f>IF(H1232&gt;0,20,IF(H1230&gt;0,15,IF(H1228&gt;0,13,10)))</f>
        <v>10</v>
      </c>
      <c r="K1228" s="1057" t="s">
        <v>8494</v>
      </c>
      <c r="M1228" s="336"/>
      <c r="N1228" s="23"/>
      <c r="O1228" s="142" t="s">
        <v>7850</v>
      </c>
      <c r="P1228" s="1059">
        <v>15</v>
      </c>
      <c r="Q1228" s="184">
        <v>100</v>
      </c>
      <c r="R1228" s="1066">
        <f>COUNTIF(PoderesDeCriatura_Adquiridos,Tablas!O1228)</f>
        <v>0</v>
      </c>
      <c r="S1228" s="184"/>
      <c r="T1228" s="1057"/>
      <c r="W1228" s="1089" t="s">
        <v>7530</v>
      </c>
      <c r="X1228" s="314"/>
      <c r="Y1228" s="886" t="str">
        <f>IF(Z1228="","",SUBSTITUTE("PodHab_"&amp;W1228," ",""))</f>
        <v>PodHab_Efectomísticoañadido</v>
      </c>
      <c r="Z1228" s="1368" t="s">
        <v>7641</v>
      </c>
      <c r="AA1228" s="1374" t="s">
        <v>7642</v>
      </c>
      <c r="AB1228" s="1374" t="s">
        <v>4745</v>
      </c>
      <c r="AC1228" s="1374" t="s">
        <v>4746</v>
      </c>
      <c r="AD1228" s="1374" t="s">
        <v>3840</v>
      </c>
      <c r="AE1228" s="1374" t="s">
        <v>3841</v>
      </c>
      <c r="AF1228" s="1374" t="s">
        <v>3842</v>
      </c>
      <c r="AG1228" s="1374" t="s">
        <v>3843</v>
      </c>
      <c r="AH1228" s="1374" t="s">
        <v>7643</v>
      </c>
      <c r="AI1228" s="1374" t="s">
        <v>3202</v>
      </c>
      <c r="AJ1228" s="1374" t="s">
        <v>631</v>
      </c>
      <c r="AK1228" s="1374" t="s">
        <v>3199</v>
      </c>
      <c r="AL1228" s="1374" t="s">
        <v>7644</v>
      </c>
      <c r="AM1228" s="1374" t="s">
        <v>453</v>
      </c>
      <c r="AN1228" s="1374" t="s">
        <v>7645</v>
      </c>
      <c r="AO1228" s="1374" t="s">
        <v>7646</v>
      </c>
      <c r="AP1228" s="1374" t="s">
        <v>579</v>
      </c>
      <c r="AQ1228" s="1372" t="s">
        <v>440</v>
      </c>
      <c r="AR1228" s="1372" t="s">
        <v>441</v>
      </c>
      <c r="AS1228" s="1372" t="s">
        <v>442</v>
      </c>
      <c r="AT1228" s="1372" t="s">
        <v>3200</v>
      </c>
      <c r="AU1228" s="1372" t="s">
        <v>7647</v>
      </c>
      <c r="AV1228" s="1372" t="s">
        <v>7648</v>
      </c>
      <c r="AW1228" s="1372" t="s">
        <v>3201</v>
      </c>
      <c r="AX1228" s="1372" t="s">
        <v>468</v>
      </c>
      <c r="AY1228" s="1372" t="s">
        <v>84</v>
      </c>
      <c r="AZ1228" s="1372" t="s">
        <v>40</v>
      </c>
      <c r="BA1228" s="1372" t="s">
        <v>7649</v>
      </c>
      <c r="BB1228" s="1372" t="s">
        <v>7650</v>
      </c>
      <c r="BC1228" s="1372" t="s">
        <v>10199</v>
      </c>
      <c r="BD1228" s="1372" t="s">
        <v>10200</v>
      </c>
      <c r="BE1228" s="1372" t="s">
        <v>490</v>
      </c>
      <c r="BF1228" s="1372" t="s">
        <v>7651</v>
      </c>
      <c r="BG1228" s="1372" t="s">
        <v>7652</v>
      </c>
      <c r="BH1228" s="1372" t="s">
        <v>7653</v>
      </c>
      <c r="BI1228" s="1372" t="s">
        <v>7654</v>
      </c>
      <c r="BJ1228" s="1372" t="s">
        <v>7655</v>
      </c>
      <c r="BK1228" s="1372"/>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838"/>
      <c r="C1229" s="1061"/>
      <c r="D1229" s="66"/>
      <c r="E1229" s="1064" t="s">
        <v>1260</v>
      </c>
      <c r="F1229" s="85">
        <v>20</v>
      </c>
      <c r="G1229" s="85">
        <v>40</v>
      </c>
      <c r="H1229" s="85">
        <f>COUNTIF(HabilidadesEsenciales_Adquiridas,Tablas!E1229)</f>
        <v>0</v>
      </c>
      <c r="I1229" s="1066">
        <v>1</v>
      </c>
      <c r="J1229" s="184"/>
      <c r="K1229" s="1057"/>
      <c r="M1229" s="336"/>
      <c r="N1229" s="23"/>
      <c r="O1229" s="142" t="s">
        <v>7851</v>
      </c>
      <c r="P1229" s="1059">
        <v>0</v>
      </c>
      <c r="Q1229" s="184">
        <v>10</v>
      </c>
      <c r="R1229" s="1066">
        <f>COUNTIF(PoderesDeCriatura_Adquiridos,Tablas!O1229)</f>
        <v>0</v>
      </c>
      <c r="S1229" s="184"/>
      <c r="T1229" s="1057"/>
      <c r="W1229" s="1089" t="s">
        <v>7528</v>
      </c>
      <c r="X1229" s="314"/>
      <c r="Y1229" s="886" t="str">
        <f>IF(Z1229="","",SUBSTITUTE("PodHab_"&amp;W1229," ",""))</f>
        <v>PodHab_Modificadordearmadura</v>
      </c>
      <c r="Z1229" s="1368" t="s">
        <v>7656</v>
      </c>
      <c r="AA1229" s="1374" t="s">
        <v>7657</v>
      </c>
      <c r="AB1229" s="1374" t="s">
        <v>7658</v>
      </c>
      <c r="AC1229" s="1374" t="s">
        <v>7659</v>
      </c>
      <c r="AD1229" s="1374" t="s">
        <v>7660</v>
      </c>
      <c r="AE1229" s="1370"/>
      <c r="AF1229" s="1370"/>
      <c r="AG1229" s="1370"/>
      <c r="AH1229" s="1370"/>
      <c r="AI1229" s="1370"/>
      <c r="AJ1229" s="1370"/>
      <c r="AK1229" s="1370"/>
      <c r="AL1229" s="1370"/>
      <c r="AM1229" s="1370"/>
      <c r="AN1229" s="1370"/>
      <c r="AO1229" s="1370"/>
      <c r="AP1229" s="1370"/>
      <c r="AQ1229" s="1371"/>
      <c r="AR1229" s="1371"/>
      <c r="AS1229" s="1371"/>
      <c r="AT1229" s="1371"/>
      <c r="AU1229" s="1371"/>
      <c r="AV1229" s="1371"/>
      <c r="AW1229" s="1371"/>
      <c r="AX1229" s="1371"/>
      <c r="AY1229" s="1371"/>
      <c r="AZ1229" s="1371"/>
      <c r="BA1229" s="1371"/>
      <c r="BB1229" s="1371"/>
      <c r="BC1229" s="1371"/>
      <c r="BD1229" s="1371"/>
      <c r="BE1229" s="1371"/>
      <c r="BF1229" s="1371"/>
      <c r="BG1229" s="1371"/>
      <c r="BH1229" s="1371"/>
      <c r="BI1229" s="1371"/>
      <c r="BJ1229" s="1371"/>
      <c r="BK1229" s="1371"/>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838"/>
      <c r="C1230" s="1061"/>
      <c r="D1230" s="66"/>
      <c r="E1230" s="1064" t="s">
        <v>1261</v>
      </c>
      <c r="F1230" s="85">
        <v>20</v>
      </c>
      <c r="G1230" s="85">
        <v>40</v>
      </c>
      <c r="H1230" s="85">
        <f>COUNTIF(HabilidadesEsenciales_Adquiridas,Tablas!E1230)</f>
        <v>0</v>
      </c>
      <c r="I1230" s="1066">
        <v>1</v>
      </c>
      <c r="J1230" s="184"/>
      <c r="K1230" s="1057"/>
      <c r="M1230" s="336"/>
      <c r="N1230" s="23"/>
      <c r="O1230" s="142" t="s">
        <v>7852</v>
      </c>
      <c r="P1230" s="1059">
        <v>0</v>
      </c>
      <c r="Q1230" s="184">
        <v>20</v>
      </c>
      <c r="R1230" s="1066">
        <f>COUNTIF(PoderesDeCriatura_Adquiridos,Tablas!O1230)</f>
        <v>0</v>
      </c>
      <c r="S1230" s="184"/>
      <c r="T1230" s="1057"/>
      <c r="W1230" s="1089" t="s">
        <v>7531</v>
      </c>
      <c r="X1230" s="314"/>
      <c r="Y1230" s="886" t="str">
        <f>IF(Z1230="","",SUBSTITUTE("PodHab_"&amp;W1230," ",""))</f>
        <v>PodHab_Presaespecial</v>
      </c>
      <c r="Z1230" s="1368" t="s">
        <v>7661</v>
      </c>
      <c r="AA1230" s="1374" t="s">
        <v>7662</v>
      </c>
      <c r="AB1230" s="1374" t="s">
        <v>7663</v>
      </c>
      <c r="AC1230" s="1374" t="s">
        <v>7664</v>
      </c>
      <c r="AD1230" s="1374" t="s">
        <v>7665</v>
      </c>
      <c r="AE1230" s="1374" t="s">
        <v>7666</v>
      </c>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838"/>
      <c r="C1231" s="1061"/>
      <c r="D1231" s="66"/>
      <c r="E1231" s="1064" t="s">
        <v>1262</v>
      </c>
      <c r="F1231" s="85">
        <v>30</v>
      </c>
      <c r="G1231" s="85">
        <v>80</v>
      </c>
      <c r="H1231" s="85">
        <f>COUNTIF(HabilidadesEsenciales_Adquiridas,Tablas!E1231)</f>
        <v>0</v>
      </c>
      <c r="I1231" s="1066">
        <v>1</v>
      </c>
      <c r="J1231" s="184"/>
      <c r="K1231" s="1057"/>
      <c r="M1231" s="336"/>
      <c r="N1231" s="23"/>
      <c r="O1231" s="142" t="s">
        <v>7853</v>
      </c>
      <c r="P1231" s="1059">
        <v>0</v>
      </c>
      <c r="Q1231" s="184">
        <v>30</v>
      </c>
      <c r="R1231" s="1066">
        <f>COUNTIF(PoderesDeCriatura_Adquiridos,Tablas!O1231)</f>
        <v>0</v>
      </c>
      <c r="S1231" s="184"/>
      <c r="T1231" s="1057"/>
      <c r="W1231" s="1089" t="s">
        <v>7527</v>
      </c>
      <c r="X1231" s="314"/>
      <c r="Y1231" s="886" t="str">
        <f>IF(Z1231="","",SUBSTITUTE("PodHab_"&amp;W1231," ",""))</f>
        <v>PodHab_Reacciónincrementada</v>
      </c>
      <c r="Z1231" s="1368" t="s">
        <v>7667</v>
      </c>
      <c r="AA1231" s="1374" t="s">
        <v>7668</v>
      </c>
      <c r="AB1231" s="1374" t="s">
        <v>7669</v>
      </c>
      <c r="AC1231" s="1370"/>
      <c r="AD1231" s="1370"/>
      <c r="AE1231" s="1370"/>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838"/>
      <c r="C1232" s="1061"/>
      <c r="D1232" s="66"/>
      <c r="E1232" s="1064" t="s">
        <v>1263</v>
      </c>
      <c r="F1232" s="85">
        <v>35</v>
      </c>
      <c r="G1232" s="85">
        <v>80</v>
      </c>
      <c r="H1232" s="85">
        <f>COUNTIF(HabilidadesEsenciales_Adquiridas,Tablas!E1232)</f>
        <v>0</v>
      </c>
      <c r="I1232" s="1066">
        <v>1</v>
      </c>
      <c r="J1232" s="184"/>
      <c r="K1232" s="1057"/>
      <c r="M1232" s="336"/>
      <c r="N1232" s="23"/>
      <c r="O1232" s="142" t="s">
        <v>7854</v>
      </c>
      <c r="P1232" s="1059">
        <v>0</v>
      </c>
      <c r="Q1232" s="184">
        <v>40</v>
      </c>
      <c r="R1232" s="1066">
        <f>COUNTIF(PoderesDeCriatura_Adquiridos,Tablas!O1232)</f>
        <v>0</v>
      </c>
      <c r="S1232" s="184"/>
      <c r="T1232" s="1057"/>
      <c r="W1232" s="1089" t="s">
        <v>1312</v>
      </c>
      <c r="X1232" s="808"/>
      <c r="Y1232" s="886"/>
      <c r="Z1232" s="1368" t="s">
        <v>7112</v>
      </c>
      <c r="AA1232" s="1374"/>
      <c r="AB1232" s="1374"/>
      <c r="AC1232" s="1374"/>
      <c r="AD1232" s="1374"/>
      <c r="AE1232" s="1374"/>
      <c r="AF1232" s="1374"/>
      <c r="AG1232" s="1374"/>
      <c r="AH1232" s="1374"/>
      <c r="AI1232" s="1374"/>
      <c r="AJ1232" s="1374"/>
      <c r="AK1232" s="1374"/>
      <c r="AL1232" s="1374"/>
      <c r="AM1232" s="1374"/>
      <c r="AN1232" s="1374"/>
      <c r="AO1232" s="1374"/>
      <c r="AP1232" s="1374"/>
      <c r="AQ1232" s="1372"/>
      <c r="AR1232" s="1372"/>
      <c r="AS1232" s="1372"/>
      <c r="AT1232" s="1372"/>
      <c r="AU1232" s="1372"/>
      <c r="AV1232" s="1372"/>
      <c r="AW1232" s="1372"/>
      <c r="AX1232" s="1372"/>
      <c r="AY1232" s="1372"/>
      <c r="AZ1232" s="1372"/>
      <c r="BA1232" s="1372"/>
      <c r="BB1232" s="1372"/>
      <c r="BC1232" s="1372"/>
      <c r="BD1232" s="1372"/>
      <c r="BE1232" s="1372"/>
      <c r="BF1232" s="1372"/>
      <c r="BG1232" s="1372"/>
      <c r="BH1232" s="1372"/>
      <c r="BI1232" s="1372"/>
      <c r="BJ1232" s="1372"/>
      <c r="BK1232" s="1372"/>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838"/>
      <c r="C1233" s="1061"/>
      <c r="D1233" s="66"/>
      <c r="E1233" s="1064" t="s">
        <v>8264</v>
      </c>
      <c r="F1233" s="85">
        <v>0</v>
      </c>
      <c r="G1233" s="85">
        <v>20</v>
      </c>
      <c r="H1233" s="85">
        <f>COUNTIF(HabilidadesEsenciales_Adquiridas,Tablas!E1233)</f>
        <v>0</v>
      </c>
      <c r="I1233" s="1066">
        <v>1</v>
      </c>
      <c r="J1233" s="184">
        <f t="array" ref="J1233">MAX({1;2;3;4;5}*H1233:H1237)</f>
        <v>0</v>
      </c>
      <c r="K1233" s="1057" t="s">
        <v>1376</v>
      </c>
      <c r="M1233" s="336"/>
      <c r="N1233" s="23"/>
      <c r="O1233" s="142" t="s">
        <v>7855</v>
      </c>
      <c r="P1233" s="1059">
        <v>5</v>
      </c>
      <c r="Q1233" s="184">
        <v>50</v>
      </c>
      <c r="R1233" s="1066">
        <f>COUNTIF(PoderesDeCriatura_Adquiridos,Tablas!O1233)</f>
        <v>0</v>
      </c>
      <c r="S1233" s="184"/>
      <c r="T1233" s="1057"/>
      <c r="W1233" s="1089" t="s">
        <v>7550</v>
      </c>
      <c r="X1233" s="808"/>
      <c r="Y1233" s="886" t="str">
        <f>IF(Z1233="","",SUBSTITUTE("PodHab_"&amp;W1233," ",""))</f>
        <v>PodHab_Desplazamientoespecial</v>
      </c>
      <c r="Z1233" s="1368" t="s">
        <v>2531</v>
      </c>
      <c r="AA1233" s="1374" t="s">
        <v>1313</v>
      </c>
      <c r="AB1233" s="1374" t="s">
        <v>1314</v>
      </c>
      <c r="AC1233" s="1374" t="s">
        <v>1315</v>
      </c>
      <c r="AD1233" s="1374" t="s">
        <v>1316</v>
      </c>
      <c r="AE1233" s="1374" t="s">
        <v>1317</v>
      </c>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838"/>
      <c r="C1234" s="1061"/>
      <c r="D1234" s="66"/>
      <c r="E1234" s="1064" t="s">
        <v>8265</v>
      </c>
      <c r="F1234" s="85">
        <v>5</v>
      </c>
      <c r="G1234" s="85">
        <v>40</v>
      </c>
      <c r="H1234" s="85">
        <f>COUNTIF(HabilidadesEsenciales_Adquiridas,Tablas!E1234)</f>
        <v>0</v>
      </c>
      <c r="I1234" s="1066">
        <v>1</v>
      </c>
      <c r="J1234" s="184">
        <f t="array" ref="J1234">MAX({1;2;3;4;5}*H1238:H1242)</f>
        <v>0</v>
      </c>
      <c r="K1234" s="1057" t="s">
        <v>1501</v>
      </c>
      <c r="M1234" s="336"/>
      <c r="N1234" s="23"/>
      <c r="O1234" s="142" t="s">
        <v>7856</v>
      </c>
      <c r="P1234" s="1059">
        <v>10</v>
      </c>
      <c r="Q1234" s="184">
        <v>60</v>
      </c>
      <c r="R1234" s="1066">
        <f>COUNTIF(PoderesDeCriatura_Adquiridos,Tablas!O1234)</f>
        <v>0</v>
      </c>
      <c r="S1234" s="184"/>
      <c r="T1234" s="1057"/>
      <c r="W1234" s="1089" t="s">
        <v>7567</v>
      </c>
      <c r="X1234" s="314"/>
      <c r="Y1234" s="886" t="str">
        <f>IF(Z1234="","",SUBSTITUTE("PodHab_"&amp;W1234," ",""))</f>
        <v>PodHab_Transporteautomático</v>
      </c>
      <c r="Z1234" s="1368" t="s">
        <v>7670</v>
      </c>
      <c r="AA1234" s="1374" t="s">
        <v>6169</v>
      </c>
      <c r="AB1234" s="1374" t="s">
        <v>5796</v>
      </c>
      <c r="AC1234" s="1374" t="s">
        <v>6242</v>
      </c>
      <c r="AD1234" s="1374" t="s">
        <v>5797</v>
      </c>
      <c r="AE1234" s="1374" t="s">
        <v>6154</v>
      </c>
      <c r="AF1234" s="1374" t="s">
        <v>6171</v>
      </c>
      <c r="AG1234" s="1374" t="s">
        <v>7671</v>
      </c>
      <c r="AH1234" s="1374" t="s">
        <v>5800</v>
      </c>
      <c r="AI1234" s="1374" t="s">
        <v>7672</v>
      </c>
      <c r="AJ1234" s="1374" t="s">
        <v>7605</v>
      </c>
      <c r="AK1234" s="1374" t="s">
        <v>7606</v>
      </c>
      <c r="AL1234" s="1374" t="s">
        <v>7607</v>
      </c>
      <c r="AM1234" s="1374" t="s">
        <v>7610</v>
      </c>
      <c r="AN1234" s="1374" t="s">
        <v>7611</v>
      </c>
      <c r="AO1234" s="1374" t="s">
        <v>7673</v>
      </c>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838"/>
      <c r="C1235" s="1061"/>
      <c r="D1235" s="66"/>
      <c r="E1235" s="1064" t="s">
        <v>8266</v>
      </c>
      <c r="F1235" s="85">
        <v>15</v>
      </c>
      <c r="G1235" s="85">
        <v>60</v>
      </c>
      <c r="H1235" s="85">
        <f>COUNTIF(HabilidadesEsenciales_Adquiridas,Tablas!E1235)</f>
        <v>0</v>
      </c>
      <c r="I1235" s="1066">
        <v>1</v>
      </c>
      <c r="J1235" s="184">
        <f t="array" ref="J1235">MAX({1;2;3;4;5}*H1243:H1247)</f>
        <v>0</v>
      </c>
      <c r="K1235" s="1057" t="s">
        <v>1381</v>
      </c>
      <c r="M1235" s="336"/>
      <c r="N1235" s="23"/>
      <c r="O1235" s="142" t="s">
        <v>7857</v>
      </c>
      <c r="P1235" s="1059">
        <v>20</v>
      </c>
      <c r="Q1235" s="184">
        <v>80</v>
      </c>
      <c r="R1235" s="1066">
        <f>COUNTIF(PoderesDeCriatura_Adquiridos,Tablas!O1235)</f>
        <v>0</v>
      </c>
      <c r="S1235" s="184"/>
      <c r="T1235" s="1057"/>
      <c r="W1235" s="1089" t="s">
        <v>7568</v>
      </c>
      <c r="X1235" s="314"/>
      <c r="Y1235" s="886" t="str">
        <f>IF(Z1235="","",SUBSTITUTE("PodHab_"&amp;W1235," ",""))</f>
        <v>PodHab_Tipodemovimiento</v>
      </c>
      <c r="Z1235" s="1368" t="str">
        <f>"+"&amp;A1</f>
        <v>+1</v>
      </c>
      <c r="AA1235" s="1374" t="str">
        <f>"+"&amp;B1</f>
        <v>+2</v>
      </c>
      <c r="AB1235" s="1374" t="str">
        <f>"+"&amp;C1</f>
        <v>+3</v>
      </c>
      <c r="AC1235" s="1374" t="str">
        <f>"+"&amp;D1</f>
        <v>+4</v>
      </c>
      <c r="AD1235" s="1374"/>
      <c r="AE1235" s="1374"/>
      <c r="AF1235" s="1374"/>
      <c r="AG1235" s="1374"/>
      <c r="AH1235" s="1374"/>
      <c r="AI1235" s="1374"/>
      <c r="AJ1235" s="1374"/>
      <c r="AK1235" s="1374"/>
      <c r="AL1235" s="1374"/>
      <c r="AM1235" s="1374"/>
      <c r="AN1235" s="1374"/>
      <c r="AO1235" s="1374"/>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838"/>
      <c r="C1236" s="1061"/>
      <c r="D1236" s="66"/>
      <c r="E1236" s="1064" t="s">
        <v>8267</v>
      </c>
      <c r="F1236" s="85">
        <v>20</v>
      </c>
      <c r="G1236" s="85">
        <v>120</v>
      </c>
      <c r="H1236" s="85">
        <f>COUNTIF(HabilidadesEsenciales_Adquiridas,Tablas!E1236)</f>
        <v>0</v>
      </c>
      <c r="I1236" s="1066"/>
      <c r="J1236" s="184">
        <f t="array" ref="J1236">MAX({1;2;3;4;5}*H1248:H1252)</f>
        <v>0</v>
      </c>
      <c r="K1236" s="1057" t="s">
        <v>1386</v>
      </c>
      <c r="M1236" s="336"/>
      <c r="N1236" s="23"/>
      <c r="O1236" s="142" t="s">
        <v>7858</v>
      </c>
      <c r="P1236" s="1059">
        <v>25</v>
      </c>
      <c r="Q1236" s="184">
        <v>100</v>
      </c>
      <c r="R1236" s="1066">
        <f>COUNTIF(PoderesDeCriatura_Adquiridos,Tablas!O1236)</f>
        <v>0</v>
      </c>
      <c r="S1236" s="184"/>
      <c r="T1236" s="1057"/>
      <c r="W1236" s="1089" t="s">
        <v>7532</v>
      </c>
      <c r="X1236" s="314"/>
      <c r="Y1236" s="886" t="str">
        <f>IF(Z1236="","",SUBSTITUTE("PodHab_"&amp;W1236," ",""))</f>
        <v>PodHab_Vuelonatural</v>
      </c>
      <c r="Z1236" s="1368" t="s">
        <v>7674</v>
      </c>
      <c r="AA1236" s="1374" t="s">
        <v>7675</v>
      </c>
      <c r="AB1236" s="1374" t="s">
        <v>7676</v>
      </c>
      <c r="AC1236" s="1374" t="s">
        <v>7677</v>
      </c>
      <c r="AD1236" s="1374" t="s">
        <v>7678</v>
      </c>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838"/>
      <c r="C1237" s="1061"/>
      <c r="D1237" s="66"/>
      <c r="E1237" s="1064" t="s">
        <v>8268</v>
      </c>
      <c r="F1237" s="85">
        <v>25</v>
      </c>
      <c r="G1237" s="85">
        <v>180</v>
      </c>
      <c r="H1237" s="85">
        <f>COUNTIF(HabilidadesEsenciales_Adquiridas,Tablas!E1237)</f>
        <v>0</v>
      </c>
      <c r="I1237" s="1066"/>
      <c r="J1237" s="184">
        <f t="array" ref="J1237">MAX({1;2;3;4;5}*H1253:H1257)</f>
        <v>0</v>
      </c>
      <c r="K1237" s="1057" t="s">
        <v>1389</v>
      </c>
      <c r="M1237" s="336"/>
      <c r="N1237" s="23"/>
      <c r="O1237" s="142" t="s">
        <v>7859</v>
      </c>
      <c r="P1237" s="1059">
        <v>30</v>
      </c>
      <c r="Q1237" s="184">
        <v>120</v>
      </c>
      <c r="R1237" s="1066">
        <f>COUNTIF(PoderesDeCriatura_Adquiridos,Tablas!O1237)</f>
        <v>0</v>
      </c>
      <c r="S1237" s="184"/>
      <c r="T1237" s="1057"/>
      <c r="W1237" s="1089" t="s">
        <v>7533</v>
      </c>
      <c r="X1237" s="314"/>
      <c r="Y1237" s="886" t="str">
        <f>IF(Z1237="","",SUBSTITUTE("PodHab_"&amp;W1237," ",""))</f>
        <v>PodHab_Vuelomístico</v>
      </c>
      <c r="Z1237" s="1368" t="s">
        <v>7679</v>
      </c>
      <c r="AA1237" s="1374" t="s">
        <v>7674</v>
      </c>
      <c r="AB1237" s="1374" t="s">
        <v>7675</v>
      </c>
      <c r="AC1237" s="1374" t="s">
        <v>7676</v>
      </c>
      <c r="AD1237" s="1374" t="s">
        <v>7677</v>
      </c>
      <c r="AE1237" s="1374" t="s">
        <v>7678</v>
      </c>
      <c r="AF1237" s="1374" t="s">
        <v>7680</v>
      </c>
      <c r="AG1237" s="1374" t="s">
        <v>7681</v>
      </c>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838"/>
      <c r="C1238" s="1061"/>
      <c r="D1238" s="66"/>
      <c r="E1238" s="1064" t="s">
        <v>8269</v>
      </c>
      <c r="F1238" s="85">
        <v>0</v>
      </c>
      <c r="G1238" s="85">
        <v>20</v>
      </c>
      <c r="H1238" s="85">
        <f>COUNTIF(HabilidadesEsenciales_Adquiridas,Tablas!E1238)</f>
        <v>0</v>
      </c>
      <c r="I1238" s="1066">
        <v>1</v>
      </c>
      <c r="J1238" s="184">
        <f t="array" ref="J1238">MAX({1;2;3;4;5}*H1258:H1262)</f>
        <v>0</v>
      </c>
      <c r="K1238" s="1057" t="s">
        <v>1392</v>
      </c>
      <c r="M1238" s="336"/>
      <c r="N1238" s="23"/>
      <c r="O1238" s="142" t="s">
        <v>7860</v>
      </c>
      <c r="P1238" s="1059">
        <v>0</v>
      </c>
      <c r="Q1238" s="184">
        <v>10</v>
      </c>
      <c r="R1238" s="1066">
        <f>COUNTIF(PoderesDeCriatura_Adquiridos,Tablas!O1238)</f>
        <v>0</v>
      </c>
      <c r="S1238" s="184"/>
      <c r="T1238" s="1057"/>
      <c r="W1238" s="1089" t="s">
        <v>1322</v>
      </c>
      <c r="X1238" s="808"/>
      <c r="Y1238" s="886"/>
      <c r="Z1238" s="1368" t="s">
        <v>7112</v>
      </c>
      <c r="AA1238" s="1374" t="s">
        <v>7112</v>
      </c>
      <c r="AB1238" s="1374" t="s">
        <v>7112</v>
      </c>
      <c r="AC1238" s="1374" t="s">
        <v>7112</v>
      </c>
      <c r="AD1238" s="1374" t="s">
        <v>7112</v>
      </c>
      <c r="AE1238" s="1374" t="s">
        <v>7112</v>
      </c>
      <c r="AF1238" s="1374"/>
      <c r="AG1238" s="1374"/>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838"/>
      <c r="C1239" s="1061"/>
      <c r="D1239" s="66"/>
      <c r="E1239" s="1064" t="s">
        <v>8270</v>
      </c>
      <c r="F1239" s="85">
        <v>5</v>
      </c>
      <c r="G1239" s="85">
        <v>40</v>
      </c>
      <c r="H1239" s="85">
        <f>COUNTIF(HabilidadesEsenciales_Adquiridas,Tablas!E1239)</f>
        <v>0</v>
      </c>
      <c r="I1239" s="1066">
        <v>1</v>
      </c>
      <c r="J1239" s="184">
        <f t="array" ref="J1239">MAX({1;2;3;4;5}*H1263:H1267)</f>
        <v>0</v>
      </c>
      <c r="K1239" s="1057" t="s">
        <v>1394</v>
      </c>
      <c r="M1239" s="336"/>
      <c r="N1239" s="23"/>
      <c r="O1239" s="142" t="s">
        <v>7861</v>
      </c>
      <c r="P1239" s="1059">
        <v>10</v>
      </c>
      <c r="Q1239" s="184">
        <v>20</v>
      </c>
      <c r="R1239" s="1066">
        <f>COUNTIF(PoderesDeCriatura_Adquiridos,Tablas!O1239)</f>
        <v>0</v>
      </c>
      <c r="S1239" s="184">
        <f>IF(R1238=1,10,IF(R1239=1,20,IF(R1240=1,30,0)))</f>
        <v>0</v>
      </c>
      <c r="T1239" s="1057" t="s">
        <v>1396</v>
      </c>
      <c r="W1239" s="1089" t="s">
        <v>7551</v>
      </c>
      <c r="X1239" s="314"/>
      <c r="Y1239" s="886" t="str">
        <f>IF(Z1239="","",SUBSTITUTE("PodHab_"&amp;W1239," ",""))</f>
        <v>PodHab_Resistenciafísicamejorada</v>
      </c>
      <c r="Z1239" s="1368" t="s">
        <v>7682</v>
      </c>
      <c r="AA1239" s="1374" t="s">
        <v>2731</v>
      </c>
      <c r="AB1239" s="1374" t="s">
        <v>7683</v>
      </c>
      <c r="AC1239" s="1374" t="s">
        <v>7684</v>
      </c>
      <c r="AD1239" s="1374" t="s">
        <v>7685</v>
      </c>
      <c r="AE1239" s="1374" t="s">
        <v>7686</v>
      </c>
      <c r="AF1239" s="1374" t="s">
        <v>7687</v>
      </c>
      <c r="AG1239" s="1374" t="s">
        <v>7688</v>
      </c>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838"/>
      <c r="C1240" s="1061"/>
      <c r="D1240" s="66"/>
      <c r="E1240" s="1064" t="s">
        <v>8271</v>
      </c>
      <c r="F1240" s="85">
        <v>15</v>
      </c>
      <c r="G1240" s="85">
        <v>60</v>
      </c>
      <c r="H1240" s="85">
        <f>COUNTIF(HabilidadesEsenciales_Adquiridas,Tablas!E1240)</f>
        <v>0</v>
      </c>
      <c r="I1240" s="1066">
        <v>1</v>
      </c>
      <c r="J1240" s="184">
        <f t="array" ref="J1240">MAX({1;2;3;4;5}*H1268:H1272)</f>
        <v>0</v>
      </c>
      <c r="K1240" s="1057" t="s">
        <v>1395</v>
      </c>
      <c r="M1240" s="336"/>
      <c r="N1240" s="23"/>
      <c r="O1240" s="142" t="s">
        <v>7862</v>
      </c>
      <c r="P1240" s="1059">
        <v>20</v>
      </c>
      <c r="Q1240" s="184">
        <v>30</v>
      </c>
      <c r="R1240" s="1066">
        <f>COUNTIF(PoderesDeCriatura_Adquiridos,Tablas!O1240)</f>
        <v>0</v>
      </c>
      <c r="S1240" s="184"/>
      <c r="T1240" s="1057"/>
      <c r="W1240" s="1089" t="s">
        <v>7552</v>
      </c>
      <c r="X1240" s="314"/>
      <c r="Y1240" s="886" t="str">
        <f>IF(Z1240="","",SUBSTITUTE("PodHab_"&amp;W1240," ",""))</f>
        <v>PodHab_Resistenciamísticamejorada</v>
      </c>
      <c r="Z1240" s="1368" t="s">
        <v>7689</v>
      </c>
      <c r="AA1240" s="1374" t="s">
        <v>7690</v>
      </c>
      <c r="AB1240" s="1374" t="s">
        <v>7691</v>
      </c>
      <c r="AC1240" s="1374" t="s">
        <v>7692</v>
      </c>
      <c r="AD1240" s="1374" t="s">
        <v>7693</v>
      </c>
      <c r="AE1240" s="1374" t="s">
        <v>7694</v>
      </c>
      <c r="AF1240" s="1374" t="s">
        <v>7695</v>
      </c>
      <c r="AG1240" s="1374" t="s">
        <v>7696</v>
      </c>
      <c r="AH1240" s="1374" t="s">
        <v>7697</v>
      </c>
      <c r="AI1240" s="1374" t="s">
        <v>7698</v>
      </c>
      <c r="AJ1240" s="808"/>
      <c r="AK1240" s="808"/>
      <c r="AL1240" s="808"/>
      <c r="AM1240" s="808"/>
      <c r="AN1240" s="808"/>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838"/>
      <c r="C1241" s="1061"/>
      <c r="D1241" s="66"/>
      <c r="E1241" s="1064" t="s">
        <v>8272</v>
      </c>
      <c r="F1241" s="85">
        <v>20</v>
      </c>
      <c r="G1241" s="85">
        <v>120</v>
      </c>
      <c r="H1241" s="85">
        <f>COUNTIF(HabilidadesEsenciales_Adquiridas,Tablas!E1241)</f>
        <v>0</v>
      </c>
      <c r="I1241" s="1066"/>
      <c r="J1241" s="184"/>
      <c r="K1241" s="1057"/>
      <c r="M1241" s="336"/>
      <c r="N1241" s="23"/>
      <c r="O1241" s="142" t="s">
        <v>1310</v>
      </c>
      <c r="P1241" s="1059">
        <v>10</v>
      </c>
      <c r="Q1241" s="184">
        <v>10</v>
      </c>
      <c r="R1241" s="1066">
        <f>COUNTIF(PoderesDeCriatura_Adquiridos,Tablas!O1241)</f>
        <v>0</v>
      </c>
      <c r="S1241" s="184"/>
      <c r="T1241" s="1057"/>
      <c r="W1241" s="1089" t="s">
        <v>10162</v>
      </c>
      <c r="X1241" s="314"/>
      <c r="Y1241" s="886" t="str">
        <f>IF(Z1241="","",SUBSTITUTE("PodHab_"&amp;W1241," ",""))</f>
        <v>PodHab_PenalaResistenciamística</v>
      </c>
      <c r="Z1241" s="1368" t="s">
        <v>7699</v>
      </c>
      <c r="AA1241" s="1374" t="s">
        <v>7700</v>
      </c>
      <c r="AB1241" s="1374" t="s">
        <v>7701</v>
      </c>
      <c r="AC1241" s="1374" t="s">
        <v>7702</v>
      </c>
      <c r="AD1241" s="1374" t="s">
        <v>7703</v>
      </c>
      <c r="AE1241" s="1374" t="s">
        <v>7704</v>
      </c>
      <c r="AF1241" s="1374" t="s">
        <v>7705</v>
      </c>
      <c r="AG1241" s="1374" t="s">
        <v>7706</v>
      </c>
      <c r="AH1241" s="1374" t="s">
        <v>7707</v>
      </c>
      <c r="AI1241" s="1374" t="s">
        <v>7708</v>
      </c>
      <c r="AJ1241" s="808"/>
      <c r="AK1241" s="808"/>
      <c r="AL1241" s="808"/>
      <c r="AM1241" s="808"/>
      <c r="AN1241" s="808"/>
      <c r="AO1241" s="1374" t="s">
        <v>7112</v>
      </c>
      <c r="AP1241" s="1374" t="s">
        <v>7112</v>
      </c>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838"/>
      <c r="C1242" s="1061"/>
      <c r="D1242" s="66"/>
      <c r="E1242" s="1064" t="s">
        <v>8273</v>
      </c>
      <c r="F1242" s="85">
        <v>25</v>
      </c>
      <c r="G1242" s="85">
        <v>180</v>
      </c>
      <c r="H1242" s="85">
        <f>COUNTIF(HabilidadesEsenciales_Adquiridas,Tablas!E1242)</f>
        <v>0</v>
      </c>
      <c r="I1242" s="1066"/>
      <c r="J1242" s="184"/>
      <c r="K1242" s="1057"/>
      <c r="M1242" s="336"/>
      <c r="N1242" s="23"/>
      <c r="O1242" s="142" t="s">
        <v>7863</v>
      </c>
      <c r="P1242" s="1059">
        <v>0</v>
      </c>
      <c r="Q1242" s="184">
        <v>10</v>
      </c>
      <c r="R1242" s="1066">
        <f>COUNTIF(PoderesDeCriatura_Adquiridos,Tablas!O1242)</f>
        <v>0</v>
      </c>
      <c r="S1242" s="184"/>
      <c r="T1242" s="1057"/>
      <c r="W1242" s="1089" t="s">
        <v>1371</v>
      </c>
      <c r="X1242" s="314"/>
      <c r="Y1242" s="886" t="str">
        <f>IF(Z1242="","",SUBSTITUTE("PodHab_"&amp;W1242," ",""))</f>
        <v>PodHab_Regeneración</v>
      </c>
      <c r="Z1242" s="1368" t="s">
        <v>7709</v>
      </c>
      <c r="AA1242" s="1374" t="s">
        <v>7679</v>
      </c>
      <c r="AB1242" s="1374" t="s">
        <v>7674</v>
      </c>
      <c r="AC1242" s="1374" t="s">
        <v>7675</v>
      </c>
      <c r="AD1242" s="1374" t="s">
        <v>7676</v>
      </c>
      <c r="AE1242" s="1374" t="s">
        <v>7677</v>
      </c>
      <c r="AF1242" s="1374" t="s">
        <v>7678</v>
      </c>
      <c r="AG1242" s="1374" t="s">
        <v>7680</v>
      </c>
      <c r="AH1242" s="1374" t="s">
        <v>7710</v>
      </c>
      <c r="AI1242" s="1374" t="s">
        <v>7711</v>
      </c>
      <c r="AJ1242" s="1374" t="s">
        <v>7712</v>
      </c>
      <c r="AK1242" s="1374" t="s">
        <v>7713</v>
      </c>
      <c r="AL1242" s="1374" t="s">
        <v>7714</v>
      </c>
      <c r="AM1242" s="1374"/>
      <c r="AN1242" s="1374"/>
      <c r="AO1242" s="1374"/>
      <c r="AP1242" s="1374"/>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838"/>
      <c r="C1243" s="1061"/>
      <c r="D1243" s="66"/>
      <c r="E1243" s="1064" t="s">
        <v>8274</v>
      </c>
      <c r="F1243" s="85">
        <v>0</v>
      </c>
      <c r="G1243" s="85">
        <v>20</v>
      </c>
      <c r="H1243" s="85">
        <f>COUNTIF(HabilidadesEsenciales_Adquiridas,Tablas!E1243)</f>
        <v>0</v>
      </c>
      <c r="I1243" s="1066">
        <v>1</v>
      </c>
      <c r="J1243" s="184"/>
      <c r="K1243" s="1057"/>
      <c r="M1243" s="336"/>
      <c r="N1243" s="23"/>
      <c r="O1243" s="142" t="s">
        <v>7864</v>
      </c>
      <c r="P1243" s="1059">
        <v>10</v>
      </c>
      <c r="Q1243" s="184">
        <v>15</v>
      </c>
      <c r="R1243" s="1066">
        <f>COUNTIF(PoderesDeCriatura_Adquiridos,Tablas!O1243)</f>
        <v>0</v>
      </c>
      <c r="S1243" s="184"/>
      <c r="T1243" s="1057"/>
      <c r="W1243" s="1089" t="s">
        <v>7534</v>
      </c>
      <c r="X1243" s="314"/>
      <c r="Y1243" s="886" t="str">
        <f>IF(Z1243="","",SUBSTITUTE("PodHab_"&amp;W1243," ",""))</f>
        <v>PodHab_Degeneración</v>
      </c>
      <c r="Z1243" s="1368" t="s">
        <v>7715</v>
      </c>
      <c r="AA1243" s="1374" t="s">
        <v>7716</v>
      </c>
      <c r="AB1243" s="1374" t="s">
        <v>7717</v>
      </c>
      <c r="AC1243" s="1374" t="s">
        <v>7718</v>
      </c>
      <c r="AD1243" s="1374" t="s">
        <v>7719</v>
      </c>
      <c r="AE1243" s="1374"/>
      <c r="AF1243" s="1374"/>
      <c r="AG1243" s="1374"/>
      <c r="AH1243" s="1374"/>
      <c r="AI1243" s="1374"/>
      <c r="AJ1243" s="1374"/>
      <c r="AK1243" s="1374"/>
      <c r="AL1243" s="1374"/>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838"/>
      <c r="C1244" s="1061"/>
      <c r="D1244" s="66"/>
      <c r="E1244" s="1064" t="s">
        <v>8275</v>
      </c>
      <c r="F1244" s="85">
        <v>5</v>
      </c>
      <c r="G1244" s="85">
        <v>40</v>
      </c>
      <c r="H1244" s="85">
        <f>COUNTIF(HabilidadesEsenciales_Adquiridas,Tablas!E1244)</f>
        <v>0</v>
      </c>
      <c r="I1244" s="1066">
        <v>1</v>
      </c>
      <c r="J1244" s="184"/>
      <c r="K1244" s="1057"/>
      <c r="M1244" s="336"/>
      <c r="N1244" s="23"/>
      <c r="O1244" s="142" t="s">
        <v>7865</v>
      </c>
      <c r="P1244" s="1059">
        <v>15</v>
      </c>
      <c r="Q1244" s="184">
        <v>20</v>
      </c>
      <c r="R1244" s="1066">
        <f>COUNTIF(PoderesDeCriatura_Adquiridos,Tablas!O1244)</f>
        <v>0</v>
      </c>
      <c r="S1244" s="184"/>
      <c r="T1244" s="1057"/>
      <c r="W1244" s="1089" t="s">
        <v>1323</v>
      </c>
      <c r="X1244" s="314"/>
      <c r="Y1244" s="886"/>
      <c r="Z1244" s="1368"/>
      <c r="AA1244" s="1374"/>
      <c r="AB1244" s="1374"/>
      <c r="AC1244" s="1374"/>
      <c r="AD1244" s="1374"/>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838"/>
      <c r="C1245" s="1061"/>
      <c r="D1245" s="66"/>
      <c r="E1245" s="1064" t="s">
        <v>8276</v>
      </c>
      <c r="F1245" s="85">
        <v>15</v>
      </c>
      <c r="G1245" s="85">
        <v>60</v>
      </c>
      <c r="H1245" s="85">
        <f>COUNTIF(HabilidadesEsenciales_Adquiridas,Tablas!E1245)</f>
        <v>0</v>
      </c>
      <c r="I1245" s="1066">
        <v>1</v>
      </c>
      <c r="J1245" s="184"/>
      <c r="K1245" s="1057"/>
      <c r="M1245" s="336"/>
      <c r="N1245" s="23"/>
      <c r="O1245" s="142" t="s">
        <v>7866</v>
      </c>
      <c r="P1245" s="1059">
        <v>20</v>
      </c>
      <c r="Q1245" s="184">
        <v>25</v>
      </c>
      <c r="R1245" s="1066">
        <f>COUNTIF(PoderesDeCriatura_Adquiridos,Tablas!O1245)</f>
        <v>0</v>
      </c>
      <c r="S1245" s="184"/>
      <c r="T1245" s="1057"/>
      <c r="W1245" s="1089" t="s">
        <v>195</v>
      </c>
      <c r="X1245" s="314"/>
      <c r="Y1245" s="886" t="str">
        <f t="shared" ref="Y1245:Y1276" si="271">IF(Z1245="","",SUBSTITUTE("PodHab_"&amp;W1245," ",""))</f>
        <v>PodHab_Inmunidad</v>
      </c>
      <c r="Z1245" s="1368" t="s">
        <v>8618</v>
      </c>
      <c r="AA1245" s="1374" t="s">
        <v>8619</v>
      </c>
      <c r="AB1245" s="1374" t="s">
        <v>8620</v>
      </c>
      <c r="AC1245" s="1374" t="s">
        <v>8621</v>
      </c>
      <c r="AD1245" s="1374" t="s">
        <v>8622</v>
      </c>
      <c r="AE1245" s="1374" t="s">
        <v>8623</v>
      </c>
      <c r="AF1245" s="1374" t="s">
        <v>8624</v>
      </c>
      <c r="AG1245" s="1374" t="s">
        <v>8625</v>
      </c>
      <c r="AH1245" s="1374" t="s">
        <v>8626</v>
      </c>
      <c r="AI1245" s="1374" t="s">
        <v>8627</v>
      </c>
      <c r="AJ1245" s="1374" t="s">
        <v>8628</v>
      </c>
      <c r="AK1245" s="1374" t="s">
        <v>8629</v>
      </c>
      <c r="AL1245" s="1374" t="s">
        <v>8630</v>
      </c>
      <c r="AM1245" s="1374" t="s">
        <v>8631</v>
      </c>
      <c r="AN1245" s="1374" t="s">
        <v>8632</v>
      </c>
      <c r="AO1245" s="1374" t="s">
        <v>8633</v>
      </c>
      <c r="AP1245" s="1374" t="s">
        <v>8634</v>
      </c>
      <c r="AQ1245" s="1372" t="s">
        <v>7720</v>
      </c>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838"/>
      <c r="C1246" s="1061"/>
      <c r="D1246" s="66"/>
      <c r="E1246" s="1064" t="s">
        <v>8277</v>
      </c>
      <c r="F1246" s="85">
        <v>20</v>
      </c>
      <c r="G1246" s="85">
        <v>120</v>
      </c>
      <c r="H1246" s="85">
        <f>COUNTIF(HabilidadesEsenciales_Adquiridas,Tablas!E1246)</f>
        <v>0</v>
      </c>
      <c r="I1246" s="1066"/>
      <c r="J1246" s="184"/>
      <c r="K1246" s="1057"/>
      <c r="M1246" s="336"/>
      <c r="N1246" s="23"/>
      <c r="O1246" s="142" t="s">
        <v>7867</v>
      </c>
      <c r="P1246" s="1059">
        <v>25</v>
      </c>
      <c r="Q1246" s="184">
        <v>30</v>
      </c>
      <c r="R1246" s="1066">
        <f>COUNTIF(PoderesDeCriatura_Adquiridos,Tablas!O1246)</f>
        <v>0</v>
      </c>
      <c r="S1246" s="184"/>
      <c r="T1246" s="1057"/>
      <c r="W1246" s="1089" t="s">
        <v>7535</v>
      </c>
      <c r="X1246" s="314"/>
      <c r="Y1246" s="886" t="str">
        <f t="shared" si="271"/>
        <v>PodHab_Vulnerabilidadextrema</v>
      </c>
      <c r="Z1246" s="1368" t="s">
        <v>7721</v>
      </c>
      <c r="AA1246" s="1374" t="s">
        <v>7722</v>
      </c>
      <c r="AB1246" s="1374" t="s">
        <v>7723</v>
      </c>
      <c r="AC1246" s="1374" t="s">
        <v>7724</v>
      </c>
      <c r="AD1246" s="1374" t="s">
        <v>7725</v>
      </c>
      <c r="AE1246" s="1374" t="s">
        <v>7726</v>
      </c>
      <c r="AF1246" s="1374" t="s">
        <v>7727</v>
      </c>
      <c r="AG1246" s="1374" t="s">
        <v>8538</v>
      </c>
      <c r="AH1246" s="1374" t="s">
        <v>10201</v>
      </c>
      <c r="AI1246" s="1374" t="s">
        <v>3201</v>
      </c>
      <c r="AJ1246" s="1374" t="s">
        <v>7646</v>
      </c>
      <c r="AK1246" s="1374" t="s">
        <v>453</v>
      </c>
      <c r="AL1246" s="1374" t="s">
        <v>84</v>
      </c>
      <c r="AM1246" s="1374" t="s">
        <v>3841</v>
      </c>
      <c r="AN1246" s="1374" t="s">
        <v>3842</v>
      </c>
      <c r="AO1246" s="1374" t="s">
        <v>3843</v>
      </c>
      <c r="AP1246" s="1374" t="s">
        <v>7643</v>
      </c>
      <c r="AQ1246" s="1372"/>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838"/>
      <c r="C1247" s="1061"/>
      <c r="D1247" s="66"/>
      <c r="E1247" s="1064" t="s">
        <v>8278</v>
      </c>
      <c r="F1247" s="85">
        <v>25</v>
      </c>
      <c r="G1247" s="85">
        <v>180</v>
      </c>
      <c r="H1247" s="85">
        <f>COUNTIF(HabilidadesEsenciales_Adquiridas,Tablas!E1247)</f>
        <v>0</v>
      </c>
      <c r="I1247" s="1066"/>
      <c r="J1247" s="184"/>
      <c r="K1247" s="1057"/>
      <c r="M1247" s="336"/>
      <c r="N1247" s="23"/>
      <c r="O1247" s="142" t="s">
        <v>7868</v>
      </c>
      <c r="P1247" s="1059">
        <v>5</v>
      </c>
      <c r="Q1247" s="184">
        <v>10</v>
      </c>
      <c r="R1247" s="1066">
        <f>COUNTIF(PoderesDeCriatura_Adquiridos,Tablas!O1247)</f>
        <v>0</v>
      </c>
      <c r="S1247" s="184"/>
      <c r="T1247" s="1057"/>
      <c r="U1247">
        <v>1</v>
      </c>
      <c r="W1247" s="1089" t="s">
        <v>7536</v>
      </c>
      <c r="X1247" s="314"/>
      <c r="Y1247" s="886" t="str">
        <f t="shared" si="271"/>
        <v>PodHab_Barreradedaño</v>
      </c>
      <c r="Z1247" s="1368" t="s">
        <v>7728</v>
      </c>
      <c r="AA1247" s="1374" t="s">
        <v>7729</v>
      </c>
      <c r="AB1247" s="1374" t="s">
        <v>7730</v>
      </c>
      <c r="AC1247" s="1374" t="s">
        <v>7731</v>
      </c>
      <c r="AD1247" s="1374" t="s">
        <v>7732</v>
      </c>
      <c r="AE1247" s="1374" t="s">
        <v>7733</v>
      </c>
      <c r="AF1247" s="1374" t="s">
        <v>7734</v>
      </c>
      <c r="AG1247" s="1374"/>
      <c r="AH1247" s="1374"/>
      <c r="AI1247" s="1374"/>
      <c r="AJ1247" s="1374"/>
      <c r="AK1247" s="1374"/>
      <c r="AL1247" s="1374"/>
      <c r="AM1247" s="1374"/>
      <c r="AN1247" s="1374"/>
      <c r="AO1247" s="1374"/>
      <c r="AP1247" s="1374"/>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838"/>
      <c r="C1248" s="1061"/>
      <c r="D1248" s="66"/>
      <c r="E1248" s="1064" t="s">
        <v>8279</v>
      </c>
      <c r="F1248" s="85">
        <v>0</v>
      </c>
      <c r="G1248" s="85">
        <v>20</v>
      </c>
      <c r="H1248" s="85">
        <f>COUNTIF(HabilidadesEsenciales_Adquiridas,Tablas!E1248)</f>
        <v>0</v>
      </c>
      <c r="I1248" s="1066">
        <v>1</v>
      </c>
      <c r="J1248" s="184"/>
      <c r="K1248" s="1057"/>
      <c r="M1248" s="336"/>
      <c r="N1248" s="23"/>
      <c r="O1248" s="142" t="s">
        <v>7869</v>
      </c>
      <c r="P1248" s="1059">
        <v>10</v>
      </c>
      <c r="Q1248" s="184">
        <v>20</v>
      </c>
      <c r="R1248" s="1066">
        <f>COUNTIF(PoderesDeCriatura_Adquiridos,Tablas!O1248)</f>
        <v>0</v>
      </c>
      <c r="S1248" s="184"/>
      <c r="T1248" s="1057"/>
      <c r="U1248">
        <v>1</v>
      </c>
      <c r="W1248" s="1089" t="s">
        <v>1324</v>
      </c>
      <c r="X1248" s="808"/>
      <c r="Y1248" s="886" t="str">
        <f t="shared" si="271"/>
        <v/>
      </c>
      <c r="Z1248" s="1368"/>
      <c r="AA1248" s="1374"/>
      <c r="AB1248" s="1374"/>
      <c r="AC1248" s="1374"/>
      <c r="AD1248" s="1374"/>
      <c r="AE1248" s="1374"/>
      <c r="AF1248" s="1374"/>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838"/>
      <c r="C1249" s="1061"/>
      <c r="D1249" s="66"/>
      <c r="E1249" s="1064" t="s">
        <v>8280</v>
      </c>
      <c r="F1249" s="85">
        <v>5</v>
      </c>
      <c r="G1249" s="85">
        <v>40</v>
      </c>
      <c r="H1249" s="85">
        <f>COUNTIF(HabilidadesEsenciales_Adquiridas,Tablas!E1249)</f>
        <v>0</v>
      </c>
      <c r="I1249" s="1066">
        <v>1</v>
      </c>
      <c r="J1249" s="184"/>
      <c r="K1249" s="1057"/>
      <c r="M1249" s="336"/>
      <c r="N1249" s="23"/>
      <c r="O1249" s="142" t="s">
        <v>7870</v>
      </c>
      <c r="P1249" s="1059">
        <v>15</v>
      </c>
      <c r="Q1249" s="184">
        <v>30</v>
      </c>
      <c r="R1249" s="1066">
        <f>COUNTIF(PoderesDeCriatura_Adquiridos,Tablas!O1249)</f>
        <v>0</v>
      </c>
      <c r="S1249" s="184"/>
      <c r="T1249" s="1057"/>
      <c r="U1249">
        <v>1</v>
      </c>
      <c r="W1249" s="1089" t="s">
        <v>7553</v>
      </c>
      <c r="X1249" s="314"/>
      <c r="Y1249" s="886" t="str">
        <f t="shared" si="271"/>
        <v>PodHab_Armadurafísica</v>
      </c>
      <c r="Z1249" s="1368" t="s">
        <v>5866</v>
      </c>
      <c r="AA1249" s="1374" t="s">
        <v>4347</v>
      </c>
      <c r="AB1249" s="1374" t="s">
        <v>7735</v>
      </c>
      <c r="AC1249" s="1374" t="s">
        <v>4348</v>
      </c>
      <c r="AD1249" s="1374" t="s">
        <v>7736</v>
      </c>
      <c r="AE1249" s="1374" t="s">
        <v>4349</v>
      </c>
      <c r="AF1249" s="1374" t="s">
        <v>7737</v>
      </c>
      <c r="AG1249" s="1374" t="s">
        <v>4350</v>
      </c>
      <c r="AH1249" s="1374" t="s">
        <v>7738</v>
      </c>
      <c r="AI1249" s="1374" t="s">
        <v>5867</v>
      </c>
      <c r="AJ1249" s="1374" t="s">
        <v>5868</v>
      </c>
      <c r="AK1249" s="1374" t="s">
        <v>7739</v>
      </c>
      <c r="AL1249" s="1374" t="s">
        <v>7740</v>
      </c>
      <c r="AM1249" s="1374" t="s">
        <v>7741</v>
      </c>
      <c r="AN1249" s="1374" t="s">
        <v>7742</v>
      </c>
      <c r="AO1249" s="1374" t="s">
        <v>7743</v>
      </c>
      <c r="AP1249" s="1374" t="s">
        <v>7744</v>
      </c>
      <c r="AQ1249" s="1372" t="s">
        <v>7745</v>
      </c>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838"/>
      <c r="C1250" s="1061"/>
      <c r="D1250" s="66"/>
      <c r="E1250" s="1064" t="s">
        <v>8281</v>
      </c>
      <c r="F1250" s="85">
        <v>15</v>
      </c>
      <c r="G1250" s="85">
        <v>60</v>
      </c>
      <c r="H1250" s="85">
        <f>COUNTIF(HabilidadesEsenciales_Adquiridas,Tablas!E1250)</f>
        <v>0</v>
      </c>
      <c r="I1250" s="1066">
        <v>1</v>
      </c>
      <c r="J1250" s="184"/>
      <c r="K1250" s="1057"/>
      <c r="M1250" s="336"/>
      <c r="N1250" s="23"/>
      <c r="O1250" s="142" t="s">
        <v>7871</v>
      </c>
      <c r="P1250" s="1059">
        <v>20</v>
      </c>
      <c r="Q1250" s="184">
        <v>40</v>
      </c>
      <c r="R1250" s="1066">
        <f>COUNTIF(PoderesDeCriatura_Adquiridos,Tablas!O1250)</f>
        <v>0</v>
      </c>
      <c r="S1250" s="184"/>
      <c r="T1250" s="1057"/>
      <c r="U1250">
        <v>1</v>
      </c>
      <c r="W1250" s="1089" t="s">
        <v>2323</v>
      </c>
      <c r="X1250" s="314"/>
      <c r="Y1250" s="886" t="str">
        <f t="shared" si="271"/>
        <v>PodHab_Armaduramística</v>
      </c>
      <c r="Z1250" s="1368" t="s">
        <v>5866</v>
      </c>
      <c r="AA1250" s="1374" t="s">
        <v>4347</v>
      </c>
      <c r="AB1250" s="1374" t="s">
        <v>7735</v>
      </c>
      <c r="AC1250" s="1374" t="s">
        <v>4348</v>
      </c>
      <c r="AD1250" s="1374" t="s">
        <v>7736</v>
      </c>
      <c r="AE1250" s="1374" t="s">
        <v>4349</v>
      </c>
      <c r="AF1250" s="1374" t="s">
        <v>7737</v>
      </c>
      <c r="AG1250" s="1374" t="s">
        <v>4350</v>
      </c>
      <c r="AH1250" s="1374"/>
      <c r="AI1250" s="1374"/>
      <c r="AJ1250" s="1374"/>
      <c r="AK1250" s="1374"/>
      <c r="AL1250" s="1374"/>
      <c r="AM1250" s="1374"/>
      <c r="AN1250" s="1374"/>
      <c r="AO1250" s="1374"/>
      <c r="AP1250" s="1374"/>
      <c r="AQ1250" s="1372"/>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838"/>
      <c r="C1251" s="1061"/>
      <c r="D1251" s="66"/>
      <c r="E1251" s="1064" t="s">
        <v>8282</v>
      </c>
      <c r="F1251" s="85">
        <v>20</v>
      </c>
      <c r="G1251" s="85">
        <v>120</v>
      </c>
      <c r="H1251" s="85">
        <f>COUNTIF(HabilidadesEsenciales_Adquiridas,Tablas!E1251)</f>
        <v>0</v>
      </c>
      <c r="I1251" s="1066"/>
      <c r="J1251" s="184"/>
      <c r="K1251" s="1057"/>
      <c r="M1251" s="336"/>
      <c r="N1251" s="23"/>
      <c r="O1251" s="142" t="s">
        <v>7872</v>
      </c>
      <c r="P1251" s="1059">
        <v>25</v>
      </c>
      <c r="Q1251" s="184">
        <v>50</v>
      </c>
      <c r="R1251" s="1066">
        <f>COUNTIF(PoderesDeCriatura_Adquiridos,Tablas!O1251)</f>
        <v>0</v>
      </c>
      <c r="S1251" s="184"/>
      <c r="T1251" s="1057"/>
      <c r="U1251">
        <v>1</v>
      </c>
      <c r="W1251" s="1089" t="s">
        <v>1325</v>
      </c>
      <c r="X1251" s="808"/>
      <c r="Y1251" s="886" t="str">
        <f t="shared" si="271"/>
        <v/>
      </c>
      <c r="Z1251" s="1368"/>
      <c r="AA1251" s="1374"/>
      <c r="AB1251" s="1374"/>
      <c r="AC1251" s="1374"/>
      <c r="AD1251" s="1374"/>
      <c r="AE1251" s="1374"/>
      <c r="AF1251" s="1374"/>
      <c r="AG1251" s="1374"/>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838"/>
      <c r="C1252" s="1061"/>
      <c r="D1252" s="66"/>
      <c r="E1252" s="1064" t="s">
        <v>8283</v>
      </c>
      <c r="F1252" s="85">
        <v>25</v>
      </c>
      <c r="G1252" s="85">
        <v>180</v>
      </c>
      <c r="H1252" s="85">
        <f>COUNTIF(HabilidadesEsenciales_Adquiridas,Tablas!E1252)</f>
        <v>0</v>
      </c>
      <c r="I1252" s="1066"/>
      <c r="J1252" s="184"/>
      <c r="K1252" s="1057"/>
      <c r="M1252" s="336"/>
      <c r="N1252" s="23"/>
      <c r="O1252" s="142" t="s">
        <v>7873</v>
      </c>
      <c r="P1252" s="1059">
        <v>30</v>
      </c>
      <c r="Q1252" s="184">
        <v>60</v>
      </c>
      <c r="R1252" s="1066">
        <f>COUNTIF(PoderesDeCriatura_Adquiridos,Tablas!O1252)</f>
        <v>0</v>
      </c>
      <c r="S1252" s="184"/>
      <c r="T1252" s="1057"/>
      <c r="U1252">
        <v>1</v>
      </c>
      <c r="W1252" s="1089" t="s">
        <v>7569</v>
      </c>
      <c r="X1252" s="314"/>
      <c r="Y1252" s="886" t="str">
        <f t="shared" si="271"/>
        <v>PodHab_HabilidadesEspirituales</v>
      </c>
      <c r="Z1252" s="1368" t="s">
        <v>7746</v>
      </c>
      <c r="AA1252" s="1374" t="s">
        <v>7747</v>
      </c>
      <c r="AB1252" s="1374" t="s">
        <v>7748</v>
      </c>
      <c r="AC1252" s="1374"/>
      <c r="AD1252" s="1374"/>
      <c r="AE1252" s="1374"/>
      <c r="AF1252" s="1374"/>
      <c r="AG1252" s="1374"/>
      <c r="AH1252" s="1374"/>
      <c r="AI1252" s="1370"/>
      <c r="AJ1252" s="1370"/>
      <c r="AK1252" s="1370"/>
      <c r="AL1252" s="1370"/>
      <c r="AM1252" s="1370"/>
      <c r="AN1252" s="1370"/>
      <c r="AO1252" s="1370"/>
      <c r="AP1252" s="1370"/>
      <c r="AQ1252" s="1371"/>
      <c r="AR1252" s="1371"/>
      <c r="AS1252" s="1371"/>
      <c r="AT1252" s="1371"/>
      <c r="AU1252" s="1371"/>
      <c r="AV1252" s="1371"/>
      <c r="AW1252" s="1371"/>
      <c r="AX1252" s="1371"/>
      <c r="AY1252" s="1371"/>
      <c r="AZ1252" s="1371"/>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838"/>
      <c r="C1253" s="1061"/>
      <c r="D1253" s="66"/>
      <c r="E1253" s="1064" t="s">
        <v>8284</v>
      </c>
      <c r="F1253" s="85">
        <v>0</v>
      </c>
      <c r="G1253" s="85">
        <v>20</v>
      </c>
      <c r="H1253" s="85">
        <f>COUNTIF(HabilidadesEsenciales_Adquiridas,Tablas!E1253)</f>
        <v>0</v>
      </c>
      <c r="I1253" s="1066">
        <v>1</v>
      </c>
      <c r="J1253" s="184"/>
      <c r="K1253" s="1057"/>
      <c r="M1253" s="336"/>
      <c r="N1253" s="23"/>
      <c r="O1253" s="142" t="s">
        <v>7874</v>
      </c>
      <c r="P1253" s="1059">
        <v>35</v>
      </c>
      <c r="Q1253" s="184">
        <v>70</v>
      </c>
      <c r="R1253" s="1066">
        <f>COUNTIF(PoderesDeCriatura_Adquiridos,Tablas!O1253)</f>
        <v>0</v>
      </c>
      <c r="S1253" s="184"/>
      <c r="T1253" s="1057"/>
      <c r="U1253">
        <v>1</v>
      </c>
      <c r="W1253" s="1089" t="s">
        <v>0</v>
      </c>
      <c r="X1253" s="808"/>
      <c r="Y1253" s="886" t="str">
        <f t="shared" si="271"/>
        <v/>
      </c>
      <c r="Z1253" s="1368"/>
      <c r="AA1253" s="1374"/>
      <c r="AB1253" s="1374"/>
      <c r="AC1253" s="1374"/>
      <c r="AD1253" s="1374"/>
      <c r="AE1253" s="1374"/>
      <c r="AF1253" s="1374"/>
      <c r="AG1253" s="1374"/>
      <c r="AH1253" s="1374"/>
      <c r="AI1253" s="1374"/>
      <c r="AJ1253" s="1374"/>
      <c r="AK1253" s="1374"/>
      <c r="AL1253" s="1374"/>
      <c r="AM1253" s="1374"/>
      <c r="AN1253" s="1374"/>
      <c r="AO1253" s="1374"/>
      <c r="AP1253" s="1374"/>
      <c r="AQ1253" s="1372"/>
      <c r="AR1253" s="1372"/>
      <c r="AS1253" s="1372"/>
      <c r="AT1253" s="1372"/>
      <c r="AU1253" s="1372"/>
      <c r="AV1253" s="1372"/>
      <c r="AW1253" s="1372"/>
      <c r="AX1253" s="1372"/>
      <c r="AY1253" s="1372"/>
      <c r="AZ1253" s="1372"/>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838"/>
      <c r="C1254" s="1061"/>
      <c r="D1254" s="66"/>
      <c r="E1254" s="1064" t="s">
        <v>8285</v>
      </c>
      <c r="F1254" s="85">
        <v>5</v>
      </c>
      <c r="G1254" s="85">
        <v>40</v>
      </c>
      <c r="H1254" s="85">
        <f>COUNTIF(HabilidadesEsenciales_Adquiridas,Tablas!E1254)</f>
        <v>0</v>
      </c>
      <c r="I1254" s="1066">
        <v>1</v>
      </c>
      <c r="J1254" s="184"/>
      <c r="K1254" s="1057"/>
      <c r="M1254" s="336"/>
      <c r="N1254" s="23"/>
      <c r="O1254" s="142" t="s">
        <v>7875</v>
      </c>
      <c r="P1254" s="1059">
        <v>40</v>
      </c>
      <c r="Q1254" s="184">
        <v>80</v>
      </c>
      <c r="R1254" s="1066">
        <f>COUNTIF(PoderesDeCriatura_Adquiridos,Tablas!O1254)</f>
        <v>0</v>
      </c>
      <c r="S1254" s="184"/>
      <c r="T1254" s="1057"/>
      <c r="U1254">
        <v>1</v>
      </c>
      <c r="W1254" s="1089" t="s">
        <v>2752</v>
      </c>
      <c r="X1254" s="314"/>
      <c r="Y1254" s="886" t="str">
        <f t="shared" si="271"/>
        <v>PodHab_Aura</v>
      </c>
      <c r="Z1254" s="1368" t="s">
        <v>7599</v>
      </c>
      <c r="AA1254" s="1374" t="s">
        <v>7601</v>
      </c>
      <c r="AB1254" s="1374" t="s">
        <v>7602</v>
      </c>
      <c r="AC1254" s="1374" t="s">
        <v>7603</v>
      </c>
      <c r="AD1254" s="1374" t="s">
        <v>7604</v>
      </c>
      <c r="AE1254" s="1374" t="s">
        <v>5645</v>
      </c>
      <c r="AF1254" s="1374" t="s">
        <v>7641</v>
      </c>
      <c r="AG1254" s="1374" t="s">
        <v>7642</v>
      </c>
      <c r="AH1254" s="1374" t="s">
        <v>4745</v>
      </c>
      <c r="AI1254" s="1374" t="s">
        <v>4746</v>
      </c>
      <c r="AJ1254" s="1374" t="s">
        <v>3840</v>
      </c>
      <c r="AK1254" s="1374" t="s">
        <v>3841</v>
      </c>
      <c r="AL1254" s="1374" t="s">
        <v>3202</v>
      </c>
      <c r="AM1254" s="1374" t="s">
        <v>631</v>
      </c>
      <c r="AN1254" s="1374" t="s">
        <v>3199</v>
      </c>
      <c r="AO1254" s="1374" t="s">
        <v>7644</v>
      </c>
      <c r="AP1254" s="1374" t="s">
        <v>453</v>
      </c>
      <c r="AQ1254" s="1372" t="s">
        <v>7645</v>
      </c>
      <c r="AR1254" s="1372" t="s">
        <v>7646</v>
      </c>
      <c r="AS1254" s="1372" t="s">
        <v>579</v>
      </c>
      <c r="AT1254" s="1372" t="s">
        <v>440</v>
      </c>
      <c r="AU1254" s="1372" t="s">
        <v>441</v>
      </c>
      <c r="AV1254" s="1372" t="s">
        <v>442</v>
      </c>
      <c r="AW1254" s="1372" t="s">
        <v>3200</v>
      </c>
      <c r="AX1254" s="1372" t="s">
        <v>7647</v>
      </c>
      <c r="AY1254" s="1372" t="s">
        <v>7648</v>
      </c>
      <c r="AZ1254" s="1372" t="s">
        <v>3201</v>
      </c>
      <c r="BA1254" s="1372" t="s">
        <v>468</v>
      </c>
      <c r="BB1254" s="1372" t="s">
        <v>84</v>
      </c>
      <c r="BC1254" s="1372" t="s">
        <v>40</v>
      </c>
      <c r="BD1254" s="1372" t="s">
        <v>7649</v>
      </c>
      <c r="BE1254" s="1372" t="s">
        <v>7650</v>
      </c>
      <c r="BF1254" s="1372" t="s">
        <v>7749</v>
      </c>
      <c r="BG1254" s="1372" t="s">
        <v>7654</v>
      </c>
      <c r="BH1254" s="1372" t="s">
        <v>7750</v>
      </c>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838"/>
      <c r="C1255" s="1061"/>
      <c r="D1255" s="66"/>
      <c r="E1255" s="1064" t="s">
        <v>8286</v>
      </c>
      <c r="F1255" s="85">
        <v>15</v>
      </c>
      <c r="G1255" s="85">
        <v>60</v>
      </c>
      <c r="H1255" s="85">
        <f>COUNTIF(HabilidadesEsenciales_Adquiridas,Tablas!E1255)</f>
        <v>0</v>
      </c>
      <c r="I1255" s="1066">
        <v>1</v>
      </c>
      <c r="J1255" s="184"/>
      <c r="K1255" s="1057"/>
      <c r="M1255" s="336"/>
      <c r="N1255" s="23"/>
      <c r="O1255" s="142" t="s">
        <v>7876</v>
      </c>
      <c r="P1255" s="1059">
        <v>5</v>
      </c>
      <c r="Q1255" s="184">
        <f>10+IF(OR(TipoDeCriatura="Entre mundos, Elemental",TipoDeCriatura="Ánima, Elemental"),10,0)</f>
        <v>10</v>
      </c>
      <c r="R1255" s="1066">
        <f>COUNTIF(PoderesDeCriatura_Adquiridos,Tablas!O1255)</f>
        <v>0</v>
      </c>
      <c r="S1255" s="184"/>
      <c r="T1255" s="1057"/>
      <c r="U1255">
        <v>1</v>
      </c>
      <c r="W1255" s="1089" t="s">
        <v>7537</v>
      </c>
      <c r="X1255" s="314"/>
      <c r="Y1255" s="886" t="str">
        <f t="shared" si="271"/>
        <v>PodHab_Forma</v>
      </c>
      <c r="Z1255" s="1368" t="s">
        <v>7751</v>
      </c>
      <c r="AA1255" s="1374" t="s">
        <v>7752</v>
      </c>
      <c r="AB1255" s="1374" t="s">
        <v>359</v>
      </c>
      <c r="AC1255" s="1374" t="s">
        <v>7753</v>
      </c>
      <c r="AD1255" s="1374" t="s">
        <v>10297</v>
      </c>
      <c r="AE1255" s="1374" t="s">
        <v>7720</v>
      </c>
      <c r="AF1255" s="1374"/>
      <c r="AG1255" s="1374"/>
      <c r="AH1255" s="1374"/>
      <c r="AI1255" s="1374"/>
      <c r="AJ1255" s="1374"/>
      <c r="AK1255" s="1374"/>
      <c r="AL1255" s="1374"/>
      <c r="AM1255" s="1374"/>
      <c r="AN1255" s="1374"/>
      <c r="AO1255" s="1374"/>
      <c r="AP1255" s="1374"/>
      <c r="AQ1255" s="1372"/>
      <c r="AR1255" s="1372"/>
      <c r="AS1255" s="1372"/>
      <c r="AT1255" s="1372"/>
      <c r="AU1255" s="1372"/>
      <c r="AV1255" s="1372"/>
      <c r="AW1255" s="1372"/>
      <c r="AX1255" s="1372"/>
      <c r="AY1255" s="1372"/>
      <c r="AZ1255" s="1372"/>
      <c r="BA1255" s="1372"/>
      <c r="BB1255" s="1372"/>
      <c r="BC1255" s="1372"/>
      <c r="BD1255" s="1372"/>
      <c r="BE1255" s="1372"/>
      <c r="BF1255" s="1372"/>
      <c r="BG1255" s="1372"/>
      <c r="BH1255" s="1372"/>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838"/>
      <c r="C1256" s="1061"/>
      <c r="D1256" s="66"/>
      <c r="E1256" s="1064" t="s">
        <v>8287</v>
      </c>
      <c r="F1256" s="85">
        <v>20</v>
      </c>
      <c r="G1256" s="85">
        <v>120</v>
      </c>
      <c r="H1256" s="85">
        <f>COUNTIF(HabilidadesEsenciales_Adquiridas,Tablas!E1256)</f>
        <v>0</v>
      </c>
      <c r="I1256" s="1066">
        <v>1</v>
      </c>
      <c r="J1256" s="184"/>
      <c r="K1256" s="1057"/>
      <c r="M1256" s="336"/>
      <c r="N1256" s="23"/>
      <c r="O1256" s="142" t="s">
        <v>7877</v>
      </c>
      <c r="P1256" s="1059">
        <v>10</v>
      </c>
      <c r="Q1256" s="184">
        <f>15+IF(OR(TipoDeCriatura="Entre mundos, Elemental",TipoDeCriatura="Ánima, Elemental"),10,0)</f>
        <v>15</v>
      </c>
      <c r="R1256" s="1066">
        <f>COUNTIF(PoderesDeCriatura_Adquiridos,Tablas!O1256)</f>
        <v>0</v>
      </c>
      <c r="S1256" s="184"/>
      <c r="T1256" s="1057"/>
      <c r="U1256">
        <v>1</v>
      </c>
      <c r="W1256" s="1089" t="s">
        <v>7554</v>
      </c>
      <c r="X1256" s="314"/>
      <c r="Y1256" s="886" t="str">
        <f t="shared" si="271"/>
        <v>PodHab_Indetecciones</v>
      </c>
      <c r="Z1256" s="1368" t="s">
        <v>7754</v>
      </c>
      <c r="AA1256" s="1374" t="s">
        <v>7755</v>
      </c>
      <c r="AB1256" s="1374" t="s">
        <v>7756</v>
      </c>
      <c r="AC1256" s="1374" t="s">
        <v>7757</v>
      </c>
      <c r="AD1256" s="1374" t="s">
        <v>2</v>
      </c>
      <c r="AE1256" s="1374" t="s">
        <v>7758</v>
      </c>
      <c r="AF1256" s="1374" t="s">
        <v>3</v>
      </c>
      <c r="AG1256" s="1374" t="s">
        <v>7759</v>
      </c>
      <c r="AH1256" s="1374" t="s">
        <v>4</v>
      </c>
      <c r="AI1256" s="1374" t="s">
        <v>7760</v>
      </c>
      <c r="AJ1256" s="1374"/>
      <c r="AK1256" s="1374"/>
      <c r="AL1256" s="1374"/>
      <c r="AM1256" s="1374"/>
      <c r="AN1256" s="1374"/>
      <c r="AO1256" s="1374"/>
      <c r="AP1256" s="1370"/>
      <c r="AQ1256" s="1371"/>
      <c r="AR1256" s="1371"/>
      <c r="AS1256" s="1371"/>
      <c r="AT1256" s="1371"/>
      <c r="AU1256" s="1371"/>
      <c r="AV1256" s="1371"/>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838"/>
      <c r="C1257" s="1061"/>
      <c r="D1257" s="66"/>
      <c r="E1257" s="1064" t="s">
        <v>8288</v>
      </c>
      <c r="F1257" s="85">
        <v>25</v>
      </c>
      <c r="G1257" s="85">
        <v>180</v>
      </c>
      <c r="H1257" s="85">
        <f>COUNTIF(HabilidadesEsenciales_Adquiridas,Tablas!E1257)</f>
        <v>0</v>
      </c>
      <c r="I1257" s="1066">
        <v>1</v>
      </c>
      <c r="J1257" s="184"/>
      <c r="K1257" s="1057"/>
      <c r="M1257" s="336"/>
      <c r="N1257" s="23"/>
      <c r="O1257" s="142" t="s">
        <v>7878</v>
      </c>
      <c r="P1257" s="1059">
        <v>10</v>
      </c>
      <c r="Q1257" s="184">
        <f>20+IF(OR(TipoDeCriatura="Entre mundos, Elemental",TipoDeCriatura="Ánima, Elemental"),10,0)</f>
        <v>20</v>
      </c>
      <c r="R1257" s="1066">
        <f>COUNTIF(PoderesDeCriatura_Adquiridos,Tablas!O1257)</f>
        <v>0</v>
      </c>
      <c r="S1257" s="184"/>
      <c r="T1257" s="1057"/>
      <c r="U1257">
        <v>1</v>
      </c>
      <c r="W1257" s="1089" t="s">
        <v>7570</v>
      </c>
      <c r="X1257" s="314"/>
      <c r="Y1257" s="886" t="str">
        <f t="shared" si="271"/>
        <v>PodHab_MagiaInnata</v>
      </c>
      <c r="Z1257" s="1368" t="s">
        <v>7761</v>
      </c>
      <c r="AA1257" s="1374" t="s">
        <v>7762</v>
      </c>
      <c r="AB1257" s="1374" t="s">
        <v>7606</v>
      </c>
      <c r="AC1257" s="1374" t="s">
        <v>7763</v>
      </c>
      <c r="AD1257" s="1374" t="s">
        <v>7607</v>
      </c>
      <c r="AE1257" s="1374" t="s">
        <v>7608</v>
      </c>
      <c r="AF1257" s="1374" t="s">
        <v>7609</v>
      </c>
      <c r="AG1257" s="1374" t="s">
        <v>7610</v>
      </c>
      <c r="AH1257" s="1374" t="s">
        <v>7611</v>
      </c>
      <c r="AI1257" s="1374"/>
      <c r="AJ1257" s="1374"/>
      <c r="AK1257" s="1374"/>
      <c r="AL1257" s="1374"/>
      <c r="AM1257" s="1374"/>
      <c r="AN1257" s="1374"/>
      <c r="AO1257" s="1374"/>
      <c r="AP1257" s="1374"/>
      <c r="AQ1257" s="1372"/>
      <c r="AR1257" s="1372"/>
      <c r="AS1257" s="1372"/>
      <c r="AT1257" s="1372"/>
      <c r="AU1257" s="1372"/>
      <c r="AV1257" s="1372"/>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838"/>
      <c r="C1258" s="1061"/>
      <c r="D1258" s="66"/>
      <c r="E1258" s="1064" t="s">
        <v>8289</v>
      </c>
      <c r="F1258" s="85">
        <v>0</v>
      </c>
      <c r="G1258" s="85">
        <v>20</v>
      </c>
      <c r="H1258" s="85">
        <f>COUNTIF(HabilidadesEsenciales_Adquiridas,Tablas!E1258)</f>
        <v>0</v>
      </c>
      <c r="I1258" s="1066">
        <v>1</v>
      </c>
      <c r="J1258" s="184"/>
      <c r="K1258" s="1057"/>
      <c r="M1258" s="336"/>
      <c r="N1258" s="23"/>
      <c r="O1258" s="142" t="s">
        <v>7879</v>
      </c>
      <c r="P1258" s="1059">
        <v>10</v>
      </c>
      <c r="Q1258" s="184">
        <f>25+IF(OR(TipoDeCriatura="Entre mundos, Elemental",TipoDeCriatura="Ánima, Elemental"),10,0)</f>
        <v>25</v>
      </c>
      <c r="R1258" s="1066">
        <f>COUNTIF(PoderesDeCriatura_Adquiridos,Tablas!O1258)</f>
        <v>0</v>
      </c>
      <c r="S1258" s="184"/>
      <c r="T1258" s="1057"/>
      <c r="U1258">
        <v>1</v>
      </c>
      <c r="W1258" s="1089" t="s">
        <v>7538</v>
      </c>
      <c r="X1258" s="314"/>
      <c r="Y1258" s="886" t="str">
        <f t="shared" si="271"/>
        <v>PodHab_Psíquicainnata</v>
      </c>
      <c r="Z1258" s="1368" t="s">
        <v>7764</v>
      </c>
      <c r="AA1258" s="1374" t="s">
        <v>7762</v>
      </c>
      <c r="AB1258" s="1374" t="s">
        <v>7606</v>
      </c>
      <c r="AC1258" s="1374" t="s">
        <v>7763</v>
      </c>
      <c r="AD1258" s="1374" t="s">
        <v>7607</v>
      </c>
      <c r="AE1258" s="1374" t="s">
        <v>7608</v>
      </c>
      <c r="AF1258" s="1374" t="s">
        <v>7609</v>
      </c>
      <c r="AG1258" s="1374" t="s">
        <v>7610</v>
      </c>
      <c r="AH1258" s="1374" t="s">
        <v>7611</v>
      </c>
      <c r="AI1258" s="1374"/>
      <c r="AJ1258" s="1370"/>
      <c r="AK1258" s="1370"/>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838"/>
      <c r="C1259" s="1061"/>
      <c r="D1259" s="66"/>
      <c r="E1259" s="1064" t="s">
        <v>8290</v>
      </c>
      <c r="F1259" s="85">
        <v>5</v>
      </c>
      <c r="G1259" s="85">
        <v>40</v>
      </c>
      <c r="H1259" s="85">
        <f>COUNTIF(HabilidadesEsenciales_Adquiridas,Tablas!E1259)</f>
        <v>0</v>
      </c>
      <c r="I1259" s="1066">
        <v>1</v>
      </c>
      <c r="J1259" s="184"/>
      <c r="K1259" s="1057"/>
      <c r="M1259" s="336"/>
      <c r="N1259" s="23"/>
      <c r="O1259" s="142" t="s">
        <v>7880</v>
      </c>
      <c r="P1259" s="1059">
        <v>15</v>
      </c>
      <c r="Q1259" s="184">
        <f>30+IF(OR(TipoDeCriatura="Entre mundos, Elemental",TipoDeCriatura="Ánima, Elemental"),10,0)</f>
        <v>30</v>
      </c>
      <c r="R1259" s="1066">
        <f>COUNTIF(PoderesDeCriatura_Adquiridos,Tablas!O1259)</f>
        <v>0</v>
      </c>
      <c r="S1259" s="184"/>
      <c r="T1259" s="1057"/>
      <c r="U1259">
        <v>1</v>
      </c>
      <c r="W1259" s="1089" t="s">
        <v>1</v>
      </c>
      <c r="X1259" s="314"/>
      <c r="Y1259" s="886" t="str">
        <f t="shared" si="271"/>
        <v>PodHab_Metamorfismo</v>
      </c>
      <c r="Z1259" s="1368" t="s">
        <v>7765</v>
      </c>
      <c r="AA1259" s="1374" t="s">
        <v>1732</v>
      </c>
      <c r="AB1259" s="1374" t="s">
        <v>3234</v>
      </c>
      <c r="AC1259" s="1374" t="s">
        <v>7763</v>
      </c>
      <c r="AD1259" s="1370"/>
      <c r="AE1259" s="1370"/>
      <c r="AF1259" s="1370"/>
      <c r="AG1259" s="1370"/>
      <c r="AH1259" s="1370"/>
      <c r="AI1259" s="1370"/>
      <c r="AJ1259" s="1370"/>
      <c r="AK1259" s="1370"/>
      <c r="AL1259" s="1370"/>
      <c r="AM1259" s="1370"/>
      <c r="AN1259" s="1370"/>
      <c r="AO1259" s="1370"/>
      <c r="AP1259" s="1370"/>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838"/>
      <c r="C1260" s="1061"/>
      <c r="D1260" s="66"/>
      <c r="E1260" s="1064" t="s">
        <v>8291</v>
      </c>
      <c r="F1260" s="85">
        <v>15</v>
      </c>
      <c r="G1260" s="85">
        <v>60</v>
      </c>
      <c r="H1260" s="85">
        <f>COUNTIF(HabilidadesEsenciales_Adquiridas,Tablas!E1260)</f>
        <v>0</v>
      </c>
      <c r="I1260" s="1066">
        <v>1</v>
      </c>
      <c r="J1260" s="184"/>
      <c r="K1260" s="1057"/>
      <c r="M1260" s="336"/>
      <c r="N1260" s="23"/>
      <c r="O1260" s="142" t="s">
        <v>7881</v>
      </c>
      <c r="P1260" s="1059">
        <v>20</v>
      </c>
      <c r="Q1260" s="184">
        <f>50+IF(OR(TipoDeCriatura="Entre mundos, Elemental",TipoDeCriatura="Ánima, Elemental"),10,0)</f>
        <v>50</v>
      </c>
      <c r="R1260" s="1066">
        <f>COUNTIF(PoderesDeCriatura_Adquiridos,Tablas!O1260)</f>
        <v>0</v>
      </c>
      <c r="S1260" s="184"/>
      <c r="T1260" s="1057"/>
      <c r="U1260">
        <v>1</v>
      </c>
      <c r="W1260" s="1089" t="s">
        <v>5</v>
      </c>
      <c r="X1260" s="808"/>
      <c r="Y1260" s="886" t="str">
        <f t="shared" si="271"/>
        <v/>
      </c>
      <c r="Z1260" s="1368"/>
      <c r="AA1260" s="1374"/>
      <c r="AB1260" s="1374"/>
      <c r="AC1260" s="1374"/>
      <c r="AD1260" s="1374"/>
      <c r="AE1260" s="1374"/>
      <c r="AF1260" s="1374"/>
      <c r="AG1260" s="1374"/>
      <c r="AH1260" s="1374"/>
      <c r="AI1260" s="1374"/>
      <c r="AJ1260" s="1374"/>
      <c r="AK1260" s="1374"/>
      <c r="AL1260" s="1374"/>
      <c r="AM1260" s="1374"/>
      <c r="AN1260" s="1374"/>
      <c r="AO1260" s="1374"/>
      <c r="AP1260" s="1374"/>
      <c r="AQ1260" s="1372"/>
      <c r="AR1260" s="1372"/>
      <c r="AS1260" s="1372"/>
      <c r="AT1260" s="1372"/>
      <c r="AU1260" s="1372"/>
      <c r="AV1260" s="1372"/>
      <c r="AW1260" s="1372"/>
      <c r="AX1260" s="1372"/>
      <c r="AY1260" s="1372"/>
      <c r="AZ1260" s="1372"/>
      <c r="BA1260" s="1372"/>
      <c r="BB1260" s="1372"/>
      <c r="BC1260" s="1372"/>
      <c r="BD1260" s="1372"/>
      <c r="BE1260" s="1372"/>
      <c r="BF1260" s="1372"/>
      <c r="BG1260" s="1372"/>
      <c r="BH1260" s="1372"/>
      <c r="BI1260" s="1372"/>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838"/>
      <c r="C1261" s="1061"/>
      <c r="D1261" s="66"/>
      <c r="E1261" s="1064" t="s">
        <v>8292</v>
      </c>
      <c r="F1261" s="85">
        <v>20</v>
      </c>
      <c r="G1261" s="85">
        <v>120</v>
      </c>
      <c r="H1261" s="85">
        <f>COUNTIF(HabilidadesEsenciales_Adquiridas,Tablas!E1261)</f>
        <v>0</v>
      </c>
      <c r="I1261" s="1066"/>
      <c r="J1261" s="184"/>
      <c r="K1261" s="1057"/>
      <c r="M1261" s="336"/>
      <c r="N1261" s="23"/>
      <c r="O1261" s="142" t="s">
        <v>7882</v>
      </c>
      <c r="P1261" s="1059">
        <v>20</v>
      </c>
      <c r="Q1261" s="184">
        <f>60+IF(OR(TipoDeCriatura="Entre mundos, Elemental",TipoDeCriatura="Ánima, Elemental"),10,0)</f>
        <v>60</v>
      </c>
      <c r="R1261" s="1066">
        <f>COUNTIF(PoderesDeCriatura_Adquiridos,Tablas!O1261)</f>
        <v>0</v>
      </c>
      <c r="S1261" s="184"/>
      <c r="T1261" s="1057"/>
      <c r="U1261">
        <v>1</v>
      </c>
      <c r="W1261" s="1089" t="s">
        <v>7539</v>
      </c>
      <c r="X1261" s="314"/>
      <c r="Y1261" s="886" t="str">
        <f t="shared" si="271"/>
        <v>PodHab_Detecciónsobrenatural</v>
      </c>
      <c r="Z1261" s="1368" t="s">
        <v>5669</v>
      </c>
      <c r="AA1261" s="1374" t="s">
        <v>5670</v>
      </c>
      <c r="AB1261" s="1374" t="s">
        <v>5671</v>
      </c>
      <c r="AC1261" s="1374" t="s">
        <v>5672</v>
      </c>
      <c r="AD1261" s="1374" t="s">
        <v>7766</v>
      </c>
      <c r="AE1261" s="1374" t="s">
        <v>7767</v>
      </c>
      <c r="AF1261" s="1374" t="s">
        <v>7768</v>
      </c>
      <c r="AG1261" s="1374" t="s">
        <v>3666</v>
      </c>
      <c r="AH1261" s="1374" t="s">
        <v>3629</v>
      </c>
      <c r="AI1261" s="1374" t="s">
        <v>3358</v>
      </c>
      <c r="AJ1261" s="1374" t="s">
        <v>3819</v>
      </c>
      <c r="AK1261" s="1374" t="s">
        <v>4704</v>
      </c>
      <c r="AL1261" s="1374" t="s">
        <v>7769</v>
      </c>
      <c r="AM1261" s="1374" t="s">
        <v>7770</v>
      </c>
      <c r="AN1261" s="1374"/>
      <c r="AO1261" s="1370"/>
      <c r="AP1261" s="1370"/>
      <c r="AQ1261" s="1371"/>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838"/>
      <c r="C1262" s="1061"/>
      <c r="D1262" s="66"/>
      <c r="E1262" s="1064" t="s">
        <v>8293</v>
      </c>
      <c r="F1262" s="85">
        <v>25</v>
      </c>
      <c r="G1262" s="85">
        <v>180</v>
      </c>
      <c r="H1262" s="85">
        <f>COUNTIF(HabilidadesEsenciales_Adquiridas,Tablas!E1262)</f>
        <v>0</v>
      </c>
      <c r="I1262" s="1066"/>
      <c r="J1262" s="184"/>
      <c r="K1262" s="1057"/>
      <c r="M1262" s="336"/>
      <c r="N1262" s="23"/>
      <c r="O1262" s="142" t="s">
        <v>7883</v>
      </c>
      <c r="P1262" s="1059">
        <v>25</v>
      </c>
      <c r="Q1262" s="184">
        <f>80+IF(OR(TipoDeCriatura="Entre mundos, Elemental",TipoDeCriatura="Ánima, Elemental"),10,0)</f>
        <v>80</v>
      </c>
      <c r="R1262" s="1066">
        <f>COUNTIF(PoderesDeCriatura_Adquiridos,Tablas!O1262)</f>
        <v>0</v>
      </c>
      <c r="S1262" s="184"/>
      <c r="T1262" s="1057"/>
      <c r="U1262">
        <v>1</v>
      </c>
      <c r="W1262" s="1089" t="s">
        <v>7555</v>
      </c>
      <c r="X1262" s="314"/>
      <c r="Y1262" s="886" t="str">
        <f t="shared" si="271"/>
        <v>PodHab_Visiónespecial</v>
      </c>
      <c r="Z1262" s="1368" t="s">
        <v>1918</v>
      </c>
      <c r="AA1262" s="1374" t="s">
        <v>6</v>
      </c>
      <c r="AB1262" s="1374" t="s">
        <v>7</v>
      </c>
      <c r="AC1262" s="1374" t="s">
        <v>8</v>
      </c>
      <c r="AD1262" s="1374" t="s">
        <v>9</v>
      </c>
      <c r="AE1262" s="1374" t="s">
        <v>10</v>
      </c>
      <c r="AF1262" s="1374" t="s">
        <v>2328</v>
      </c>
      <c r="AG1262" s="1374"/>
      <c r="AH1262" s="1374"/>
      <c r="AI1262" s="1374"/>
      <c r="AJ1262" s="1374"/>
      <c r="AK1262" s="1374"/>
      <c r="AL1262" s="1374"/>
      <c r="AM1262" s="1374"/>
      <c r="AN1262" s="1374"/>
      <c r="AO1262" s="1374"/>
      <c r="AP1262" s="1374"/>
      <c r="AQ1262" s="1372"/>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838"/>
      <c r="C1263" s="1061"/>
      <c r="D1263" s="66"/>
      <c r="E1263" s="1064" t="s">
        <v>8294</v>
      </c>
      <c r="F1263" s="85">
        <v>0</v>
      </c>
      <c r="G1263" s="85">
        <v>20</v>
      </c>
      <c r="H1263" s="85">
        <f>COUNTIF(HabilidadesEsenciales_Adquiridas,Tablas!E1263)</f>
        <v>0</v>
      </c>
      <c r="I1263" s="1066">
        <v>1</v>
      </c>
      <c r="J1263" s="184"/>
      <c r="K1263" s="1057"/>
      <c r="M1263" s="336"/>
      <c r="N1263" s="23"/>
      <c r="O1263" s="142" t="s">
        <v>7884</v>
      </c>
      <c r="P1263" s="1059">
        <v>30</v>
      </c>
      <c r="Q1263" s="184">
        <f>100+IF(OR(TipoDeCriatura="Entre mundos, Elemental",TipoDeCriatura="Ánima, Elemental"),10,0)</f>
        <v>100</v>
      </c>
      <c r="R1263" s="1066">
        <f>COUNTIF(PoderesDeCriatura_Adquiridos,Tablas!O1263)</f>
        <v>0</v>
      </c>
      <c r="S1263" s="184"/>
      <c r="T1263" s="1057"/>
      <c r="U1263">
        <v>1</v>
      </c>
      <c r="W1263" s="1089" t="s">
        <v>11</v>
      </c>
      <c r="X1263" s="808"/>
      <c r="Y1263" s="886" t="str">
        <f t="shared" si="271"/>
        <v/>
      </c>
      <c r="Z1263" s="1368"/>
      <c r="AA1263" s="1374"/>
      <c r="AB1263" s="1374"/>
      <c r="AC1263" s="1374"/>
      <c r="AD1263" s="1374"/>
      <c r="AE1263" s="1374"/>
      <c r="AF1263" s="1374"/>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838"/>
      <c r="C1264" s="1061"/>
      <c r="D1264" s="66"/>
      <c r="E1264" s="1064" t="s">
        <v>8295</v>
      </c>
      <c r="F1264" s="85">
        <v>5</v>
      </c>
      <c r="G1264" s="85">
        <v>40</v>
      </c>
      <c r="H1264" s="85">
        <f>COUNTIF(HabilidadesEsenciales_Adquiridas,Tablas!E1264)</f>
        <v>0</v>
      </c>
      <c r="I1264" s="1066">
        <v>1</v>
      </c>
      <c r="J1264" s="184"/>
      <c r="K1264" s="1057"/>
      <c r="M1264" s="336"/>
      <c r="N1264" s="23"/>
      <c r="O1264" s="142" t="s">
        <v>7885</v>
      </c>
      <c r="P1264" s="1059">
        <v>10</v>
      </c>
      <c r="Q1264" s="184">
        <f>10+IF(OR(TipoDeCriatura="Entre mundos, Elemental",TipoDeCriatura="Ánima, Elemental"),10,0)</f>
        <v>10</v>
      </c>
      <c r="R1264" s="1066">
        <f>COUNTIF(PoderesDeCriatura_Adquiridos,Tablas!O1264)</f>
        <v>0</v>
      </c>
      <c r="S1264" s="184"/>
      <c r="T1264" s="1057"/>
      <c r="U1264">
        <v>1</v>
      </c>
      <c r="W1264" s="1089" t="s">
        <v>7542</v>
      </c>
      <c r="X1264" s="314"/>
      <c r="Y1264" s="886" t="str">
        <f t="shared" si="271"/>
        <v>PodHab_Acumularataque</v>
      </c>
      <c r="Z1264" s="1368" t="s">
        <v>7771</v>
      </c>
      <c r="AA1264" s="1374" t="s">
        <v>7772</v>
      </c>
      <c r="AB1264" s="1374" t="s">
        <v>7773</v>
      </c>
      <c r="AC1264" s="1374" t="s">
        <v>7774</v>
      </c>
      <c r="AD1264" s="1374" t="s">
        <v>7775</v>
      </c>
      <c r="AE1264" s="1374" t="s">
        <v>7776</v>
      </c>
      <c r="AF1264" s="1374" t="s">
        <v>7777</v>
      </c>
      <c r="AG1264" s="1374"/>
      <c r="AH1264" s="1374"/>
      <c r="AI1264" s="1374"/>
      <c r="AJ1264" s="1374"/>
      <c r="AK1264" s="1374"/>
      <c r="AL1264" s="1370"/>
      <c r="AM1264" s="1370"/>
      <c r="AN1264" s="1370"/>
      <c r="AO1264" s="1370"/>
      <c r="AP1264" s="1370"/>
      <c r="AQ1264" s="1371"/>
      <c r="AR1264" s="1371"/>
      <c r="AS1264" s="1371"/>
      <c r="AT1264" s="1371"/>
      <c r="AU1264" s="1371"/>
      <c r="AV1264" s="1371"/>
      <c r="AW1264" s="1371"/>
      <c r="AX1264" s="1371"/>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838"/>
      <c r="C1265" s="1061"/>
      <c r="D1265" s="66"/>
      <c r="E1265" s="1064" t="s">
        <v>8296</v>
      </c>
      <c r="F1265" s="85">
        <v>15</v>
      </c>
      <c r="G1265" s="85">
        <v>60</v>
      </c>
      <c r="H1265" s="85">
        <f>COUNTIF(HabilidadesEsenciales_Adquiridas,Tablas!E1265)</f>
        <v>0</v>
      </c>
      <c r="I1265" s="1066">
        <v>1</v>
      </c>
      <c r="J1265" s="184"/>
      <c r="K1265" s="1057"/>
      <c r="M1265" s="336"/>
      <c r="N1265" s="23"/>
      <c r="O1265" s="142" t="s">
        <v>7886</v>
      </c>
      <c r="P1265" s="1059">
        <v>10</v>
      </c>
      <c r="Q1265" s="184">
        <f>20+IF(OR(TipoDeCriatura="Entre mundos, Elemental",TipoDeCriatura="Ánima, Elemental"),10,0)</f>
        <v>20</v>
      </c>
      <c r="R1265" s="1066">
        <f>COUNTIF(PoderesDeCriatura_Adquiridos,Tablas!O1265)</f>
        <v>0</v>
      </c>
      <c r="S1265" s="184"/>
      <c r="T1265" s="1057"/>
      <c r="U1265">
        <v>1</v>
      </c>
      <c r="W1265" s="1089" t="s">
        <v>13</v>
      </c>
      <c r="X1265" s="314"/>
      <c r="Y1265" s="886" t="str">
        <f t="shared" si="271"/>
        <v>PodHab_Armanaturaladistancia</v>
      </c>
      <c r="Z1265" s="1368" t="s">
        <v>7571</v>
      </c>
      <c r="AA1265" s="1374" t="s">
        <v>7572</v>
      </c>
      <c r="AB1265" s="1374" t="s">
        <v>7573</v>
      </c>
      <c r="AC1265" s="1374" t="s">
        <v>7574</v>
      </c>
      <c r="AD1265" s="1374"/>
      <c r="AE1265" s="1374"/>
      <c r="AF1265" s="1374"/>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838"/>
      <c r="C1266" s="1061"/>
      <c r="D1266" s="66"/>
      <c r="E1266" s="1064" t="s">
        <v>8297</v>
      </c>
      <c r="F1266" s="85">
        <v>20</v>
      </c>
      <c r="G1266" s="85">
        <v>120</v>
      </c>
      <c r="H1266" s="85">
        <f>COUNTIF(HabilidadesEsenciales_Adquiridas,Tablas!E1266)</f>
        <v>0</v>
      </c>
      <c r="I1266" s="1066"/>
      <c r="J1266" s="184"/>
      <c r="K1266" s="1057"/>
      <c r="M1266" s="336"/>
      <c r="N1266" s="23"/>
      <c r="O1266" s="142" t="s">
        <v>7887</v>
      </c>
      <c r="P1266" s="1059">
        <v>15</v>
      </c>
      <c r="Q1266" s="184">
        <f>30+IF(OR(TipoDeCriatura="Entre mundos, Elemental",TipoDeCriatura="Ánima, Elemental"),10,0)</f>
        <v>30</v>
      </c>
      <c r="R1266" s="1066">
        <f>COUNTIF(PoderesDeCriatura_Adquiridos,Tablas!O1266)</f>
        <v>0</v>
      </c>
      <c r="S1266" s="184"/>
      <c r="T1266" s="1057"/>
      <c r="U1266">
        <v>1</v>
      </c>
      <c r="W1266" s="1089" t="s">
        <v>10167</v>
      </c>
      <c r="X1266" s="314"/>
      <c r="Y1266" s="886" t="str">
        <f t="shared" si="271"/>
        <v>PodHab_Ataqueautomáticocondicionado</v>
      </c>
      <c r="Z1266" s="1368" t="s">
        <v>7778</v>
      </c>
      <c r="AA1266" s="1374" t="s">
        <v>7779</v>
      </c>
      <c r="AB1266" s="1374" t="s">
        <v>7780</v>
      </c>
      <c r="AC1266" s="1374" t="s">
        <v>7781</v>
      </c>
      <c r="AD1266" s="1374" t="s">
        <v>7782</v>
      </c>
      <c r="AE1266" s="1374" t="s">
        <v>7783</v>
      </c>
      <c r="AF1266" s="1374" t="s">
        <v>864</v>
      </c>
      <c r="AG1266" s="1374" t="s">
        <v>84</v>
      </c>
      <c r="AH1266" s="1374" t="s">
        <v>2164</v>
      </c>
      <c r="AI1266" s="1374" t="s">
        <v>7784</v>
      </c>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838"/>
      <c r="C1267" s="1061"/>
      <c r="D1267" s="66"/>
      <c r="E1267" s="1064" t="s">
        <v>8298</v>
      </c>
      <c r="F1267" s="85">
        <v>25</v>
      </c>
      <c r="G1267" s="85">
        <v>180</v>
      </c>
      <c r="H1267" s="85">
        <f>COUNTIF(HabilidadesEsenciales_Adquiridas,Tablas!E1267)</f>
        <v>0</v>
      </c>
      <c r="I1267" s="1066"/>
      <c r="J1267" s="184"/>
      <c r="K1267" s="1057"/>
      <c r="M1267" s="336"/>
      <c r="N1267" s="23"/>
      <c r="O1267" s="142" t="s">
        <v>7888</v>
      </c>
      <c r="P1267" s="1059">
        <v>20</v>
      </c>
      <c r="Q1267" s="184">
        <f>40+IF(OR(TipoDeCriatura="Entre mundos, Elemental",TipoDeCriatura="Ánima, Elemental"),10,0)</f>
        <v>40</v>
      </c>
      <c r="R1267" s="1066">
        <f>COUNTIF(PoderesDeCriatura_Adquiridos,Tablas!O1267)</f>
        <v>0</v>
      </c>
      <c r="S1267" s="184"/>
      <c r="T1267" s="1057"/>
      <c r="U1267">
        <v>1</v>
      </c>
      <c r="W1267" s="1089" t="s">
        <v>12</v>
      </c>
      <c r="X1267" s="1085"/>
      <c r="Y1267" s="886" t="str">
        <f>IF(Z1267="","",SUBSTITUTE("PodHab_"&amp;W1267," ",""))</f>
        <v/>
      </c>
      <c r="Z1267" s="1368"/>
      <c r="AA1267" s="1374"/>
      <c r="AB1267" s="1374"/>
      <c r="AC1267" s="1374"/>
      <c r="AD1267" s="1374"/>
      <c r="AE1267" s="1374"/>
      <c r="AF1267" s="1374"/>
      <c r="AG1267" s="1374"/>
      <c r="AH1267" s="1374"/>
      <c r="AI1267" s="1374"/>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838"/>
      <c r="C1268" s="1061"/>
      <c r="D1268" s="66"/>
      <c r="E1268" s="1064" t="s">
        <v>8299</v>
      </c>
      <c r="F1268" s="85">
        <v>0</v>
      </c>
      <c r="G1268" s="85">
        <v>20</v>
      </c>
      <c r="H1268" s="85">
        <f>COUNTIF(HabilidadesEsenciales_Adquiridas,Tablas!E1268)</f>
        <v>0</v>
      </c>
      <c r="I1268" s="1066">
        <v>1</v>
      </c>
      <c r="J1268" s="184"/>
      <c r="K1268" s="1057"/>
      <c r="M1268" s="336"/>
      <c r="N1268" s="23"/>
      <c r="O1268" s="142" t="s">
        <v>7889</v>
      </c>
      <c r="P1268" s="1059">
        <v>25</v>
      </c>
      <c r="Q1268" s="184">
        <f>50+IF(OR(TipoDeCriatura="Entre mundos, Elemental",TipoDeCriatura="Ánima, Elemental"),10,0)</f>
        <v>50</v>
      </c>
      <c r="R1268" s="1066">
        <f>COUNTIF(PoderesDeCriatura_Adquiridos,Tablas!O1268)</f>
        <v>0</v>
      </c>
      <c r="S1268" s="184"/>
      <c r="T1268" s="1057"/>
      <c r="U1268">
        <v>1</v>
      </c>
      <c r="W1268" s="1089" t="s">
        <v>7557</v>
      </c>
      <c r="X1268" s="314"/>
      <c r="Y1268" s="886" t="str">
        <f t="shared" si="271"/>
        <v>PodHab_Ataquecamuflado</v>
      </c>
      <c r="Z1268" s="1368" t="s">
        <v>7785</v>
      </c>
      <c r="AA1268" s="1374" t="s">
        <v>7786</v>
      </c>
      <c r="AB1268" s="1374" t="s">
        <v>7787</v>
      </c>
      <c r="AC1268" s="1374" t="s">
        <v>7788</v>
      </c>
      <c r="AD1268" s="1374" t="s">
        <v>7789</v>
      </c>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838"/>
      <c r="C1269" s="1061"/>
      <c r="D1269" s="66"/>
      <c r="E1269" s="1064" t="s">
        <v>8300</v>
      </c>
      <c r="F1269" s="85">
        <v>5</v>
      </c>
      <c r="G1269" s="85">
        <v>40</v>
      </c>
      <c r="H1269" s="85">
        <f>COUNTIF(HabilidadesEsenciales_Adquiridas,Tablas!E1269)</f>
        <v>0</v>
      </c>
      <c r="I1269" s="1066">
        <v>1</v>
      </c>
      <c r="J1269" s="184"/>
      <c r="K1269" s="1057"/>
      <c r="M1269" s="336"/>
      <c r="N1269" s="23"/>
      <c r="O1269" s="142" t="s">
        <v>7890</v>
      </c>
      <c r="P1269" s="1059">
        <v>30</v>
      </c>
      <c r="Q1269" s="184">
        <f>60+IF(OR(TipoDeCriatura="Entre mundos, Elemental",TipoDeCriatura="Ánima, Elemental"),10,0)</f>
        <v>60</v>
      </c>
      <c r="R1269" s="1066">
        <f>COUNTIF(PoderesDeCriatura_Adquiridos,Tablas!O1269)</f>
        <v>0</v>
      </c>
      <c r="S1269" s="184"/>
      <c r="T1269" s="1057"/>
      <c r="U1269">
        <v>1</v>
      </c>
      <c r="W1269" s="1089" t="s">
        <v>7547</v>
      </c>
      <c r="X1269" s="333"/>
      <c r="Y1269" s="886" t="str">
        <f t="shared" si="271"/>
        <v>PodHab_Ataqueespecialincrementado</v>
      </c>
      <c r="Z1269" s="1368" t="s">
        <v>7790</v>
      </c>
      <c r="AA1269" s="1374" t="s">
        <v>7791</v>
      </c>
      <c r="AB1269" s="1374" t="s">
        <v>7792</v>
      </c>
      <c r="AC1269" s="1374" t="s">
        <v>7793</v>
      </c>
      <c r="AD1269" s="1374" t="s">
        <v>7794</v>
      </c>
      <c r="AE1269" s="1374" t="s">
        <v>7112</v>
      </c>
      <c r="AF1269" s="1370"/>
      <c r="AG1269" s="1370"/>
      <c r="AH1269" s="1370"/>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838"/>
      <c r="C1270" s="1061"/>
      <c r="D1270" s="66"/>
      <c r="E1270" s="1064" t="s">
        <v>8301</v>
      </c>
      <c r="F1270" s="85">
        <v>15</v>
      </c>
      <c r="G1270" s="85">
        <v>60</v>
      </c>
      <c r="H1270" s="85">
        <f>COUNTIF(HabilidadesEsenciales_Adquiridas,Tablas!E1270)</f>
        <v>0</v>
      </c>
      <c r="I1270" s="1066">
        <v>1</v>
      </c>
      <c r="J1270" s="184"/>
      <c r="K1270" s="1057"/>
      <c r="M1270" s="336"/>
      <c r="N1270" s="23"/>
      <c r="O1270" s="142" t="s">
        <v>7891</v>
      </c>
      <c r="P1270" s="1059">
        <v>35</v>
      </c>
      <c r="Q1270" s="184">
        <f>80+IF(OR(TipoDeCriatura="Entre mundos, Elemental",TipoDeCriatura="Ánima, Elemental"),10,0)</f>
        <v>80</v>
      </c>
      <c r="R1270" s="1066">
        <f>COUNTIF(PoderesDeCriatura_Adquiridos,Tablas!O1270)</f>
        <v>0</v>
      </c>
      <c r="S1270" s="184"/>
      <c r="T1270" s="1057"/>
      <c r="U1270">
        <v>1</v>
      </c>
      <c r="W1270" s="1089" t="s">
        <v>7558</v>
      </c>
      <c r="X1270" s="314"/>
      <c r="Y1270" s="886" t="str">
        <f t="shared" si="271"/>
        <v>PodHab_Ataquemantenido</v>
      </c>
      <c r="Z1270" s="1368" t="s">
        <v>7795</v>
      </c>
      <c r="AA1270" s="1374" t="s">
        <v>7796</v>
      </c>
      <c r="AB1270" s="1374" t="s">
        <v>7797</v>
      </c>
      <c r="AC1270" s="1374" t="s">
        <v>7798</v>
      </c>
      <c r="AD1270" s="1374" t="s">
        <v>7799</v>
      </c>
      <c r="AE1270" s="1374"/>
      <c r="AF1270" s="1374"/>
      <c r="AG1270" s="1374"/>
      <c r="AH1270" s="1374"/>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838"/>
      <c r="C1271" s="1061"/>
      <c r="D1271" s="66"/>
      <c r="E1271" s="1064" t="s">
        <v>8302</v>
      </c>
      <c r="F1271" s="85">
        <v>20</v>
      </c>
      <c r="G1271" s="85">
        <v>120</v>
      </c>
      <c r="H1271" s="85">
        <f>COUNTIF(HabilidadesEsenciales_Adquiridas,Tablas!E1271)</f>
        <v>0</v>
      </c>
      <c r="I1271" s="1066"/>
      <c r="J1271" s="184"/>
      <c r="K1271" s="1057"/>
      <c r="M1271" s="336"/>
      <c r="N1271" s="23"/>
      <c r="O1271" s="142" t="s">
        <v>7892</v>
      </c>
      <c r="P1271" s="1059">
        <v>10</v>
      </c>
      <c r="Q1271" s="184">
        <f>5+IF(OR(TipoDeCriatura="Entre mundos, Elemental",TipoDeCriatura="Ánima, Elemental"),5,0)</f>
        <v>5</v>
      </c>
      <c r="R1271" s="1066">
        <f>COUNTIF(PoderesDeCriatura_Adquiridos,Tablas!O1271)</f>
        <v>0</v>
      </c>
      <c r="S1271" s="184"/>
      <c r="T1271" s="1057"/>
      <c r="U1271">
        <v>1</v>
      </c>
      <c r="W1271" s="1089" t="s">
        <v>7556</v>
      </c>
      <c r="X1271" s="314"/>
      <c r="Y1271" s="886" t="str">
        <f t="shared" si="271"/>
        <v>PodHab_Ataqueretardado</v>
      </c>
      <c r="Z1271" s="1368" t="s">
        <v>7800</v>
      </c>
      <c r="AA1271" s="1374" t="s">
        <v>7801</v>
      </c>
      <c r="AB1271" s="1374" t="s">
        <v>7802</v>
      </c>
      <c r="AC1271" s="1374" t="s">
        <v>7803</v>
      </c>
      <c r="AD1271" s="1374"/>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838"/>
      <c r="C1272" s="1061"/>
      <c r="D1272" s="66"/>
      <c r="E1272" s="1064" t="s">
        <v>8303</v>
      </c>
      <c r="F1272" s="85">
        <v>25</v>
      </c>
      <c r="G1272" s="85">
        <v>180</v>
      </c>
      <c r="H1272" s="85">
        <f>COUNTIF(HabilidadesEsenciales_Adquiridas,Tablas!E1272)</f>
        <v>0</v>
      </c>
      <c r="I1272" s="1066"/>
      <c r="J1272" s="184"/>
      <c r="K1272" s="1057"/>
      <c r="M1272" s="336"/>
      <c r="N1272" s="23"/>
      <c r="O1272" s="142" t="s">
        <v>7893</v>
      </c>
      <c r="P1272" s="1059">
        <v>20</v>
      </c>
      <c r="Q1272" s="184">
        <f>60+IF(OR(TipoDeCriatura="Entre mundos, Elemental",TipoDeCriatura="Ánima, Elemental"),10,0)</f>
        <v>60</v>
      </c>
      <c r="R1272" s="1066">
        <f>COUNTIF(PoderesDeCriatura_Adquiridos,Tablas!O1272)</f>
        <v>0</v>
      </c>
      <c r="S1272" s="184"/>
      <c r="T1272" s="1057"/>
      <c r="U1272">
        <v>1</v>
      </c>
      <c r="W1272" s="1089" t="s">
        <v>7543</v>
      </c>
      <c r="X1272" s="314"/>
      <c r="Y1272" s="886" t="str">
        <f t="shared" si="271"/>
        <v>PodHab_Ataquesmúltiplesaleatorios</v>
      </c>
      <c r="Z1272" s="1368" t="s">
        <v>7804</v>
      </c>
      <c r="AA1272" s="1374" t="s">
        <v>7805</v>
      </c>
      <c r="AB1272" s="1374" t="s">
        <v>7806</v>
      </c>
      <c r="AC1272" s="1374" t="s">
        <v>7778</v>
      </c>
      <c r="AD1272" s="1374" t="s">
        <v>7779</v>
      </c>
      <c r="AE1272" s="1374" t="s">
        <v>7780</v>
      </c>
      <c r="AF1272" s="1374" t="s">
        <v>7807</v>
      </c>
      <c r="AG1272" s="1374"/>
      <c r="AH1272" s="1374"/>
      <c r="AI1272" s="1374"/>
      <c r="AJ1272" s="1374" t="s">
        <v>7112</v>
      </c>
      <c r="AK1272" s="1374" t="s">
        <v>7112</v>
      </c>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838"/>
      <c r="C1273" s="1061"/>
      <c r="D1273" s="66"/>
      <c r="E1273" s="1064" t="s">
        <v>2311</v>
      </c>
      <c r="F1273" s="85">
        <v>0</v>
      </c>
      <c r="G1273" s="85">
        <v>10</v>
      </c>
      <c r="H1273" s="85">
        <f>COUNTIF(HabilidadesEsenciales_Adquiridas,Tablas!E1273)</f>
        <v>0</v>
      </c>
      <c r="I1273" s="1066">
        <v>1</v>
      </c>
      <c r="J1273" s="184"/>
      <c r="K1273" s="1057"/>
      <c r="M1273" s="336"/>
      <c r="N1273" s="23"/>
      <c r="O1273" s="142" t="s">
        <v>7894</v>
      </c>
      <c r="P1273" s="1059">
        <v>5</v>
      </c>
      <c r="Q1273" s="184">
        <v>-10</v>
      </c>
      <c r="R1273" s="1066">
        <f>COUNTIF(PoderesDeCriatura_Adquiridos,Tablas!O1273)</f>
        <v>0</v>
      </c>
      <c r="S1273" s="184"/>
      <c r="T1273" s="1057"/>
      <c r="U1273">
        <v>1</v>
      </c>
      <c r="W1273" s="1089" t="s">
        <v>7544</v>
      </c>
      <c r="X1273" s="1085"/>
      <c r="Y1273" s="886" t="str">
        <f t="shared" si="271"/>
        <v/>
      </c>
      <c r="Z1273" s="1368" t="s">
        <v>7112</v>
      </c>
      <c r="AA1273" s="1374"/>
      <c r="AB1273" s="1374"/>
      <c r="AC1273" s="1374"/>
      <c r="AD1273" s="1374"/>
      <c r="AE1273" s="1374"/>
      <c r="AF1273" s="1374"/>
      <c r="AG1273" s="1374"/>
      <c r="AH1273" s="1374"/>
      <c r="AI1273" s="1374"/>
      <c r="AJ1273" s="1374"/>
      <c r="AK1273" s="1374"/>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838"/>
      <c r="C1274" s="1061"/>
      <c r="D1274" s="66"/>
      <c r="E1274" s="1064" t="s">
        <v>2312</v>
      </c>
      <c r="F1274" s="85">
        <v>0</v>
      </c>
      <c r="G1274" s="85">
        <v>10</v>
      </c>
      <c r="H1274" s="85">
        <f>COUNTIF(HabilidadesEsenciales_Adquiridas,Tablas!E1274)</f>
        <v>0</v>
      </c>
      <c r="I1274" s="1066">
        <v>1</v>
      </c>
      <c r="J1274" s="184">
        <f t="array" ref="J1274">MAX({1;2;3;4;5}*H1273:H1277)+MIN({-1;-2;-3;-4;-5}*H1278:H1282)</f>
        <v>0</v>
      </c>
      <c r="K1274" s="1057" t="s">
        <v>1907</v>
      </c>
      <c r="M1274" s="336"/>
      <c r="N1274" s="23"/>
      <c r="O1274" s="142" t="s">
        <v>7895</v>
      </c>
      <c r="P1274" s="1059">
        <v>5</v>
      </c>
      <c r="Q1274" s="184">
        <v>-20</v>
      </c>
      <c r="R1274" s="1066">
        <f>COUNTIF(PoderesDeCriatura_Adquiridos,Tablas!O1274)</f>
        <v>0</v>
      </c>
      <c r="S1274" s="184"/>
      <c r="T1274" s="1057"/>
      <c r="U1274">
        <v>1</v>
      </c>
      <c r="W1274" s="1089" t="s">
        <v>7541</v>
      </c>
      <c r="X1274" s="1085"/>
      <c r="Y1274" s="886" t="str">
        <f t="shared" si="271"/>
        <v/>
      </c>
      <c r="Z1274" s="1368"/>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838"/>
      <c r="C1275" s="1061"/>
      <c r="D1275" s="66"/>
      <c r="E1275" s="1064" t="s">
        <v>2313</v>
      </c>
      <c r="F1275" s="85">
        <v>0</v>
      </c>
      <c r="G1275" s="85">
        <v>10</v>
      </c>
      <c r="H1275" s="85">
        <f>COUNTIF(HabilidadesEsenciales_Adquiridas,Tablas!E1275)</f>
        <v>0</v>
      </c>
      <c r="I1275" s="1066">
        <v>1</v>
      </c>
      <c r="J1275" s="184"/>
      <c r="K1275" s="1057"/>
      <c r="M1275" s="336"/>
      <c r="N1275" s="23"/>
      <c r="O1275" s="142" t="s">
        <v>7896</v>
      </c>
      <c r="P1275" s="1059">
        <v>5</v>
      </c>
      <c r="Q1275" s="184">
        <v>-30</v>
      </c>
      <c r="R1275" s="1066">
        <f>COUNTIF(PoderesDeCriatura_Adquiridos,Tablas!O1275)</f>
        <v>0</v>
      </c>
      <c r="S1275" s="184"/>
      <c r="T1275" s="1057"/>
      <c r="U1275">
        <v>1</v>
      </c>
      <c r="W1275" s="1089" t="s">
        <v>2176</v>
      </c>
      <c r="X1275" s="314"/>
      <c r="Y1275" s="886" t="str">
        <f t="shared" si="271"/>
        <v>PodHab_Escudo</v>
      </c>
      <c r="Z1275" s="1368" t="s">
        <v>2178</v>
      </c>
      <c r="AA1275" s="1374" t="s">
        <v>2177</v>
      </c>
      <c r="AB1275" s="1374" t="s">
        <v>2175</v>
      </c>
      <c r="AC1275" s="1374" t="s">
        <v>7808</v>
      </c>
      <c r="AD1275" s="1374" t="s">
        <v>7809</v>
      </c>
      <c r="AE1275" s="1374" t="s">
        <v>7810</v>
      </c>
      <c r="AF1275" s="1374" t="s">
        <v>7811</v>
      </c>
      <c r="AG1275" s="1374" t="s">
        <v>7812</v>
      </c>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838"/>
      <c r="C1276" s="1061"/>
      <c r="D1276" s="66"/>
      <c r="E1276" s="1064" t="s">
        <v>2314</v>
      </c>
      <c r="F1276" s="85">
        <v>0</v>
      </c>
      <c r="G1276" s="85">
        <v>10</v>
      </c>
      <c r="H1276" s="85">
        <f>COUNTIF(HabilidadesEsenciales_Adquiridas,Tablas!E1276)</f>
        <v>0</v>
      </c>
      <c r="I1276" s="1066">
        <v>1</v>
      </c>
      <c r="J1276" s="184"/>
      <c r="K1276" s="1057"/>
      <c r="M1276" s="336"/>
      <c r="N1276" s="23"/>
      <c r="O1276" s="142" t="s">
        <v>7897</v>
      </c>
      <c r="P1276" s="1059">
        <v>5</v>
      </c>
      <c r="Q1276" s="184">
        <v>-40</v>
      </c>
      <c r="R1276" s="1066">
        <f>COUNTIF(PoderesDeCriatura_Adquiridos,Tablas!O1276)</f>
        <v>0</v>
      </c>
      <c r="S1276" s="184"/>
      <c r="T1276" s="1057"/>
      <c r="U1276">
        <v>1</v>
      </c>
      <c r="W1276" s="1089" t="s">
        <v>7546</v>
      </c>
      <c r="X1276" s="1085"/>
      <c r="Y1276" s="886" t="str">
        <f t="shared" si="271"/>
        <v/>
      </c>
      <c r="Z1276" s="1368"/>
      <c r="AA1276" s="1374"/>
      <c r="AB1276" s="1374"/>
      <c r="AC1276" s="1374"/>
      <c r="AD1276" s="1374"/>
      <c r="AE1276" s="1374"/>
      <c r="AF1276" s="1374"/>
      <c r="AG1276" s="1374"/>
      <c r="AH1276" s="1374"/>
      <c r="AI1276" s="1374"/>
      <c r="AJ1276" s="1374" t="s">
        <v>7112</v>
      </c>
      <c r="AK1276" s="1374" t="s">
        <v>7112</v>
      </c>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838"/>
      <c r="C1277" s="1061"/>
      <c r="D1277" s="66"/>
      <c r="E1277" s="1064" t="s">
        <v>2315</v>
      </c>
      <c r="F1277" s="85">
        <v>0</v>
      </c>
      <c r="G1277" s="85">
        <v>10</v>
      </c>
      <c r="H1277" s="85">
        <f>COUNTIF(HabilidadesEsenciales_Adquiridas,Tablas!E1277)</f>
        <v>0</v>
      </c>
      <c r="I1277" s="1066">
        <v>1</v>
      </c>
      <c r="J1277" s="184"/>
      <c r="K1277" s="1057"/>
      <c r="M1277" s="336"/>
      <c r="N1277" s="23"/>
      <c r="O1277" s="142" t="s">
        <v>7898</v>
      </c>
      <c r="P1277" s="1054">
        <v>5</v>
      </c>
      <c r="Q1277" s="94">
        <v>-50</v>
      </c>
      <c r="R1277" s="1066">
        <f>COUNTIF(PoderesDeCriatura_Adquiridos,Tablas!O1277)</f>
        <v>0</v>
      </c>
      <c r="S1277" s="184"/>
      <c r="T1277" s="1057"/>
      <c r="U1277">
        <v>1</v>
      </c>
      <c r="W1277" s="1089" t="s">
        <v>7540</v>
      </c>
      <c r="X1277" s="1085" t="str">
        <f>MID(INDEX(Lista_PoderesCriatura,MATCH($W1272&amp;"*",Lista_PoderesCriatura,0)-1+Tablas!N$1),LEN($W1272)+3,200)</f>
        <v/>
      </c>
      <c r="Y1277" s="886" t="str">
        <f t="shared" ref="Y1277:Y1296" si="272">IF(Z1277="","",SUBSTITUTE("PodHab_"&amp;W1277," ",""))</f>
        <v/>
      </c>
      <c r="Z1277" s="1368" t="s">
        <v>7112</v>
      </c>
      <c r="AA1277" s="1374" t="s">
        <v>7112</v>
      </c>
      <c r="AB1277" s="1374"/>
      <c r="AC1277" s="1374"/>
      <c r="AD1277" s="1374"/>
      <c r="AE1277" s="1374"/>
      <c r="AF1277" s="1374"/>
      <c r="AG1277" s="1374"/>
      <c r="AH1277" s="1374"/>
      <c r="AI1277" s="1374"/>
      <c r="AJ1277" s="1374"/>
      <c r="AK1277" s="1374"/>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838"/>
      <c r="C1278" s="1061"/>
      <c r="D1278" s="66"/>
      <c r="E1278" s="1064" t="s">
        <v>2316</v>
      </c>
      <c r="F1278" s="85">
        <v>0</v>
      </c>
      <c r="G1278" s="85">
        <v>10</v>
      </c>
      <c r="H1278" s="85">
        <f>COUNTIF(HabilidadesEsenciales_Adquiridas,Tablas!E1278)</f>
        <v>0</v>
      </c>
      <c r="I1278" s="1066">
        <v>1</v>
      </c>
      <c r="J1278" s="184"/>
      <c r="K1278" s="1057"/>
      <c r="M1278" s="336"/>
      <c r="N1278" s="23"/>
      <c r="O1278" s="1" t="s">
        <v>7899</v>
      </c>
      <c r="P1278" s="1059">
        <v>0</v>
      </c>
      <c r="Q1278" s="184">
        <v>10</v>
      </c>
      <c r="R1278" s="1066">
        <f>COUNTIF(PoderesDeCriatura_Adquiridos,Tablas!O1278)</f>
        <v>0</v>
      </c>
      <c r="S1278" s="184"/>
      <c r="T1278" s="1057"/>
      <c r="W1278" s="1089" t="s">
        <v>7302</v>
      </c>
      <c r="X1278" s="314"/>
      <c r="Y1278" s="886" t="str">
        <f t="shared" si="272"/>
        <v>PodHab_Imparable</v>
      </c>
      <c r="Z1278" s="1368" t="s">
        <v>7813</v>
      </c>
      <c r="AA1278" s="1374" t="s">
        <v>7814</v>
      </c>
      <c r="AB1278" s="1374" t="s">
        <v>7815</v>
      </c>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838"/>
      <c r="C1279" s="1061"/>
      <c r="D1279" s="66"/>
      <c r="E1279" s="1064" t="s">
        <v>2317</v>
      </c>
      <c r="F1279" s="85">
        <v>0</v>
      </c>
      <c r="G1279" s="85">
        <v>10</v>
      </c>
      <c r="H1279" s="85">
        <f>COUNTIF(HabilidadesEsenciales_Adquiridas,Tablas!E1279)</f>
        <v>0</v>
      </c>
      <c r="I1279" s="1066">
        <v>1</v>
      </c>
      <c r="J1279" s="184"/>
      <c r="K1279" s="1057"/>
      <c r="M1279" s="336"/>
      <c r="N1279" s="23"/>
      <c r="O1279" s="1" t="s">
        <v>7900</v>
      </c>
      <c r="P1279" s="1059">
        <v>0</v>
      </c>
      <c r="Q1279" s="184">
        <v>20</v>
      </c>
      <c r="R1279" s="1066">
        <f>COUNTIF(PoderesDeCriatura_Adquiridos,Tablas!O1279)</f>
        <v>0</v>
      </c>
      <c r="S1279" s="184"/>
      <c r="T1279" s="1057"/>
      <c r="W1279" s="1089" t="s">
        <v>7545</v>
      </c>
      <c r="X1279" s="314"/>
      <c r="Y1279" s="886" t="str">
        <f t="shared" si="272"/>
        <v>PodHab_Reduccióndedaño</v>
      </c>
      <c r="Z1279" s="1368" t="s">
        <v>7816</v>
      </c>
      <c r="AA1279" s="1374" t="s">
        <v>7817</v>
      </c>
      <c r="AB1279" s="1374" t="s">
        <v>7818</v>
      </c>
      <c r="AC1279" s="1374" t="s">
        <v>7819</v>
      </c>
      <c r="AD1279" s="1374" t="s">
        <v>7820</v>
      </c>
      <c r="AE1279" s="1374" t="s">
        <v>7821</v>
      </c>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838"/>
      <c r="C1280" s="1061"/>
      <c r="D1280" s="66"/>
      <c r="E1280" s="1064" t="s">
        <v>2318</v>
      </c>
      <c r="F1280" s="85">
        <v>0</v>
      </c>
      <c r="G1280" s="85">
        <v>10</v>
      </c>
      <c r="H1280" s="85">
        <f>COUNTIF(HabilidadesEsenciales_Adquiridas,Tablas!E1280)</f>
        <v>0</v>
      </c>
      <c r="I1280" s="1066">
        <v>1</v>
      </c>
      <c r="J1280" s="184"/>
      <c r="K1280" s="1057"/>
      <c r="M1280" s="336"/>
      <c r="N1280" s="23"/>
      <c r="O1280" s="1" t="s">
        <v>7901</v>
      </c>
      <c r="P1280" s="1059">
        <v>0</v>
      </c>
      <c r="Q1280" s="184">
        <v>30</v>
      </c>
      <c r="R1280" s="1066">
        <f>COUNTIF(PoderesDeCriatura_Adquiridos,Tablas!O1280)</f>
        <v>0</v>
      </c>
      <c r="S1280" s="184"/>
      <c r="T1280" s="1057"/>
      <c r="W1280" s="1089" t="s">
        <v>7559</v>
      </c>
      <c r="X1280" s="314"/>
      <c r="Y1280" s="886" t="str">
        <f t="shared" si="272"/>
        <v>PodHab_Reflejarataques</v>
      </c>
      <c r="Z1280" s="1368" t="s">
        <v>1121</v>
      </c>
      <c r="AA1280" s="1374" t="s">
        <v>7822</v>
      </c>
      <c r="AB1280" s="1374" t="s">
        <v>7823</v>
      </c>
      <c r="AC1280" s="1374" t="s">
        <v>7824</v>
      </c>
      <c r="AD1280" s="1374"/>
      <c r="AE1280" s="1374"/>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838"/>
      <c r="C1281" s="1061"/>
      <c r="D1281" s="66"/>
      <c r="E1281" s="1064" t="s">
        <v>2319</v>
      </c>
      <c r="F1281" s="85">
        <v>0</v>
      </c>
      <c r="G1281" s="85">
        <v>10</v>
      </c>
      <c r="H1281" s="85">
        <f>COUNTIF(HabilidadesEsenciales_Adquiridas,Tablas!E1281)</f>
        <v>0</v>
      </c>
      <c r="I1281" s="1066">
        <v>1</v>
      </c>
      <c r="J1281" s="184"/>
      <c r="K1281" s="1057"/>
      <c r="M1281" s="336"/>
      <c r="N1281" s="23"/>
      <c r="O1281" s="1" t="s">
        <v>7902</v>
      </c>
      <c r="P1281" s="1059">
        <v>0</v>
      </c>
      <c r="Q1281" s="184">
        <v>40</v>
      </c>
      <c r="R1281" s="1066">
        <f>COUNTIF(PoderesDeCriatura_Adquiridos,Tablas!O1281)</f>
        <v>0</v>
      </c>
      <c r="S1281" s="184"/>
      <c r="T1281" s="1057"/>
      <c r="W1281" s="1089" t="s">
        <v>1574</v>
      </c>
      <c r="X1281" s="314"/>
      <c r="Y1281" s="886" t="str">
        <f t="shared" si="272"/>
        <v>PodHab_Rotura</v>
      </c>
      <c r="Z1281" s="1368" t="s">
        <v>7065</v>
      </c>
      <c r="AA1281" s="1374" t="s">
        <v>7682</v>
      </c>
      <c r="AB1281" s="1374" t="s">
        <v>7825</v>
      </c>
      <c r="AC1281" s="1374" t="s">
        <v>2731</v>
      </c>
      <c r="AD1281" s="1374" t="s">
        <v>7826</v>
      </c>
      <c r="AE1281" s="1374"/>
      <c r="AF1281" s="1374"/>
      <c r="AG1281" s="1374"/>
      <c r="AH1281" s="1374"/>
      <c r="AI1281" s="1374"/>
      <c r="AJ1281" s="1374"/>
      <c r="AK1281" s="1374"/>
      <c r="AL1281" s="1374"/>
      <c r="AM1281" s="1374"/>
      <c r="AN1281" s="1374"/>
      <c r="AO1281" s="1374"/>
      <c r="AP1281" s="1374"/>
      <c r="AQ1281" s="1372"/>
      <c r="AR1281" s="1372"/>
      <c r="AS1281" s="1372"/>
      <c r="AT1281" s="1372"/>
      <c r="AU1281" s="1372"/>
      <c r="AV1281" s="1372"/>
      <c r="AW1281" s="1372"/>
      <c r="AX1281" s="1372"/>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838"/>
      <c r="C1282" s="1061"/>
      <c r="D1282" s="66"/>
      <c r="E1282" s="1064" t="s">
        <v>2320</v>
      </c>
      <c r="F1282" s="85">
        <v>0</v>
      </c>
      <c r="G1282" s="85">
        <v>10</v>
      </c>
      <c r="H1282" s="85">
        <f>COUNTIF(HabilidadesEsenciales_Adquiridas,Tablas!E1282)</f>
        <v>0</v>
      </c>
      <c r="I1282" s="1066">
        <v>1</v>
      </c>
      <c r="J1282" s="184"/>
      <c r="K1282" s="1057"/>
      <c r="M1282" s="336"/>
      <c r="N1282" s="23"/>
      <c r="O1282" s="1" t="s">
        <v>7903</v>
      </c>
      <c r="P1282" s="1059">
        <v>0</v>
      </c>
      <c r="Q1282" s="184">
        <v>50</v>
      </c>
      <c r="R1282" s="1066">
        <f>COUNTIF(PoderesDeCriatura_Adquiridos,Tablas!O1282)</f>
        <v>0</v>
      </c>
      <c r="S1282" s="184"/>
      <c r="T1282" s="1057"/>
      <c r="W1282" s="1089" t="s">
        <v>18</v>
      </c>
      <c r="X1282" s="808"/>
      <c r="Y1282" s="886" t="str">
        <f t="shared" si="272"/>
        <v/>
      </c>
      <c r="Z1282" s="1368"/>
      <c r="AA1282" s="1374"/>
      <c r="AB1282" s="1374"/>
      <c r="AC1282" s="1374"/>
      <c r="AD1282" s="1374"/>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838"/>
      <c r="C1283" s="1061"/>
      <c r="D1283" s="66"/>
      <c r="E1283" s="1064" t="s">
        <v>1264</v>
      </c>
      <c r="F1283" s="85">
        <v>0</v>
      </c>
      <c r="G1283" s="85">
        <v>30</v>
      </c>
      <c r="H1283" s="85">
        <f>COUNTIF(HabilidadesEsenciales_Adquiridas,Tablas!E1283)</f>
        <v>0</v>
      </c>
      <c r="I1283" s="1066">
        <v>1</v>
      </c>
      <c r="J1283" s="184"/>
      <c r="K1283" s="1057"/>
      <c r="M1283" s="336"/>
      <c r="N1283" s="23"/>
      <c r="O1283" s="1" t="s">
        <v>7904</v>
      </c>
      <c r="P1283" s="1059">
        <v>0</v>
      </c>
      <c r="Q1283" s="184">
        <v>60</v>
      </c>
      <c r="R1283" s="1066">
        <f>COUNTIF(PoderesDeCriatura_Adquiridos,Tablas!O1283)</f>
        <v>0</v>
      </c>
      <c r="S1283" s="184"/>
      <c r="T1283" s="1057"/>
      <c r="W1283" s="1089" t="s">
        <v>7561</v>
      </c>
      <c r="X1283" s="314"/>
      <c r="Y1283" s="886" t="str">
        <f t="shared" si="272"/>
        <v>PodHab_Efectopermanente</v>
      </c>
      <c r="Z1283" s="1368" t="s">
        <v>7827</v>
      </c>
      <c r="AA1283" s="1374" t="s">
        <v>7828</v>
      </c>
      <c r="AB1283" s="1374"/>
      <c r="AC1283" s="1370"/>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838"/>
      <c r="C1284" s="1061"/>
      <c r="D1284" s="66"/>
      <c r="E1284" s="1064" t="s">
        <v>1686</v>
      </c>
      <c r="F1284" s="85">
        <v>0</v>
      </c>
      <c r="G1284" s="85">
        <v>10</v>
      </c>
      <c r="H1284" s="85">
        <f>COUNTIF(HabilidadesEsenciales_Adquiridas,Tablas!E1284)</f>
        <v>0</v>
      </c>
      <c r="I1284" s="1066">
        <v>2</v>
      </c>
      <c r="J1284" s="184"/>
      <c r="K1284" s="1057"/>
      <c r="M1284" s="336"/>
      <c r="N1284" s="23"/>
      <c r="O1284" s="1" t="s">
        <v>7905</v>
      </c>
      <c r="P1284" s="1059">
        <v>0</v>
      </c>
      <c r="Q1284" s="184">
        <v>80</v>
      </c>
      <c r="R1284" s="1066">
        <f>COUNTIF(PoderesDeCriatura_Adquiridos,Tablas!O1284)</f>
        <v>0</v>
      </c>
      <c r="S1284" s="184"/>
      <c r="T1284" s="1057"/>
      <c r="W1284" s="1089" t="s">
        <v>22</v>
      </c>
      <c r="X1284" s="314"/>
      <c r="Y1284" s="886" t="str">
        <f t="shared" si="272"/>
        <v/>
      </c>
      <c r="Z1284" s="1368"/>
      <c r="AA1284" s="1374"/>
      <c r="AB1284" s="1374"/>
      <c r="AC1284" s="1374"/>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838"/>
      <c r="C1285" s="1061"/>
      <c r="D1285" s="66"/>
      <c r="E1285" s="1064" t="s">
        <v>1687</v>
      </c>
      <c r="F1285" s="85">
        <v>25</v>
      </c>
      <c r="G1285" s="85">
        <v>20</v>
      </c>
      <c r="H1285" s="85">
        <f>COUNTIF(HabilidadesEsenciales_Adquiridas,Tablas!E1285)</f>
        <v>0</v>
      </c>
      <c r="I1285" s="1066">
        <v>2</v>
      </c>
      <c r="J1285" s="184"/>
      <c r="K1285" s="1057"/>
      <c r="M1285" s="336"/>
      <c r="N1285" s="23"/>
      <c r="O1285" s="1" t="s">
        <v>7906</v>
      </c>
      <c r="P1285" s="1059">
        <v>10</v>
      </c>
      <c r="Q1285" s="184">
        <v>100</v>
      </c>
      <c r="R1285" s="1066">
        <f>COUNTIF(PoderesDeCriatura_Adquiridos,Tablas!O1285)</f>
        <v>0</v>
      </c>
      <c r="S1285" s="184"/>
      <c r="T1285" s="1057"/>
      <c r="W1285" s="1089" t="s">
        <v>7560</v>
      </c>
      <c r="X1285" s="314"/>
      <c r="Y1285" s="886" t="str">
        <f t="shared" si="272"/>
        <v>PodHab_Sentidosespeciales</v>
      </c>
      <c r="Z1285" s="1368" t="s">
        <v>19</v>
      </c>
      <c r="AA1285" s="1374" t="s">
        <v>20</v>
      </c>
      <c r="AB1285" s="1374" t="s">
        <v>21</v>
      </c>
      <c r="AC1285" s="1374"/>
      <c r="AD1285" s="1374"/>
      <c r="AE1285" s="1374"/>
      <c r="AF1285" s="1374"/>
      <c r="AG1285" s="1374"/>
      <c r="AH1285" s="1370"/>
      <c r="AI1285" s="1370"/>
      <c r="AJ1285" s="1370"/>
      <c r="AK1285" s="1370"/>
      <c r="AL1285" s="1370"/>
      <c r="AM1285" s="1370"/>
      <c r="AN1285" s="1370"/>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838"/>
      <c r="C1286" s="1061"/>
      <c r="D1286" s="66"/>
      <c r="E1286" s="1064" t="s">
        <v>1265</v>
      </c>
      <c r="F1286" s="85">
        <v>0</v>
      </c>
      <c r="G1286" s="85">
        <v>10</v>
      </c>
      <c r="H1286" s="85">
        <f>COUNTIF(HabilidadesEsenciales_Adquiridas,Tablas!E1286)</f>
        <v>0</v>
      </c>
      <c r="I1286" s="1066"/>
      <c r="J1286" s="184"/>
      <c r="K1286" s="1057"/>
      <c r="M1286" s="336"/>
      <c r="N1286" s="23"/>
      <c r="O1286" s="1" t="s">
        <v>7907</v>
      </c>
      <c r="P1286" s="1059">
        <v>20</v>
      </c>
      <c r="Q1286" s="184">
        <v>140</v>
      </c>
      <c r="R1286" s="1066">
        <f>COUNTIF(PoderesDeCriatura_Adquiridos,Tablas!O1286)</f>
        <v>0</v>
      </c>
      <c r="S1286" s="184"/>
      <c r="T1286" s="1057"/>
      <c r="W1286" s="1089" t="s">
        <v>1933</v>
      </c>
      <c r="X1286" s="314"/>
      <c r="Y1286" s="886" t="str">
        <f t="shared" si="272"/>
        <v>PodHab_Transformación</v>
      </c>
      <c r="Z1286" s="1368" t="s">
        <v>7829</v>
      </c>
      <c r="AA1286" s="1374" t="s">
        <v>7830</v>
      </c>
      <c r="AB1286" s="1374" t="s">
        <v>7831</v>
      </c>
      <c r="AC1286" s="1374" t="s">
        <v>7832</v>
      </c>
      <c r="AD1286" s="1374" t="s">
        <v>7833</v>
      </c>
      <c r="AE1286" s="1374"/>
      <c r="AF1286" s="1374"/>
      <c r="AG1286" s="1374"/>
      <c r="AH1286" s="1374"/>
      <c r="AI1286" s="1374"/>
      <c r="AJ1286" s="1374"/>
      <c r="AK1286" s="1374"/>
      <c r="AL1286" s="1374"/>
      <c r="AM1286" s="1374" t="s">
        <v>7112</v>
      </c>
      <c r="AN1286" s="1374" t="s">
        <v>7112</v>
      </c>
      <c r="AO1286" s="1374" t="s">
        <v>7112</v>
      </c>
      <c r="AP1286" s="1374" t="s">
        <v>7112</v>
      </c>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838"/>
      <c r="C1287" s="1061"/>
      <c r="D1287" s="66"/>
      <c r="E1287" s="1064" t="s">
        <v>1266</v>
      </c>
      <c r="F1287" s="85">
        <v>5</v>
      </c>
      <c r="G1287" s="85">
        <v>10</v>
      </c>
      <c r="H1287" s="85">
        <f>COUNTIF(HabilidadesEsenciales_Adquiridas,Tablas!E1287)</f>
        <v>0</v>
      </c>
      <c r="I1287" s="1066"/>
      <c r="J1287" s="184"/>
      <c r="K1287" s="1057"/>
      <c r="M1287" s="336"/>
      <c r="N1287" s="23"/>
      <c r="O1287" s="1" t="s">
        <v>7908</v>
      </c>
      <c r="P1287" s="1059">
        <v>30</v>
      </c>
      <c r="Q1287" s="184">
        <v>180</v>
      </c>
      <c r="R1287" s="1066">
        <f>COUNTIF(PoderesDeCriatura_Adquiridos,Tablas!O1287)</f>
        <v>0</v>
      </c>
      <c r="S1287" s="184"/>
      <c r="T1287" s="1057"/>
      <c r="W1287" s="1089" t="s">
        <v>23</v>
      </c>
      <c r="X1287" s="808"/>
      <c r="Y1287" s="886" t="str">
        <f t="shared" si="272"/>
        <v/>
      </c>
      <c r="Z1287" s="1368" t="s">
        <v>7112</v>
      </c>
      <c r="AA1287" s="1374" t="s">
        <v>7112</v>
      </c>
      <c r="AB1287" s="1374" t="s">
        <v>7112</v>
      </c>
      <c r="AC1287" s="1374" t="s">
        <v>7112</v>
      </c>
      <c r="AD1287" s="1374" t="s">
        <v>7112</v>
      </c>
      <c r="AE1287" s="1374" t="s">
        <v>7112</v>
      </c>
      <c r="AF1287" s="1374" t="s">
        <v>7112</v>
      </c>
      <c r="AG1287" s="1374" t="s">
        <v>7112</v>
      </c>
      <c r="AH1287" s="1374" t="s">
        <v>7112</v>
      </c>
      <c r="AI1287" s="1374" t="s">
        <v>7112</v>
      </c>
      <c r="AJ1287" s="1374" t="s">
        <v>7112</v>
      </c>
      <c r="AK1287" s="1374" t="s">
        <v>7112</v>
      </c>
      <c r="AL1287" s="1374" t="s">
        <v>7112</v>
      </c>
      <c r="AM1287" s="1374" t="s">
        <v>7112</v>
      </c>
      <c r="AN1287" s="1374" t="s">
        <v>7112</v>
      </c>
      <c r="AO1287" s="1374" t="s">
        <v>7112</v>
      </c>
      <c r="AP1287" s="1374" t="s">
        <v>7112</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838"/>
      <c r="C1288" s="1061"/>
      <c r="D1288" s="66"/>
      <c r="E1288" s="1064" t="s">
        <v>1267</v>
      </c>
      <c r="F1288" s="85">
        <v>15</v>
      </c>
      <c r="G1288" s="85">
        <v>20</v>
      </c>
      <c r="H1288" s="85">
        <f>COUNTIF(HabilidadesEsenciales_Adquiridas,Tablas!E1288)</f>
        <v>0</v>
      </c>
      <c r="I1288" s="1066">
        <v>1</v>
      </c>
      <c r="J1288" s="184"/>
      <c r="K1288" s="1057"/>
      <c r="M1288" s="336"/>
      <c r="N1288" s="23"/>
      <c r="O1288" s="142" t="s">
        <v>7909</v>
      </c>
      <c r="P1288" s="1059">
        <v>5</v>
      </c>
      <c r="Q1288" s="184">
        <v>20</v>
      </c>
      <c r="R1288" s="1066">
        <f>COUNTIF(PoderesDeCriatura_Adquiridos,Tablas!O1288)</f>
        <v>0</v>
      </c>
      <c r="S1288" s="184"/>
      <c r="T1288" s="1057"/>
      <c r="U1288">
        <v>2</v>
      </c>
      <c r="W1288" s="1089" t="s">
        <v>7562</v>
      </c>
      <c r="X1288" s="314"/>
      <c r="Y1288" s="886" t="str">
        <f t="shared" si="272"/>
        <v>PodHab_Maestríasobrenatural</v>
      </c>
      <c r="Z1288" s="1368" t="s">
        <v>7834</v>
      </c>
      <c r="AA1288" s="1374" t="s">
        <v>7835</v>
      </c>
      <c r="AB1288" s="1374" t="s">
        <v>7836</v>
      </c>
      <c r="AC1288" s="1374" t="s">
        <v>7837</v>
      </c>
      <c r="AD1288" s="1374" t="s">
        <v>7838</v>
      </c>
      <c r="AE1288" s="1374" t="s">
        <v>7839</v>
      </c>
      <c r="AF1288" s="1374"/>
      <c r="AG1288" s="1374"/>
      <c r="AH1288" s="1374"/>
      <c r="AI1288" s="1374"/>
      <c r="AJ1288" s="1374"/>
      <c r="AK1288" s="1374"/>
      <c r="AL1288" s="1374"/>
      <c r="AM1288" s="1374"/>
      <c r="AN1288" s="1374"/>
      <c r="AO1288" s="1374"/>
      <c r="AP1288" s="1374"/>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838"/>
      <c r="C1289" s="1061"/>
      <c r="D1289" s="66"/>
      <c r="E1289" s="1064" t="s">
        <v>1268</v>
      </c>
      <c r="F1289" s="85">
        <v>15</v>
      </c>
      <c r="G1289" s="85">
        <v>10</v>
      </c>
      <c r="H1289" s="85">
        <f>COUNTIF(HabilidadesEsenciales_Adquiridas,Tablas!E1289)</f>
        <v>0</v>
      </c>
      <c r="I1289" s="1066"/>
      <c r="J1289" s="184"/>
      <c r="K1289" s="1057"/>
      <c r="M1289" s="336"/>
      <c r="N1289" s="23"/>
      <c r="O1289" s="142" t="s">
        <v>7910</v>
      </c>
      <c r="P1289" s="1059">
        <v>10</v>
      </c>
      <c r="Q1289" s="184">
        <v>30</v>
      </c>
      <c r="R1289" s="1066">
        <f>COUNTIF(PoderesDeCriatura_Adquiridos,Tablas!O1289)</f>
        <v>0</v>
      </c>
      <c r="S1289" s="184"/>
      <c r="T1289" s="1057"/>
      <c r="U1289">
        <v>2</v>
      </c>
      <c r="W1289" s="1089" t="s">
        <v>7081</v>
      </c>
      <c r="X1289" s="314"/>
      <c r="Y1289" s="886" t="str">
        <f t="shared" si="272"/>
        <v>PodHab_Magianatural</v>
      </c>
      <c r="Z1289" s="1368" t="s">
        <v>7840</v>
      </c>
      <c r="AA1289" s="1374" t="s">
        <v>2008</v>
      </c>
      <c r="AB1289" s="1374"/>
      <c r="AC1289" s="1374"/>
      <c r="AD1289" s="1374"/>
      <c r="AE1289" s="1374"/>
      <c r="AF1289" s="1374"/>
      <c r="AG1289" s="1374"/>
      <c r="AH1289" s="1374"/>
      <c r="AI1289" s="1374"/>
      <c r="AJ1289" s="1374"/>
      <c r="AK1289" s="1374"/>
      <c r="AL1289" s="1374"/>
      <c r="AM1289" s="1374"/>
      <c r="AN1289" s="1374"/>
      <c r="AO1289" s="1374"/>
      <c r="AP1289" s="1374" t="s">
        <v>7112</v>
      </c>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838"/>
      <c r="C1290" s="1061"/>
      <c r="D1290" s="66"/>
      <c r="E1290" s="1064" t="s">
        <v>1269</v>
      </c>
      <c r="F1290" s="85">
        <v>15</v>
      </c>
      <c r="G1290" s="85">
        <v>10</v>
      </c>
      <c r="H1290" s="85">
        <f>COUNTIF(HabilidadesEsenciales_Adquiridas,Tablas!E1290)</f>
        <v>0</v>
      </c>
      <c r="I1290" s="1066"/>
      <c r="J1290" s="184"/>
      <c r="K1290" s="1057"/>
      <c r="M1290" s="336"/>
      <c r="N1290" s="23"/>
      <c r="O1290" s="142" t="s">
        <v>7911</v>
      </c>
      <c r="P1290" s="1059">
        <v>15</v>
      </c>
      <c r="Q1290" s="184">
        <v>40</v>
      </c>
      <c r="R1290" s="1066">
        <f>COUNTIF(PoderesDeCriatura_Adquiridos,Tablas!O1290)</f>
        <v>0</v>
      </c>
      <c r="S1290" s="184"/>
      <c r="T1290" s="1057"/>
      <c r="U1290">
        <v>2</v>
      </c>
      <c r="W1290" s="1089" t="s">
        <v>24</v>
      </c>
      <c r="X1290" s="314"/>
      <c r="Y1290" s="886" t="str">
        <f t="shared" si="272"/>
        <v/>
      </c>
      <c r="Z1290" s="1368"/>
      <c r="AA1290" s="1374"/>
      <c r="AB1290" s="1374"/>
      <c r="AC1290" s="1374"/>
      <c r="AD1290" s="1374"/>
      <c r="AE1290" s="1374"/>
      <c r="AF1290" s="1374"/>
      <c r="AG1290" s="1374"/>
      <c r="AH1290" s="1374"/>
      <c r="AI1290" s="1374"/>
      <c r="AJ1290" s="1374"/>
      <c r="AK1290" s="1374"/>
      <c r="AL1290" s="1374"/>
      <c r="AM1290" s="1374" t="s">
        <v>7112</v>
      </c>
      <c r="AN1290" s="1374" t="s">
        <v>7112</v>
      </c>
      <c r="AO1290" s="1374" t="s">
        <v>7112</v>
      </c>
      <c r="AP1290" s="1374" t="s">
        <v>7112</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838"/>
      <c r="C1291" s="1061"/>
      <c r="D1291" s="66"/>
      <c r="E1291" s="1064" t="s">
        <v>1270</v>
      </c>
      <c r="F1291" s="85">
        <v>15</v>
      </c>
      <c r="G1291" s="85">
        <v>10</v>
      </c>
      <c r="H1291" s="85">
        <f>COUNTIF(HabilidadesEsenciales_Adquiridas,Tablas!E1291)</f>
        <v>0</v>
      </c>
      <c r="I1291" s="1066"/>
      <c r="J1291" s="184"/>
      <c r="K1291" s="1057"/>
      <c r="M1291" s="336"/>
      <c r="N1291" s="23"/>
      <c r="O1291" s="142" t="s">
        <v>7912</v>
      </c>
      <c r="P1291" s="1059">
        <v>15</v>
      </c>
      <c r="Q1291" s="184">
        <v>50</v>
      </c>
      <c r="R1291" s="1066">
        <f>COUNTIF(PoderesDeCriatura_Adquiridos,Tablas!O1291)</f>
        <v>0</v>
      </c>
      <c r="S1291" s="184"/>
      <c r="T1291" s="1057"/>
      <c r="U1291">
        <v>2</v>
      </c>
      <c r="W1291" s="1089" t="s">
        <v>25</v>
      </c>
      <c r="X1291" s="808"/>
      <c r="Y1291" s="886" t="str">
        <f t="shared" si="272"/>
        <v/>
      </c>
      <c r="Z1291" s="1368"/>
      <c r="AA1291" s="1374"/>
      <c r="AB1291" s="1374"/>
      <c r="AC1291" s="1374"/>
      <c r="AD1291" s="1374"/>
      <c r="AE1291" s="1374"/>
      <c r="AF1291" s="1374"/>
      <c r="AG1291" s="1374"/>
      <c r="AH1291" s="1374"/>
      <c r="AI1291" s="1374"/>
      <c r="AJ1291" s="1374"/>
      <c r="AK1291" s="1374"/>
      <c r="AL1291" s="1374"/>
      <c r="AM1291" s="1374" t="s">
        <v>7112</v>
      </c>
      <c r="AN1291" s="1374" t="s">
        <v>7112</v>
      </c>
      <c r="AO1291" s="1374" t="s">
        <v>7112</v>
      </c>
      <c r="AP1291" s="1374" t="s">
        <v>7112</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838"/>
      <c r="C1292" s="1061"/>
      <c r="D1292" s="66"/>
      <c r="E1292" s="1064" t="s">
        <v>1271</v>
      </c>
      <c r="F1292" s="85">
        <v>20</v>
      </c>
      <c r="G1292" s="85">
        <v>20</v>
      </c>
      <c r="H1292" s="85">
        <f>COUNTIF(HabilidadesEsenciales_Adquiridas,Tablas!E1292)</f>
        <v>0</v>
      </c>
      <c r="I1292" s="1066"/>
      <c r="J1292" s="184"/>
      <c r="K1292" s="1057"/>
      <c r="M1292" s="336"/>
      <c r="N1292" s="23"/>
      <c r="O1292" s="142" t="s">
        <v>7913</v>
      </c>
      <c r="P1292" s="1059">
        <v>20</v>
      </c>
      <c r="Q1292" s="184">
        <v>60</v>
      </c>
      <c r="R1292" s="1066">
        <f>COUNTIF(PoderesDeCriatura_Adquiridos,Tablas!O1292)</f>
        <v>0</v>
      </c>
      <c r="S1292" s="184"/>
      <c r="T1292" s="1057"/>
      <c r="U1292">
        <v>2</v>
      </c>
      <c r="W1292" s="1089" t="s">
        <v>27</v>
      </c>
      <c r="X1292" s="1085"/>
      <c r="Y1292" s="886" t="str">
        <f t="shared" si="272"/>
        <v/>
      </c>
      <c r="Z1292" s="1368"/>
      <c r="AA1292" s="1374"/>
      <c r="AB1292" s="1374" t="s">
        <v>7112</v>
      </c>
      <c r="AC1292" s="1374" t="s">
        <v>7112</v>
      </c>
      <c r="AD1292" s="1374"/>
      <c r="AE1292" s="1370"/>
      <c r="AF1292" s="1370"/>
      <c r="AG1292" s="1370"/>
      <c r="AH1292" s="1370"/>
      <c r="AI1292" s="1370"/>
      <c r="AJ1292" s="1370"/>
      <c r="AK1292" s="1370"/>
      <c r="AL1292" s="1374" t="s">
        <v>7112</v>
      </c>
      <c r="AM1292" s="1374" t="s">
        <v>7112</v>
      </c>
      <c r="AN1292" s="1374" t="s">
        <v>7112</v>
      </c>
      <c r="AO1292" s="1374" t="s">
        <v>7112</v>
      </c>
      <c r="AP1292" s="1374" t="s">
        <v>7112</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838"/>
      <c r="C1293" s="1061"/>
      <c r="D1293" s="66"/>
      <c r="E1293" s="1064" t="s">
        <v>1272</v>
      </c>
      <c r="F1293" s="85">
        <v>20</v>
      </c>
      <c r="G1293" s="85">
        <v>10</v>
      </c>
      <c r="H1293" s="85">
        <f>COUNTIF(HabilidadesEsenciales_Adquiridas,Tablas!E1293)</f>
        <v>0</v>
      </c>
      <c r="I1293" s="1066"/>
      <c r="J1293" s="184"/>
      <c r="K1293" s="1057"/>
      <c r="M1293" s="336"/>
      <c r="N1293" s="23"/>
      <c r="O1293" s="142" t="s">
        <v>7914</v>
      </c>
      <c r="P1293" s="1059">
        <v>25</v>
      </c>
      <c r="Q1293" s="184">
        <v>80</v>
      </c>
      <c r="R1293" s="1066">
        <f>COUNTIF(PoderesDeCriatura_Adquiridos,Tablas!O1293)</f>
        <v>0</v>
      </c>
      <c r="S1293" s="184"/>
      <c r="T1293" s="1057"/>
      <c r="U1293">
        <v>2</v>
      </c>
      <c r="W1293" s="1089" t="s">
        <v>28</v>
      </c>
      <c r="X1293" s="1085"/>
      <c r="Y1293" s="886" t="str">
        <f t="shared" si="272"/>
        <v/>
      </c>
      <c r="Z1293" s="1368"/>
      <c r="AA1293" s="1374"/>
      <c r="AB1293" s="1374"/>
      <c r="AC1293" s="1374"/>
      <c r="AD1293" s="1374"/>
      <c r="AE1293" s="1370"/>
      <c r="AF1293" s="1370"/>
      <c r="AG1293" s="1370"/>
      <c r="AH1293" s="1370"/>
      <c r="AI1293" s="1370"/>
      <c r="AJ1293" s="1370"/>
      <c r="AK1293" s="1370"/>
      <c r="AL1293" s="1374"/>
      <c r="AM1293" s="1374"/>
      <c r="AN1293" s="1374"/>
      <c r="AO1293" s="1374"/>
      <c r="AP1293" s="1374"/>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838"/>
      <c r="C1294" s="1061"/>
      <c r="D1294" s="66"/>
      <c r="E1294" s="1064" t="s">
        <v>1273</v>
      </c>
      <c r="F1294" s="85">
        <v>15</v>
      </c>
      <c r="G1294" s="85">
        <v>10</v>
      </c>
      <c r="H1294" s="85">
        <f>COUNTIF(HabilidadesEsenciales_Adquiridas,Tablas!E1294)</f>
        <v>0</v>
      </c>
      <c r="I1294" s="1066"/>
      <c r="J1294" s="184"/>
      <c r="K1294" s="1057"/>
      <c r="M1294" s="336"/>
      <c r="N1294" s="23"/>
      <c r="O1294" s="142" t="s">
        <v>7915</v>
      </c>
      <c r="P1294" s="1059">
        <v>30</v>
      </c>
      <c r="Q1294" s="184">
        <v>100</v>
      </c>
      <c r="R1294" s="1066">
        <f>COUNTIF(PoderesDeCriatura_Adquiridos,Tablas!O1294)</f>
        <v>0</v>
      </c>
      <c r="S1294" s="184"/>
      <c r="T1294" s="1057"/>
      <c r="U1294">
        <v>2</v>
      </c>
      <c r="W1294" s="1089" t="s">
        <v>7564</v>
      </c>
      <c r="X1294" s="314"/>
      <c r="Y1294" s="886" t="str">
        <f t="shared" si="272"/>
        <v>PodHab_Espaciocerrado</v>
      </c>
      <c r="Z1294" s="1368" t="s">
        <v>7841</v>
      </c>
      <c r="AA1294" s="1374" t="s">
        <v>7842</v>
      </c>
      <c r="AB1294" s="1374" t="s">
        <v>7843</v>
      </c>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838"/>
      <c r="C1295" s="1061"/>
      <c r="D1295" s="66"/>
      <c r="E1295" s="1064" t="s">
        <v>1274</v>
      </c>
      <c r="F1295" s="85">
        <v>20</v>
      </c>
      <c r="G1295" s="85">
        <v>50</v>
      </c>
      <c r="H1295" s="85">
        <f>COUNTIF(HabilidadesEsenciales_Adquiridas,Tablas!E1295)</f>
        <v>0</v>
      </c>
      <c r="I1295" s="1066">
        <v>2</v>
      </c>
      <c r="J1295" s="184"/>
      <c r="K1295" s="1057"/>
      <c r="M1295" s="336"/>
      <c r="N1295" s="23"/>
      <c r="O1295" s="142" t="s">
        <v>7916</v>
      </c>
      <c r="P1295" s="1059">
        <v>35</v>
      </c>
      <c r="Q1295" s="184">
        <v>120</v>
      </c>
      <c r="R1295" s="1066">
        <f>COUNTIF(PoderesDeCriatura_Adquiridos,Tablas!O1295)</f>
        <v>0</v>
      </c>
      <c r="S1295" s="184"/>
      <c r="T1295" s="1057"/>
      <c r="U1295">
        <v>2</v>
      </c>
      <c r="W1295" s="1089" t="s">
        <v>7563</v>
      </c>
      <c r="X1295" s="314"/>
      <c r="Y1295" s="886" t="str">
        <f t="shared" si="272"/>
        <v>PodHab_Existenciacompacta</v>
      </c>
      <c r="Z1295" s="1368" t="s">
        <v>1975</v>
      </c>
      <c r="AA1295" s="1374" t="s">
        <v>1976</v>
      </c>
      <c r="AB1295" s="1374"/>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838"/>
      <c r="C1296" s="1061"/>
      <c r="D1296" s="66"/>
      <c r="E1296" s="1064" t="s">
        <v>1275</v>
      </c>
      <c r="F1296" s="85">
        <v>20</v>
      </c>
      <c r="G1296" s="85">
        <v>10</v>
      </c>
      <c r="H1296" s="85">
        <f>COUNTIF(HabilidadesEsenciales_Adquiridas,Tablas!E1296)</f>
        <v>0</v>
      </c>
      <c r="I1296" s="1066"/>
      <c r="J1296" s="184"/>
      <c r="K1296" s="1057"/>
      <c r="M1296" s="336"/>
      <c r="N1296" s="23"/>
      <c r="O1296" s="142" t="s">
        <v>7917</v>
      </c>
      <c r="P1296" s="1059">
        <v>40</v>
      </c>
      <c r="Q1296" s="184">
        <v>140</v>
      </c>
      <c r="R1296" s="1066">
        <f>COUNTIF(PoderesDeCriatura_Adquiridos,Tablas!O1296)</f>
        <v>0</v>
      </c>
      <c r="S1296" s="184"/>
      <c r="T1296" s="1057"/>
      <c r="U1296">
        <v>2</v>
      </c>
      <c r="W1296" s="1089" t="s">
        <v>26</v>
      </c>
      <c r="X1296" s="1085"/>
      <c r="Y1296" s="886" t="str">
        <f t="shared" si="272"/>
        <v/>
      </c>
      <c r="Z1296" s="1368"/>
      <c r="AA1296" s="1374"/>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838"/>
      <c r="C1297" s="1061"/>
      <c r="D1297" s="66"/>
      <c r="E1297" s="1064" t="s">
        <v>1276</v>
      </c>
      <c r="F1297" s="85">
        <v>25</v>
      </c>
      <c r="G1297" s="85">
        <v>30</v>
      </c>
      <c r="H1297" s="85">
        <f>COUNTIF(HabilidadesEsenciales_Adquiridas,Tablas!E1297)</f>
        <v>0</v>
      </c>
      <c r="I1297" s="1066"/>
      <c r="J1297" s="184"/>
      <c r="K1297" s="1057"/>
      <c r="M1297" s="336"/>
      <c r="N1297" s="23"/>
      <c r="O1297" s="142" t="s">
        <v>7918</v>
      </c>
      <c r="P1297" s="1059">
        <v>10</v>
      </c>
      <c r="Q1297" s="184">
        <f>20+IF(OR(TipoDeCriatura="Entre mundos, Elemental",TipoDeCriatura="Ánima, Elemental"),10,0)</f>
        <v>20</v>
      </c>
      <c r="R1297" s="1066">
        <f>COUNTIF(PoderesDeCriatura_Adquiridos,Tablas!O1297)</f>
        <v>0</v>
      </c>
      <c r="S1297" s="184"/>
      <c r="T1297" s="1057"/>
      <c r="U1297">
        <v>2</v>
      </c>
      <c r="W1297" s="1089" t="s">
        <v>29</v>
      </c>
      <c r="X1297" s="808"/>
      <c r="Y1297" s="1080"/>
      <c r="Z1297" s="1368"/>
      <c r="AA1297" s="1374"/>
      <c r="AB1297" s="1374"/>
      <c r="AC1297" s="1374"/>
      <c r="AD1297" s="1374"/>
      <c r="AE1297" s="1374"/>
      <c r="AF1297" s="1374"/>
      <c r="AG1297" s="1374"/>
      <c r="AH1297" s="1374"/>
      <c r="AI1297" s="1374"/>
      <c r="AJ1297" s="1374"/>
      <c r="AK1297" s="1374"/>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838"/>
      <c r="C1298" s="1061"/>
      <c r="D1298" s="66"/>
      <c r="E1298" s="1064" t="s">
        <v>1277</v>
      </c>
      <c r="F1298" s="85">
        <v>10</v>
      </c>
      <c r="G1298" s="85">
        <v>20</v>
      </c>
      <c r="H1298" s="85">
        <f>COUNTIF(HabilidadesEsenciales_Adquiridas,Tablas!E1298)</f>
        <v>0</v>
      </c>
      <c r="I1298" s="1066"/>
      <c r="J1298" s="184"/>
      <c r="K1298" s="1057"/>
      <c r="M1298" s="336"/>
      <c r="N1298" s="23"/>
      <c r="O1298" s="142" t="s">
        <v>7919</v>
      </c>
      <c r="P1298" s="1059">
        <v>20</v>
      </c>
      <c r="Q1298" s="184">
        <f>20+IF(OR(TipoDeCriatura="Entre mundos, Elemental",TipoDeCriatura="Ánima, Elemental"),10,0)</f>
        <v>20</v>
      </c>
      <c r="R1298" s="1066">
        <f>COUNTIF(PoderesDeCriatura_Adquiridos,Tablas!O1298)</f>
        <v>0</v>
      </c>
      <c r="S1298" s="184"/>
      <c r="T1298" s="1057"/>
      <c r="U1298">
        <v>2</v>
      </c>
      <c r="W1298" s="1089" t="str">
        <f t="shared" ref="W1298:W1307" si="273">O1717</f>
        <v>Poder #1</v>
      </c>
      <c r="X1298" s="314"/>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838"/>
      <c r="C1299" s="1061"/>
      <c r="D1299" s="66"/>
      <c r="E1299" s="1064" t="s">
        <v>1278</v>
      </c>
      <c r="F1299" s="85">
        <v>0</v>
      </c>
      <c r="G1299" s="85">
        <v>0</v>
      </c>
      <c r="H1299" s="85"/>
      <c r="I1299" s="1066"/>
      <c r="J1299" s="184"/>
      <c r="K1299" s="1057"/>
      <c r="M1299" s="336"/>
      <c r="N1299" s="23"/>
      <c r="O1299" s="142" t="s">
        <v>7920</v>
      </c>
      <c r="P1299" s="1059">
        <v>10</v>
      </c>
      <c r="Q1299" s="184">
        <f>20+IF(OR(TipoDeCriatura="Entre mundos, Elemental",TipoDeCriatura="Ánima, Elemental"),10,0)</f>
        <v>20</v>
      </c>
      <c r="R1299" s="1066">
        <f>COUNTIF(PoderesDeCriatura_Adquiridos,Tablas!O1299)</f>
        <v>0</v>
      </c>
      <c r="S1299" s="184"/>
      <c r="T1299" s="1057"/>
      <c r="U1299">
        <v>2</v>
      </c>
      <c r="W1299" s="1089" t="str">
        <f t="shared" si="273"/>
        <v>Poder #2</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838"/>
      <c r="C1300" s="1061"/>
      <c r="D1300" s="66"/>
      <c r="E1300" s="1064" t="s">
        <v>1279</v>
      </c>
      <c r="F1300" s="85">
        <v>5</v>
      </c>
      <c r="G1300" s="85">
        <v>30</v>
      </c>
      <c r="H1300" s="85">
        <f>COUNTIF(HabilidadesEsenciales_Adquiridas,Tablas!E1300)</f>
        <v>0</v>
      </c>
      <c r="I1300" s="1066">
        <v>1</v>
      </c>
      <c r="J1300" s="184"/>
      <c r="K1300" s="1057"/>
      <c r="M1300" s="336"/>
      <c r="N1300" s="23"/>
      <c r="O1300" s="142" t="s">
        <v>7921</v>
      </c>
      <c r="P1300" s="1059">
        <v>20</v>
      </c>
      <c r="Q1300" s="184">
        <f>40+IF(OR(TipoDeCriatura="Entre mundos, Elemental",TipoDeCriatura="Ánima, Elemental"),10,0)</f>
        <v>40</v>
      </c>
      <c r="R1300" s="1066">
        <f>COUNTIF(PoderesDeCriatura_Adquiridos,Tablas!O1300)</f>
        <v>0</v>
      </c>
      <c r="S1300" s="184"/>
      <c r="T1300" s="1057"/>
      <c r="U1300">
        <v>2</v>
      </c>
      <c r="W1300" s="1089" t="str">
        <f t="shared" si="273"/>
        <v>Poder #3</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838"/>
      <c r="C1301" s="1061"/>
      <c r="D1301" s="66"/>
      <c r="E1301" s="1064" t="s">
        <v>8304</v>
      </c>
      <c r="F1301" s="85">
        <v>10</v>
      </c>
      <c r="G1301" s="85">
        <v>10</v>
      </c>
      <c r="H1301" s="85">
        <f>COUNTIF(HabilidadesEsenciales_Adquiridas,Tablas!E1301)</f>
        <v>0</v>
      </c>
      <c r="I1301" s="1066">
        <v>1</v>
      </c>
      <c r="J1301" s="184">
        <f t="array" ref="J1301">MAX($H$1301:$H$1355*IF(ISNUMBER(SEARCH(K1301,$E$1301:$E$1355)),VALUE(RIGHT($E$1301:$E$1355,2)),0))</f>
        <v>0</v>
      </c>
      <c r="K1301" s="1057" t="str">
        <f t="array" ref="K1301:K1311">Lista_Vías</f>
        <v>Luz</v>
      </c>
      <c r="M1301" s="336"/>
      <c r="N1301" s="23"/>
      <c r="O1301" s="142" t="s">
        <v>7922</v>
      </c>
      <c r="P1301" s="1059">
        <v>10</v>
      </c>
      <c r="Q1301" s="184">
        <f>50+IF(OR(TipoDeCriatura="Entre mundos, Elemental",TipoDeCriatura="Ánima, Elemental"),10,0)</f>
        <v>50</v>
      </c>
      <c r="R1301" s="1066">
        <f>COUNTIF(PoderesDeCriatura_Adquiridos,Tablas!O1301)</f>
        <v>0</v>
      </c>
      <c r="S1301" s="184"/>
      <c r="T1301" s="1057"/>
      <c r="U1301">
        <v>2</v>
      </c>
      <c r="W1301" s="1089" t="str">
        <f t="shared" si="273"/>
        <v>Poder #4</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838"/>
      <c r="C1302" s="1061"/>
      <c r="D1302" s="66"/>
      <c r="E1302" s="1064" t="s">
        <v>8305</v>
      </c>
      <c r="F1302" s="85">
        <v>15</v>
      </c>
      <c r="G1302" s="85">
        <v>20</v>
      </c>
      <c r="H1302" s="85">
        <f>COUNTIF(HabilidadesEsenciales_Adquiridas,Tablas!E1302)</f>
        <v>0</v>
      </c>
      <c r="I1302" s="1066">
        <v>1</v>
      </c>
      <c r="J1302" s="184">
        <f t="array" ref="J1302">MAX($H$1301:$H$1355*IF(ISNUMBER(SEARCH(K1302,$E$1301:$E$1355)),VALUE(RIGHT($E$1301:$E$1355,2)),0))</f>
        <v>0</v>
      </c>
      <c r="K1302" s="1057" t="str">
        <v>Oscuridad</v>
      </c>
      <c r="M1302" s="336"/>
      <c r="N1302" s="23"/>
      <c r="O1302" s="142" t="s">
        <v>7923</v>
      </c>
      <c r="P1302" s="1059">
        <v>20</v>
      </c>
      <c r="Q1302" s="184">
        <f>40+IF(OR(TipoDeCriatura="Entre mundos, Elemental",TipoDeCriatura="Ánima, Elemental"),10,0)</f>
        <v>40</v>
      </c>
      <c r="R1302" s="1066">
        <f>COUNTIF(PoderesDeCriatura_Adquiridos,Tablas!O1302)</f>
        <v>0</v>
      </c>
      <c r="S1302" s="184"/>
      <c r="T1302" s="1057"/>
      <c r="U1302">
        <v>2</v>
      </c>
      <c r="W1302" s="1089" t="str">
        <f t="shared" si="273"/>
        <v>Poder #5</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838"/>
      <c r="C1303" s="1061"/>
      <c r="D1303" s="66"/>
      <c r="E1303" s="1064" t="s">
        <v>8306</v>
      </c>
      <c r="F1303" s="85">
        <v>20</v>
      </c>
      <c r="G1303" s="85">
        <v>30</v>
      </c>
      <c r="H1303" s="85">
        <f>COUNTIF(HabilidadesEsenciales_Adquiridas,Tablas!E1303)</f>
        <v>0</v>
      </c>
      <c r="I1303" s="1066">
        <v>1</v>
      </c>
      <c r="J1303" s="184">
        <f t="array" ref="J1303">MAX($H$1301:$H$1355*IF(ISNUMBER(SEARCH(K1303,$E$1301:$E$1355)),VALUE(RIGHT($E$1301:$E$1355,2)),0))</f>
        <v>0</v>
      </c>
      <c r="K1303" s="1057" t="str">
        <v>Fuego</v>
      </c>
      <c r="M1303" s="336"/>
      <c r="N1303" s="23"/>
      <c r="O1303" s="142" t="s">
        <v>7924</v>
      </c>
      <c r="P1303" s="1059">
        <v>20</v>
      </c>
      <c r="Q1303" s="184">
        <f>80+IF(OR(TipoDeCriatura="Entre mundos, Elemental",TipoDeCriatura="Ánima, Elemental"),10,0)</f>
        <v>80</v>
      </c>
      <c r="R1303" s="1066">
        <f>COUNTIF(PoderesDeCriatura_Adquiridos,Tablas!O1303)</f>
        <v>0</v>
      </c>
      <c r="S1303" s="184"/>
      <c r="T1303" s="1057"/>
      <c r="U1303">
        <v>2</v>
      </c>
      <c r="W1303" s="1089" t="str">
        <f t="shared" si="273"/>
        <v>Poder #6</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838"/>
      <c r="C1304" s="1061"/>
      <c r="D1304" s="66"/>
      <c r="E1304" s="1064" t="s">
        <v>8307</v>
      </c>
      <c r="F1304" s="85">
        <v>25</v>
      </c>
      <c r="G1304" s="85">
        <v>40</v>
      </c>
      <c r="H1304" s="85">
        <f>COUNTIF(HabilidadesEsenciales_Adquiridas,Tablas!E1304)</f>
        <v>0</v>
      </c>
      <c r="I1304" s="1066">
        <v>1</v>
      </c>
      <c r="J1304" s="184">
        <f t="array" ref="J1304">MAX($H$1301:$H$1355*IF(ISNUMBER(SEARCH(K1304,$E$1301:$E$1355)),VALUE(RIGHT($E$1301:$E$1355,2)),0))</f>
        <v>0</v>
      </c>
      <c r="K1304" s="1057" t="str">
        <v>Agua</v>
      </c>
      <c r="M1304" s="336"/>
      <c r="N1304" s="23"/>
      <c r="O1304" s="142" t="s">
        <v>7925</v>
      </c>
      <c r="P1304" s="1059">
        <v>20</v>
      </c>
      <c r="Q1304" s="184">
        <f>20+IF(OR(TipoDeCriatura="Entre mundos, Elemental",TipoDeCriatura="Ánima, Elemental"),10,0)</f>
        <v>20</v>
      </c>
      <c r="R1304" s="1066">
        <f>COUNTIF(PoderesDeCriatura_Adquiridos,Tablas!O1304)</f>
        <v>0</v>
      </c>
      <c r="S1304" s="184"/>
      <c r="T1304" s="1057"/>
      <c r="U1304">
        <v>2</v>
      </c>
      <c r="W1304" s="1089" t="str">
        <f t="shared" si="273"/>
        <v>Poder #7</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838"/>
      <c r="C1305" s="1061"/>
      <c r="D1305" s="66"/>
      <c r="E1305" s="1064" t="s">
        <v>8308</v>
      </c>
      <c r="F1305" s="85">
        <v>30</v>
      </c>
      <c r="G1305" s="85">
        <v>50</v>
      </c>
      <c r="H1305" s="85">
        <f>COUNTIF(HabilidadesEsenciales_Adquiridas,Tablas!E1305)</f>
        <v>0</v>
      </c>
      <c r="I1305" s="1066">
        <v>1</v>
      </c>
      <c r="J1305" s="184">
        <f t="array" ref="J1305">MAX($H$1301:$H$1355*IF(ISNUMBER(SEARCH(K1305,$E$1301:$E$1355)),VALUE(RIGHT($E$1301:$E$1355,2)),0))</f>
        <v>0</v>
      </c>
      <c r="K1305" s="1057" t="str">
        <v>Aire</v>
      </c>
      <c r="M1305" s="336"/>
      <c r="N1305" s="23"/>
      <c r="O1305" s="142" t="s">
        <v>7926</v>
      </c>
      <c r="P1305" s="1059">
        <v>10</v>
      </c>
      <c r="Q1305" s="184">
        <f>50+IF(OR(TipoDeCriatura="Entre mundos, Elemental",TipoDeCriatura="Ánima, Elemental"),10,0)</f>
        <v>50</v>
      </c>
      <c r="R1305" s="1066">
        <f>COUNTIF(PoderesDeCriatura_Adquiridos,Tablas!O1305)</f>
        <v>0</v>
      </c>
      <c r="S1305" s="184"/>
      <c r="T1305" s="1057"/>
      <c r="U1305">
        <v>2</v>
      </c>
      <c r="W1305" s="1089" t="str">
        <f t="shared" si="273"/>
        <v>Poder #8</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838"/>
      <c r="C1306" s="1061"/>
      <c r="D1306" s="66"/>
      <c r="E1306" s="1064" t="s">
        <v>8309</v>
      </c>
      <c r="F1306" s="85">
        <v>10</v>
      </c>
      <c r="G1306" s="85">
        <v>10</v>
      </c>
      <c r="H1306" s="85">
        <f>COUNTIF(HabilidadesEsenciales_Adquiridas,Tablas!E1306)</f>
        <v>0</v>
      </c>
      <c r="I1306" s="1066">
        <v>1</v>
      </c>
      <c r="J1306" s="184">
        <f t="array" ref="J1306">MAX($H$1301:$H$1355*IF(ISNUMBER(SEARCH(K1306,$E$1301:$E$1355)),VALUE(RIGHT($E$1301:$E$1355,2)),0))</f>
        <v>0</v>
      </c>
      <c r="K1306" s="1057" t="str">
        <v>Tierra</v>
      </c>
      <c r="M1306" s="336"/>
      <c r="N1306" s="23"/>
      <c r="O1306" s="142" t="s">
        <v>7927</v>
      </c>
      <c r="P1306" s="1059">
        <v>10</v>
      </c>
      <c r="Q1306" s="184">
        <f>10+IF(OR(TipoDeCriatura="Entre mundos, Elemental",TipoDeCriatura="Ánima, Elemental"),10,0)</f>
        <v>10</v>
      </c>
      <c r="R1306" s="1066">
        <f>COUNTIF(PoderesDeCriatura_Adquiridos,Tablas!O1306)</f>
        <v>0</v>
      </c>
      <c r="S1306" s="184"/>
      <c r="T1306" s="1057"/>
      <c r="U1306">
        <v>2</v>
      </c>
      <c r="W1306" s="1089" t="str">
        <f t="shared" si="273"/>
        <v>Poder #9</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838"/>
      <c r="C1307" s="1061"/>
      <c r="D1307" s="66"/>
      <c r="E1307" s="1064" t="s">
        <v>8310</v>
      </c>
      <c r="F1307" s="85">
        <v>15</v>
      </c>
      <c r="G1307" s="85">
        <v>20</v>
      </c>
      <c r="H1307" s="85">
        <f>COUNTIF(HabilidadesEsenciales_Adquiridas,Tablas!E1307)</f>
        <v>0</v>
      </c>
      <c r="I1307" s="1066">
        <v>1</v>
      </c>
      <c r="J1307" s="184">
        <f t="array" ref="J1307">MAX($H$1301:$H$1355*IF(ISNUMBER(SEARCH(K1307,$E$1301:$E$1355)),VALUE(RIGHT($E$1301:$E$1355,2)),0))</f>
        <v>0</v>
      </c>
      <c r="K1307" s="1057" t="str">
        <v>Creación</v>
      </c>
      <c r="M1307" s="336"/>
      <c r="N1307" s="23"/>
      <c r="O1307" s="142" t="s">
        <v>7928</v>
      </c>
      <c r="P1307" s="1059">
        <v>10</v>
      </c>
      <c r="Q1307" s="184">
        <f>10+IF(OR(TipoDeCriatura="Entre mundos, Elemental",TipoDeCriatura="Ánima, Elemental"),10,0)</f>
        <v>10</v>
      </c>
      <c r="R1307" s="1066">
        <f>COUNTIF(PoderesDeCriatura_Adquiridos,Tablas!O1307)</f>
        <v>0</v>
      </c>
      <c r="S1307" s="184"/>
      <c r="T1307" s="1057"/>
      <c r="U1307">
        <v>2</v>
      </c>
      <c r="W1307" s="1089" t="str">
        <f t="shared" si="273"/>
        <v>Poder #10</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838"/>
      <c r="C1308" s="1061"/>
      <c r="D1308" s="66"/>
      <c r="E1308" s="1064" t="s">
        <v>8311</v>
      </c>
      <c r="F1308" s="85">
        <v>20</v>
      </c>
      <c r="G1308" s="85">
        <v>30</v>
      </c>
      <c r="H1308" s="85">
        <f>COUNTIF(HabilidadesEsenciales_Adquiridas,Tablas!E1308)</f>
        <v>0</v>
      </c>
      <c r="I1308" s="1066">
        <v>1</v>
      </c>
      <c r="J1308" s="184">
        <f t="array" ref="J1308">MAX($H$1301:$H$1355*IF(ISNUMBER(SEARCH(K1308,$E$1301:$E$1355)),VALUE(RIGHT($E$1301:$E$1355,2)),0))</f>
        <v>0</v>
      </c>
      <c r="K1308" s="1057" t="str">
        <v>Destrucción</v>
      </c>
      <c r="M1308" s="336"/>
      <c r="N1308" s="23"/>
      <c r="O1308" s="142" t="s">
        <v>7929</v>
      </c>
      <c r="P1308" s="1059">
        <v>20</v>
      </c>
      <c r="Q1308" s="184">
        <f>20+IF(OR(TipoDeCriatura="Entre mundos, Elemental",TipoDeCriatura="Ánima, Elemental"),10,0)</f>
        <v>20</v>
      </c>
      <c r="R1308" s="1066">
        <f>COUNTIF(PoderesDeCriatura_Adquiridos,Tablas!O1308)</f>
        <v>0</v>
      </c>
      <c r="S1308" s="184"/>
      <c r="T1308" s="1057"/>
      <c r="U1308">
        <v>2</v>
      </c>
      <c r="W1308" s="1431" t="s">
        <v>7565</v>
      </c>
      <c r="X1308" s="1081"/>
      <c r="Y1308" s="1081"/>
      <c r="Z1308" s="1351"/>
      <c r="AA1308" s="1351"/>
      <c r="AB1308" s="1351"/>
      <c r="AC1308" s="1351"/>
      <c r="AD1308" s="1351"/>
      <c r="AE1308" s="1351"/>
      <c r="AF1308" s="1351"/>
      <c r="AG1308" s="1351"/>
      <c r="AH1308" s="1351"/>
      <c r="AI1308" s="1351"/>
      <c r="AJ1308" s="1351"/>
      <c r="AK1308" s="1351"/>
      <c r="AL1308" s="1351"/>
      <c r="AM1308" s="1351"/>
      <c r="AN1308" s="1351"/>
      <c r="AO1308" s="1351"/>
      <c r="AP1308" s="1351"/>
      <c r="AQ1308" s="1081"/>
      <c r="AR1308" s="1081"/>
      <c r="AS1308" s="1081"/>
      <c r="AT1308" s="1081"/>
      <c r="AU1308" s="1081"/>
      <c r="AV1308" s="1081"/>
      <c r="AW1308" s="1081"/>
      <c r="AX1308" s="1081"/>
      <c r="AY1308" s="1081"/>
      <c r="AZ1308" s="1081"/>
      <c r="BA1308" s="1081"/>
      <c r="BB1308" s="1081"/>
      <c r="BC1308" s="1081"/>
      <c r="BD1308" s="1081"/>
      <c r="BE1308" s="1081"/>
      <c r="BF1308" s="1081"/>
      <c r="BG1308" s="1081"/>
      <c r="BH1308" s="1081"/>
      <c r="BI1308" s="1081"/>
      <c r="BJ1308" s="1081"/>
      <c r="BK1308" s="6021"/>
      <c r="BL1308" s="6021"/>
      <c r="BM1308" s="6021"/>
      <c r="BN1308" s="6021"/>
      <c r="BO1308" s="6021"/>
      <c r="BP1308" s="6021"/>
      <c r="BQ1308" s="6021"/>
      <c r="BR1308" s="6021"/>
      <c r="BS1308" s="6021"/>
      <c r="BT1308" s="6021"/>
      <c r="BU1308" s="6021"/>
      <c r="BV1308" s="6021"/>
      <c r="BW1308" s="6021"/>
      <c r="BX1308" s="6021"/>
      <c r="BY1308" s="6021"/>
      <c r="BZ1308" s="6021"/>
      <c r="CA1308" s="6021"/>
      <c r="CB1308" s="6022"/>
    </row>
    <row r="1309" spans="1:80" ht="12.75" customHeight="1" x14ac:dyDescent="0.2">
      <c r="A1309" s="237">
        <v>1309</v>
      </c>
      <c r="B1309" s="5838"/>
      <c r="C1309" s="1061"/>
      <c r="D1309" s="66"/>
      <c r="E1309" s="1064" t="s">
        <v>8312</v>
      </c>
      <c r="F1309" s="85">
        <v>25</v>
      </c>
      <c r="G1309" s="85">
        <v>40</v>
      </c>
      <c r="H1309" s="85">
        <f>COUNTIF(HabilidadesEsenciales_Adquiridas,Tablas!E1309)</f>
        <v>0</v>
      </c>
      <c r="I1309" s="1066">
        <v>1</v>
      </c>
      <c r="J1309" s="184">
        <f t="array" ref="J1309">MAX($H$1301:$H$1355*IF(ISNUMBER(SEARCH(K1309,$E$1301:$E$1355)),VALUE(RIGHT($E$1301:$E$1355,2)),0))</f>
        <v>0</v>
      </c>
      <c r="K1309" s="1057" t="str">
        <v>Esencia</v>
      </c>
      <c r="M1309" s="336"/>
      <c r="N1309" s="23"/>
      <c r="O1309" s="142" t="s">
        <v>7930</v>
      </c>
      <c r="P1309" s="1059">
        <v>10</v>
      </c>
      <c r="Q1309" s="184">
        <f>30+IF(OR(TipoDeCriatura="Entre mundos, Elemental",TipoDeCriatura="Ánima, Elemental"),10,0)</f>
        <v>30</v>
      </c>
      <c r="R1309" s="1066">
        <f>COUNTIF(PoderesDeCriatura_Adquiridos,Tablas!O1309)</f>
        <v>0</v>
      </c>
      <c r="S1309" s="184"/>
      <c r="T1309" s="1057"/>
      <c r="U1309">
        <v>2</v>
      </c>
      <c r="W1309" s="1090" t="s">
        <v>1252</v>
      </c>
      <c r="X1309" s="1079"/>
      <c r="Y1309" s="886"/>
      <c r="Z1309" s="1084" t="s">
        <v>7112</v>
      </c>
      <c r="AA1309" s="1084"/>
      <c r="AB1309" s="1084"/>
      <c r="AC1309" s="1084"/>
      <c r="AD1309" s="1084"/>
      <c r="AE1309" s="1084"/>
      <c r="AF1309" s="1084"/>
      <c r="AG1309" s="1084"/>
      <c r="AH1309" s="1084"/>
      <c r="AI1309" s="1084"/>
      <c r="AJ1309" s="1084"/>
      <c r="AK1309" s="1084"/>
      <c r="AL1309" s="1084"/>
      <c r="AM1309" s="1084"/>
      <c r="AN1309" s="1084"/>
      <c r="AO1309" s="1084"/>
      <c r="AP1309" s="1084"/>
      <c r="AQ1309" s="1083"/>
      <c r="AR1309" s="1083"/>
      <c r="AS1309" s="1083"/>
      <c r="AT1309" s="1083"/>
      <c r="AU1309" s="1083"/>
      <c r="AV1309" s="1083"/>
      <c r="AW1309" s="1083"/>
      <c r="AX1309" s="1083"/>
      <c r="AY1309" s="1083"/>
      <c r="AZ1309" s="1083"/>
      <c r="BA1309" s="1083"/>
      <c r="BB1309" s="1083"/>
      <c r="BC1309" s="1083"/>
      <c r="BD1309" s="1083"/>
      <c r="BE1309" s="1083"/>
      <c r="BF1309" s="1083"/>
      <c r="BG1309" s="1083"/>
      <c r="BH1309" s="1083"/>
      <c r="BI1309" s="1083"/>
      <c r="BJ1309" s="1083"/>
      <c r="BK1309" s="1083"/>
      <c r="BL1309" s="1083"/>
      <c r="BM1309" s="1083"/>
      <c r="BN1309" s="1079"/>
      <c r="BO1309" s="333"/>
      <c r="BP1309" s="333"/>
      <c r="BQ1309" s="333"/>
      <c r="BR1309" s="333"/>
      <c r="BS1309" s="333"/>
      <c r="BT1309" s="333"/>
      <c r="BU1309" s="333"/>
      <c r="BV1309" s="333"/>
      <c r="BW1309" s="333"/>
      <c r="BX1309" s="333"/>
      <c r="BY1309" s="333"/>
      <c r="BZ1309" s="333"/>
      <c r="CA1309" s="333"/>
      <c r="CB1309" s="654"/>
    </row>
    <row r="1310" spans="1:80" ht="12.75" customHeight="1" x14ac:dyDescent="0.2">
      <c r="A1310" s="237">
        <v>1310</v>
      </c>
      <c r="B1310" s="5838"/>
      <c r="C1310" s="1061"/>
      <c r="D1310" s="66"/>
      <c r="E1310" s="1064" t="s">
        <v>8313</v>
      </c>
      <c r="F1310" s="85">
        <v>30</v>
      </c>
      <c r="G1310" s="85">
        <v>50</v>
      </c>
      <c r="H1310" s="85">
        <f>COUNTIF(HabilidadesEsenciales_Adquiridas,Tablas!E1310)</f>
        <v>0</v>
      </c>
      <c r="I1310" s="1066">
        <v>1</v>
      </c>
      <c r="J1310" s="184">
        <f t="array" ref="J1310">MAX($H$1301:$H$1355*IF(ISNUMBER(SEARCH(K1310,$E$1301:$E$1355)),VALUE(RIGHT($E$1301:$E$1355,2)),0))</f>
        <v>0</v>
      </c>
      <c r="K1310" s="1057" t="str">
        <v>Ilusión</v>
      </c>
      <c r="M1310" s="336"/>
      <c r="N1310" s="23"/>
      <c r="O1310" s="142" t="s">
        <v>7931</v>
      </c>
      <c r="P1310" s="1059">
        <v>20</v>
      </c>
      <c r="Q1310" s="184">
        <f>60+IF(OR(TipoDeCriatura="Entre mundos, Elemental",TipoDeCriatura="Ánima, Elemental"),10,0)</f>
        <v>60</v>
      </c>
      <c r="R1310" s="1066">
        <f>COUNTIF(PoderesDeCriatura_Adquiridos,Tablas!O1310)</f>
        <v>0</v>
      </c>
      <c r="S1310" s="184"/>
      <c r="T1310" s="1057"/>
      <c r="U1310">
        <v>2</v>
      </c>
      <c r="W1310" s="1090" t="s">
        <v>1254</v>
      </c>
      <c r="X1310" s="1080"/>
      <c r="Y1310" s="886" t="str">
        <f t="shared" ref="Y1310:Y1320" si="274">IF(Z1310="","",SUBSTITUTE("PodHab_"&amp;W1310," ",""))</f>
        <v/>
      </c>
      <c r="Z1310" s="886" t="s">
        <v>7112</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838"/>
      <c r="C1311" s="1061"/>
      <c r="D1311" s="66"/>
      <c r="E1311" s="1064" t="s">
        <v>8314</v>
      </c>
      <c r="F1311" s="85">
        <v>10</v>
      </c>
      <c r="G1311" s="85">
        <v>10</v>
      </c>
      <c r="H1311" s="85">
        <f>COUNTIF(HabilidadesEsenciales_Adquiridas,Tablas!E1311)</f>
        <v>0</v>
      </c>
      <c r="I1311" s="1066">
        <v>1</v>
      </c>
      <c r="J1311" s="184">
        <f t="array" ref="J1311">MAX($H$1301:$H$1355*IF(ISNUMBER(SEARCH(K1311,$E$1301:$E$1355)),VALUE(RIGHT($E$1301:$E$1355,2)),0))</f>
        <v>0</v>
      </c>
      <c r="K1311" s="1057" t="str">
        <v>Nigromancia</v>
      </c>
      <c r="M1311" s="336"/>
      <c r="N1311" s="23"/>
      <c r="O1311" s="142" t="s">
        <v>7932</v>
      </c>
      <c r="P1311" s="1059">
        <v>20</v>
      </c>
      <c r="Q1311" s="184">
        <v>100</v>
      </c>
      <c r="R1311" s="1066">
        <f>COUNTIF(PoderesDeCriatura_Adquiridos,Tablas!O1311)</f>
        <v>0</v>
      </c>
      <c r="S1311" s="184"/>
      <c r="T1311" s="1057"/>
      <c r="U1311">
        <v>2</v>
      </c>
      <c r="W1311" s="1090" t="s">
        <v>1255</v>
      </c>
      <c r="X1311" s="1080"/>
      <c r="Y1311" s="886" t="str">
        <f t="shared" si="274"/>
        <v/>
      </c>
      <c r="Z1311" s="886" t="s">
        <v>7112</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838"/>
      <c r="C1312" s="1061"/>
      <c r="D1312" s="66"/>
      <c r="E1312" s="1064" t="s">
        <v>8315</v>
      </c>
      <c r="F1312" s="85">
        <v>15</v>
      </c>
      <c r="G1312" s="85">
        <v>20</v>
      </c>
      <c r="H1312" s="85">
        <f>COUNTIF(HabilidadesEsenciales_Adquiridas,Tablas!E1312)</f>
        <v>0</v>
      </c>
      <c r="I1312" s="1066">
        <v>1</v>
      </c>
      <c r="J1312" s="184"/>
      <c r="K1312" s="1057"/>
      <c r="M1312" s="336"/>
      <c r="N1312" s="23"/>
      <c r="O1312" s="142" t="s">
        <v>7933</v>
      </c>
      <c r="P1312" s="1059">
        <v>25</v>
      </c>
      <c r="Q1312" s="184">
        <f>120+IF(OR(TipoDeCriatura="Entre mundos, Elemental",TipoDeCriatura="Ánima, Elemental"),10,0)</f>
        <v>120</v>
      </c>
      <c r="R1312" s="1066">
        <f>COUNTIF(PoderesDeCriatura_Adquiridos,Tablas!O1312)</f>
        <v>0</v>
      </c>
      <c r="S1312" s="184"/>
      <c r="T1312" s="1057"/>
      <c r="U1312">
        <v>2</v>
      </c>
      <c r="W1312" s="1090" t="s">
        <v>1257</v>
      </c>
      <c r="X1312" s="1080"/>
      <c r="Y1312" s="886" t="str">
        <f t="shared" si="274"/>
        <v/>
      </c>
      <c r="Z1312" s="886" t="s">
        <v>7112</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838"/>
      <c r="C1313" s="1061"/>
      <c r="D1313" s="66"/>
      <c r="E1313" s="1064" t="s">
        <v>8316</v>
      </c>
      <c r="F1313" s="85">
        <v>20</v>
      </c>
      <c r="G1313" s="85">
        <v>30</v>
      </c>
      <c r="H1313" s="85">
        <f>COUNTIF(HabilidadesEsenciales_Adquiridas,Tablas!E1313)</f>
        <v>0</v>
      </c>
      <c r="I1313" s="1066">
        <v>1</v>
      </c>
      <c r="J1313" s="184"/>
      <c r="K1313" s="1057"/>
      <c r="M1313" s="336"/>
      <c r="N1313" s="23"/>
      <c r="O1313" s="142" t="s">
        <v>7934</v>
      </c>
      <c r="P1313" s="1059">
        <v>25</v>
      </c>
      <c r="Q1313" s="184">
        <f>140+IF(OR(TipoDeCriatura="Entre mundos, Elemental",TipoDeCriatura="Ánima, Elemental"),10,0)</f>
        <v>140</v>
      </c>
      <c r="R1313" s="1066">
        <f>COUNTIF(PoderesDeCriatura_Adquiridos,Tablas!O1313)</f>
        <v>0</v>
      </c>
      <c r="S1313" s="184"/>
      <c r="T1313" s="1057"/>
      <c r="U1313">
        <v>2</v>
      </c>
      <c r="W1313" s="1090" t="s">
        <v>1264</v>
      </c>
      <c r="X1313" s="1080"/>
      <c r="Y1313" s="886" t="str">
        <f t="shared" si="274"/>
        <v/>
      </c>
      <c r="Z1313" s="886" t="s">
        <v>7112</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838"/>
      <c r="C1314" s="1061"/>
      <c r="D1314" s="66"/>
      <c r="E1314" s="1064" t="s">
        <v>8317</v>
      </c>
      <c r="F1314" s="85">
        <v>25</v>
      </c>
      <c r="G1314" s="85">
        <v>40</v>
      </c>
      <c r="H1314" s="85">
        <f>COUNTIF(HabilidadesEsenciales_Adquiridas,Tablas!E1314)</f>
        <v>0</v>
      </c>
      <c r="I1314" s="1066">
        <v>1</v>
      </c>
      <c r="J1314" s="184"/>
      <c r="K1314" s="1057"/>
      <c r="M1314" s="336"/>
      <c r="N1314" s="23"/>
      <c r="O1314" s="142" t="s">
        <v>7935</v>
      </c>
      <c r="P1314" s="1059">
        <v>20</v>
      </c>
      <c r="Q1314" s="184">
        <f>20+IF(OR(TipoDeCriatura="Entre mundos, Elemental",TipoDeCriatura="Ánima, Elemental"),10,0)</f>
        <v>20</v>
      </c>
      <c r="R1314" s="1066">
        <f>COUNTIF(PoderesDeCriatura_Adquiridos,Tablas!O1314)</f>
        <v>0</v>
      </c>
      <c r="S1314" s="184"/>
      <c r="T1314" s="1057"/>
      <c r="U1314">
        <v>2</v>
      </c>
      <c r="W1314" s="1090" t="s">
        <v>1263</v>
      </c>
      <c r="X1314" s="1080"/>
      <c r="Y1314" s="886" t="str">
        <f t="shared" si="274"/>
        <v/>
      </c>
      <c r="Z1314" s="886" t="s">
        <v>7112</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838"/>
      <c r="C1315" s="1061"/>
      <c r="D1315" s="66"/>
      <c r="E1315" s="1064" t="s">
        <v>8318</v>
      </c>
      <c r="F1315" s="85">
        <v>30</v>
      </c>
      <c r="G1315" s="85">
        <v>50</v>
      </c>
      <c r="H1315" s="85">
        <f>COUNTIF(HabilidadesEsenciales_Adquiridas,Tablas!E1315)</f>
        <v>0</v>
      </c>
      <c r="I1315" s="1066">
        <v>1</v>
      </c>
      <c r="J1315" s="184"/>
      <c r="K1315" s="1057"/>
      <c r="M1315" s="336"/>
      <c r="N1315" s="23"/>
      <c r="O1315" s="142" t="s">
        <v>7936</v>
      </c>
      <c r="P1315" s="1059">
        <v>20</v>
      </c>
      <c r="Q1315" s="184">
        <f>60+IF(OR(TipoDeCriatura="Entre mundos, Elemental",TipoDeCriatura="Ánima, Elemental"),10,0)</f>
        <v>60</v>
      </c>
      <c r="R1315" s="1066">
        <f>COUNTIF(PoderesDeCriatura_Adquiridos,Tablas!O1315)</f>
        <v>0</v>
      </c>
      <c r="S1315" s="184"/>
      <c r="T1315" s="1057"/>
      <c r="U1315">
        <v>2</v>
      </c>
      <c r="W1315" s="1090" t="s">
        <v>1259</v>
      </c>
      <c r="X1315" s="1080"/>
      <c r="Y1315" s="886" t="str">
        <f t="shared" si="274"/>
        <v/>
      </c>
      <c r="Z1315" s="886" t="s">
        <v>7112</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838"/>
      <c r="C1316" s="1061"/>
      <c r="D1316" s="66"/>
      <c r="E1316" s="1064" t="s">
        <v>8319</v>
      </c>
      <c r="F1316" s="85">
        <v>10</v>
      </c>
      <c r="G1316" s="85">
        <v>10</v>
      </c>
      <c r="H1316" s="85">
        <f>COUNTIF(HabilidadesEsenciales_Adquiridas,Tablas!E1316)</f>
        <v>0</v>
      </c>
      <c r="I1316" s="1066">
        <v>1</v>
      </c>
      <c r="J1316" s="184"/>
      <c r="K1316" s="1057"/>
      <c r="M1316" s="336"/>
      <c r="N1316" s="23"/>
      <c r="O1316" s="142" t="s">
        <v>7937</v>
      </c>
      <c r="P1316" s="1059">
        <v>20</v>
      </c>
      <c r="Q1316" s="184">
        <f>120+IF(OR(TipoDeCriatura="Entre mundos, Elemental",TipoDeCriatura="Ánima, Elemental"),10,0)</f>
        <v>120</v>
      </c>
      <c r="R1316" s="1066">
        <f>COUNTIF(PoderesDeCriatura_Adquiridos,Tablas!O1316)</f>
        <v>0</v>
      </c>
      <c r="S1316" s="184"/>
      <c r="T1316" s="1057"/>
      <c r="U1316">
        <v>2</v>
      </c>
      <c r="W1316" s="1090" t="s">
        <v>1261</v>
      </c>
      <c r="X1316" s="1080"/>
      <c r="Y1316" s="886" t="str">
        <f t="shared" si="274"/>
        <v/>
      </c>
      <c r="Z1316" s="886" t="s">
        <v>7112</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838"/>
      <c r="C1317" s="1061"/>
      <c r="D1317" s="66"/>
      <c r="E1317" s="1064" t="s">
        <v>8320</v>
      </c>
      <c r="F1317" s="85">
        <v>15</v>
      </c>
      <c r="G1317" s="85">
        <v>20</v>
      </c>
      <c r="H1317" s="85">
        <f>COUNTIF(HabilidadesEsenciales_Adquiridas,Tablas!E1317)</f>
        <v>0</v>
      </c>
      <c r="I1317" s="1066">
        <v>1</v>
      </c>
      <c r="J1317" s="184"/>
      <c r="K1317" s="1057"/>
      <c r="M1317" s="336"/>
      <c r="N1317" s="23"/>
      <c r="O1317" s="142" t="s">
        <v>10196</v>
      </c>
      <c r="P1317" s="1059">
        <v>20</v>
      </c>
      <c r="Q1317" s="184">
        <f>60+IF(OR(TipoDeCriatura="Entre mundos, Elemental",TipoDeCriatura="Ánima, Elemental"),10,0)</f>
        <v>60</v>
      </c>
      <c r="R1317" s="1066">
        <f>COUNTIF(PoderesDeCriatura_Adquiridos,Tablas!O1317)</f>
        <v>0</v>
      </c>
      <c r="S1317" s="184"/>
      <c r="T1317" s="1057"/>
      <c r="U1317">
        <v>2</v>
      </c>
      <c r="W1317" s="1090" t="s">
        <v>1262</v>
      </c>
      <c r="X1317" s="1080"/>
      <c r="Y1317" s="886" t="str">
        <f t="shared" si="274"/>
        <v/>
      </c>
      <c r="Z1317" s="886" t="s">
        <v>7112</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838"/>
      <c r="C1318" s="1061"/>
      <c r="D1318" s="66"/>
      <c r="E1318" s="1064" t="s">
        <v>8321</v>
      </c>
      <c r="F1318" s="85">
        <v>20</v>
      </c>
      <c r="G1318" s="85">
        <v>30</v>
      </c>
      <c r="H1318" s="85">
        <f>COUNTIF(HabilidadesEsenciales_Adquiridas,Tablas!E1318)</f>
        <v>0</v>
      </c>
      <c r="I1318" s="1066">
        <v>1</v>
      </c>
      <c r="J1318" s="184"/>
      <c r="K1318" s="1057"/>
      <c r="M1318" s="336"/>
      <c r="N1318" s="23"/>
      <c r="O1318" s="142" t="s">
        <v>10197</v>
      </c>
      <c r="P1318" s="1059">
        <v>20</v>
      </c>
      <c r="Q1318" s="184">
        <f>120+IF(OR(TipoDeCriatura="Entre mundos, Elemental",TipoDeCriatura="Ánima, Elemental"),10,0)</f>
        <v>120</v>
      </c>
      <c r="R1318" s="1066">
        <f>COUNTIF(PoderesDeCriatura_Adquiridos,Tablas!O1318)</f>
        <v>0</v>
      </c>
      <c r="S1318" s="184"/>
      <c r="T1318" s="1057"/>
      <c r="U1318">
        <v>2</v>
      </c>
      <c r="W1318" s="1090" t="s">
        <v>1258</v>
      </c>
      <c r="X1318" s="1080"/>
      <c r="Y1318" s="886" t="str">
        <f t="shared" si="274"/>
        <v/>
      </c>
      <c r="Z1318" s="886" t="s">
        <v>7112</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838"/>
      <c r="C1319" s="1061"/>
      <c r="D1319" s="66"/>
      <c r="E1319" s="1064" t="s">
        <v>8322</v>
      </c>
      <c r="F1319" s="85">
        <v>25</v>
      </c>
      <c r="G1319" s="85">
        <v>40</v>
      </c>
      <c r="H1319" s="85">
        <f>COUNTIF(HabilidadesEsenciales_Adquiridas,Tablas!E1319)</f>
        <v>0</v>
      </c>
      <c r="I1319" s="1066">
        <v>1</v>
      </c>
      <c r="J1319" s="184"/>
      <c r="K1319" s="1057"/>
      <c r="M1319" s="336"/>
      <c r="N1319" s="23"/>
      <c r="O1319" s="142" t="s">
        <v>7938</v>
      </c>
      <c r="P1319" s="1059">
        <v>25</v>
      </c>
      <c r="Q1319" s="184">
        <f>120+IF(OR(TipoDeCriatura="Entre mundos, Elemental",TipoDeCriatura="Ánima, Elemental"),10,0)</f>
        <v>120</v>
      </c>
      <c r="R1319" s="1066">
        <f>COUNTIF(PoderesDeCriatura_Adquiridos,Tablas!O1319)</f>
        <v>0</v>
      </c>
      <c r="S1319" s="184"/>
      <c r="T1319" s="1057"/>
      <c r="U1319">
        <v>2</v>
      </c>
      <c r="W1319" s="1090" t="s">
        <v>1260</v>
      </c>
      <c r="X1319" s="1080"/>
      <c r="Y1319" s="886" t="str">
        <f t="shared" si="274"/>
        <v/>
      </c>
      <c r="Z1319" s="886" t="s">
        <v>7112</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838"/>
      <c r="C1320" s="1061"/>
      <c r="D1320" s="66"/>
      <c r="E1320" s="1064" t="s">
        <v>8323</v>
      </c>
      <c r="F1320" s="85">
        <v>30</v>
      </c>
      <c r="G1320" s="85">
        <v>50</v>
      </c>
      <c r="H1320" s="85">
        <f>COUNTIF(HabilidadesEsenciales_Adquiridas,Tablas!E1320)</f>
        <v>0</v>
      </c>
      <c r="I1320" s="1066">
        <v>1</v>
      </c>
      <c r="J1320" s="184"/>
      <c r="K1320" s="1057"/>
      <c r="M1320" s="336"/>
      <c r="N1320" s="23"/>
      <c r="O1320" s="142" t="s">
        <v>7939</v>
      </c>
      <c r="P1320" s="1059">
        <v>10</v>
      </c>
      <c r="Q1320" s="184">
        <f>20+IF(OR(TipoDeCriatura="Entre mundos, Elemental",TipoDeCriatura="Ánima, Elemental"),10,0)</f>
        <v>20</v>
      </c>
      <c r="R1320" s="1066">
        <f>COUNTIF(PoderesDeCriatura_Adquiridos,Tablas!O1320)</f>
        <v>0</v>
      </c>
      <c r="S1320" s="184"/>
      <c r="T1320" s="1057"/>
      <c r="U1320">
        <v>2</v>
      </c>
      <c r="W1320" s="1090" t="s">
        <v>8261</v>
      </c>
      <c r="X1320" s="1080"/>
      <c r="Y1320" s="886" t="str">
        <f t="shared" si="274"/>
        <v>PodHab_CaracterísticaIncrementada</v>
      </c>
      <c r="Z1320" s="886" t="s">
        <v>8372</v>
      </c>
      <c r="AA1320" s="886" t="s">
        <v>8373</v>
      </c>
      <c r="AB1320" s="886" t="s">
        <v>8374</v>
      </c>
      <c r="AC1320" s="886" t="s">
        <v>8375</v>
      </c>
      <c r="AD1320" s="886" t="s">
        <v>8376</v>
      </c>
      <c r="AE1320" s="886" t="s">
        <v>8377</v>
      </c>
      <c r="AF1320" s="886" t="s">
        <v>8378</v>
      </c>
      <c r="AG1320" s="886" t="s">
        <v>8379</v>
      </c>
      <c r="AH1320" s="886" t="s">
        <v>8380</v>
      </c>
      <c r="AI1320" s="886" t="s">
        <v>8381</v>
      </c>
      <c r="AJ1320" s="886" t="s">
        <v>8382</v>
      </c>
      <c r="AK1320" s="886" t="s">
        <v>8383</v>
      </c>
      <c r="AL1320" s="886" t="s">
        <v>8384</v>
      </c>
      <c r="AM1320" s="886" t="s">
        <v>8385</v>
      </c>
      <c r="AN1320" s="886" t="s">
        <v>8386</v>
      </c>
      <c r="AO1320" s="886" t="s">
        <v>8387</v>
      </c>
      <c r="AP1320" s="886" t="s">
        <v>8388</v>
      </c>
      <c r="AQ1320" s="1085" t="s">
        <v>8389</v>
      </c>
      <c r="AR1320" s="1085" t="s">
        <v>8390</v>
      </c>
      <c r="AS1320" s="1085" t="s">
        <v>8391</v>
      </c>
      <c r="AT1320" s="1085" t="s">
        <v>8392</v>
      </c>
      <c r="AU1320" s="1085" t="s">
        <v>8393</v>
      </c>
      <c r="AV1320" s="1085" t="s">
        <v>8394</v>
      </c>
      <c r="AW1320" s="1085" t="s">
        <v>8395</v>
      </c>
      <c r="AX1320" s="1085" t="s">
        <v>8396</v>
      </c>
      <c r="AY1320" s="1085" t="s">
        <v>8397</v>
      </c>
      <c r="AZ1320" s="1085" t="s">
        <v>8398</v>
      </c>
      <c r="BA1320" s="1085" t="s">
        <v>8399</v>
      </c>
      <c r="BB1320" s="1085" t="s">
        <v>8400</v>
      </c>
      <c r="BC1320" s="1085" t="s">
        <v>8401</v>
      </c>
      <c r="BD1320" s="1085" t="s">
        <v>8402</v>
      </c>
      <c r="BE1320" s="1085" t="s">
        <v>8403</v>
      </c>
      <c r="BF1320" s="1085" t="s">
        <v>8404</v>
      </c>
      <c r="BG1320" s="1085" t="s">
        <v>8405</v>
      </c>
      <c r="BH1320" s="1085" t="s">
        <v>8406</v>
      </c>
      <c r="BI1320" s="1085" t="s">
        <v>8407</v>
      </c>
      <c r="BJ1320" s="1085" t="s">
        <v>8408</v>
      </c>
      <c r="BK1320" s="1085" t="s">
        <v>8409</v>
      </c>
      <c r="BL1320" s="1085" t="s">
        <v>8410</v>
      </c>
      <c r="BM1320" s="1085" t="s">
        <v>8411</v>
      </c>
      <c r="BN1320" s="1085"/>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838"/>
      <c r="C1321" s="1061"/>
      <c r="D1321" s="66"/>
      <c r="E1321" s="1064" t="s">
        <v>8324</v>
      </c>
      <c r="F1321" s="85">
        <v>10</v>
      </c>
      <c r="G1321" s="85">
        <v>10</v>
      </c>
      <c r="H1321" s="85">
        <f>COUNTIF(HabilidadesEsenciales_Adquiridas,Tablas!E1321)</f>
        <v>0</v>
      </c>
      <c r="I1321" s="1066">
        <v>1</v>
      </c>
      <c r="J1321" s="184"/>
      <c r="K1321" s="1057"/>
      <c r="M1321" s="336"/>
      <c r="N1321" s="23"/>
      <c r="O1321" s="142" t="s">
        <v>7940</v>
      </c>
      <c r="P1321" s="1059">
        <v>15</v>
      </c>
      <c r="Q1321" s="184">
        <f>50+IF(OR(TipoDeCriatura="Entre mundos, Elemental",TipoDeCriatura="Ánima, Elemental"),10,0)</f>
        <v>50</v>
      </c>
      <c r="R1321" s="1066">
        <f>COUNTIF(PoderesDeCriatura_Adquiridos,Tablas!O1321)</f>
        <v>0</v>
      </c>
      <c r="S1321" s="184"/>
      <c r="T1321" s="1057"/>
      <c r="U1321">
        <v>2</v>
      </c>
      <c r="W1321" s="1090" t="s">
        <v>2280</v>
      </c>
      <c r="X1321" s="1080"/>
      <c r="Y1321" s="886"/>
      <c r="Z1321" s="886"/>
      <c r="AA1321" s="886"/>
      <c r="AB1321" s="886"/>
      <c r="AC1321" s="886"/>
      <c r="AD1321" s="886"/>
      <c r="AE1321" s="886"/>
      <c r="AF1321" s="886"/>
      <c r="AG1321" s="886"/>
      <c r="AH1321" s="886"/>
      <c r="AI1321" s="886"/>
      <c r="AJ1321" s="886"/>
      <c r="AK1321" s="886"/>
      <c r="AL1321" s="886"/>
      <c r="AM1321" s="886"/>
      <c r="AN1321" s="886"/>
      <c r="AO1321" s="886"/>
      <c r="AP1321" s="886"/>
      <c r="AQ1321" s="1085"/>
      <c r="AR1321" s="1085"/>
      <c r="AS1321" s="1085"/>
      <c r="AT1321" s="1085"/>
      <c r="AU1321" s="1085"/>
      <c r="AV1321" s="1085"/>
      <c r="AW1321" s="1085"/>
      <c r="AX1321" s="1085"/>
      <c r="AY1321" s="1085"/>
      <c r="AZ1321" s="1085"/>
      <c r="BA1321" s="1085"/>
      <c r="BB1321" s="1085"/>
      <c r="BC1321" s="1085"/>
      <c r="BD1321" s="1085"/>
      <c r="BE1321" s="1085"/>
      <c r="BF1321" s="1085"/>
      <c r="BG1321" s="1085"/>
      <c r="BH1321" s="1085"/>
      <c r="BI1321" s="1085"/>
      <c r="BJ1321" s="1085"/>
      <c r="BK1321" s="1085"/>
      <c r="BL1321" s="1085"/>
      <c r="BM1321" s="1085"/>
      <c r="BN1321" s="1079"/>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838"/>
      <c r="C1322" s="1061"/>
      <c r="D1322" s="66"/>
      <c r="E1322" s="1064" t="s">
        <v>8325</v>
      </c>
      <c r="F1322" s="85">
        <v>15</v>
      </c>
      <c r="G1322" s="85">
        <v>20</v>
      </c>
      <c r="H1322" s="85">
        <f>COUNTIF(HabilidadesEsenciales_Adquiridas,Tablas!E1322)</f>
        <v>0</v>
      </c>
      <c r="I1322" s="1066">
        <v>1</v>
      </c>
      <c r="J1322" s="184"/>
      <c r="K1322" s="1057"/>
      <c r="M1322" s="336"/>
      <c r="N1322" s="23"/>
      <c r="O1322" s="142" t="s">
        <v>7941</v>
      </c>
      <c r="P1322" s="1059">
        <v>20</v>
      </c>
      <c r="Q1322" s="184">
        <f>100+IF(OR(TipoDeCriatura="Entre mundos, Elemental",TipoDeCriatura="Ánima, Elemental"),10,0)</f>
        <v>100</v>
      </c>
      <c r="R1322" s="1066">
        <f>COUNTIF(PoderesDeCriatura_Adquiridos,Tablas!O1322)</f>
        <v>0</v>
      </c>
      <c r="S1322" s="184"/>
      <c r="T1322" s="1057"/>
      <c r="U1322">
        <v>2</v>
      </c>
      <c r="W1322" s="1090" t="s">
        <v>1274</v>
      </c>
      <c r="X1322" s="1079"/>
      <c r="Y1322" s="886" t="str">
        <f t="shared" ref="Y1322:Y1338" si="275">IF(Z1322="","",SUBSTITUTE("PodHab_"&amp;W1322," ",""))</f>
        <v/>
      </c>
      <c r="Z1322" s="886" t="s">
        <v>7112</v>
      </c>
      <c r="AA1322" s="1084"/>
      <c r="AB1322" s="1084"/>
      <c r="AC1322" s="1084"/>
      <c r="AD1322" s="1084"/>
      <c r="AE1322" s="1084"/>
      <c r="AF1322" s="1084"/>
      <c r="AG1322" s="1084"/>
      <c r="AH1322" s="1084"/>
      <c r="AI1322" s="1084"/>
      <c r="AJ1322" s="1084"/>
      <c r="AK1322" s="1084"/>
      <c r="AL1322" s="1084"/>
      <c r="AM1322" s="1084"/>
      <c r="AN1322" s="1084"/>
      <c r="AO1322" s="1084"/>
      <c r="AP1322" s="1084"/>
      <c r="AQ1322" s="1083"/>
      <c r="AR1322" s="1083"/>
      <c r="AS1322" s="1083"/>
      <c r="AT1322" s="1083"/>
      <c r="AU1322" s="1083"/>
      <c r="AV1322" s="1083"/>
      <c r="AW1322" s="1083"/>
      <c r="AX1322" s="1083"/>
      <c r="AY1322" s="1083"/>
      <c r="AZ1322" s="1083"/>
      <c r="BA1322" s="1083"/>
      <c r="BB1322" s="1083"/>
      <c r="BC1322" s="1083"/>
      <c r="BD1322" s="1083"/>
      <c r="BE1322" s="1083"/>
      <c r="BF1322" s="1083"/>
      <c r="BG1322" s="1083"/>
      <c r="BH1322" s="1083"/>
      <c r="BI1322" s="1083"/>
      <c r="BJ1322" s="1083"/>
      <c r="BK1322" s="1083"/>
      <c r="BL1322" s="1083"/>
      <c r="BM1322" s="1083"/>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838"/>
      <c r="C1323" s="1061"/>
      <c r="D1323" s="66"/>
      <c r="E1323" s="1064" t="s">
        <v>8326</v>
      </c>
      <c r="F1323" s="85">
        <v>20</v>
      </c>
      <c r="G1323" s="85">
        <v>30</v>
      </c>
      <c r="H1323" s="85">
        <f>COUNTIF(HabilidadesEsenciales_Adquiridas,Tablas!E1323)</f>
        <v>0</v>
      </c>
      <c r="I1323" s="1066">
        <v>1</v>
      </c>
      <c r="J1323" s="184"/>
      <c r="K1323" s="1057"/>
      <c r="M1323" s="336"/>
      <c r="N1323" s="23"/>
      <c r="O1323" s="142" t="s">
        <v>7942</v>
      </c>
      <c r="P1323" s="1059">
        <v>10</v>
      </c>
      <c r="Q1323" s="184">
        <f>10+IF(OR(TipoDeCriatura="Entre mundos, Elemental",TipoDeCriatura="Ánima, Elemental"),10,0)</f>
        <v>10</v>
      </c>
      <c r="R1323" s="1066">
        <f>COUNTIF(PoderesDeCriatura_Adquiridos,Tablas!O1323)</f>
        <v>0</v>
      </c>
      <c r="S1323" s="184"/>
      <c r="T1323" s="1057"/>
      <c r="U1323">
        <v>2</v>
      </c>
      <c r="W1323" s="1091" t="s">
        <v>1267</v>
      </c>
      <c r="X1323" s="1079"/>
      <c r="Y1323" s="886" t="str">
        <f t="shared" si="275"/>
        <v/>
      </c>
      <c r="Z1323" s="886" t="s">
        <v>7112</v>
      </c>
      <c r="AA1323" s="886"/>
      <c r="AB1323" s="886"/>
      <c r="AC1323" s="886"/>
      <c r="AD1323" s="886"/>
      <c r="AE1323" s="886"/>
      <c r="AF1323" s="886"/>
      <c r="AG1323" s="886"/>
      <c r="AH1323" s="886"/>
      <c r="AI1323" s="886"/>
      <c r="AJ1323" s="886"/>
      <c r="AK1323" s="886"/>
      <c r="AL1323" s="886"/>
      <c r="AM1323" s="886"/>
      <c r="AN1323" s="886"/>
      <c r="AO1323" s="886"/>
      <c r="AP1323" s="886"/>
      <c r="AQ1323" s="1085"/>
      <c r="AR1323" s="1085"/>
      <c r="AS1323" s="1085"/>
      <c r="AT1323" s="1085"/>
      <c r="AU1323" s="1085"/>
      <c r="AV1323" s="1085"/>
      <c r="AW1323" s="1085"/>
      <c r="AX1323" s="1085"/>
      <c r="AY1323" s="1085"/>
      <c r="AZ1323" s="1085"/>
      <c r="BA1323" s="1085"/>
      <c r="BB1323" s="1085"/>
      <c r="BC1323" s="1085"/>
      <c r="BD1323" s="1085"/>
      <c r="BE1323" s="1085"/>
      <c r="BF1323" s="1085"/>
      <c r="BG1323" s="1085"/>
      <c r="BH1323" s="1085"/>
      <c r="BI1323" s="1085"/>
      <c r="BJ1323" s="1085"/>
      <c r="BK1323" s="1085"/>
      <c r="BL1323" s="1085"/>
      <c r="BM1323" s="1085"/>
      <c r="BN1323" s="333"/>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838"/>
      <c r="C1324" s="1061"/>
      <c r="D1324" s="66"/>
      <c r="E1324" s="1064" t="s">
        <v>8327</v>
      </c>
      <c r="F1324" s="85">
        <v>25</v>
      </c>
      <c r="G1324" s="85">
        <v>40</v>
      </c>
      <c r="H1324" s="85">
        <f>COUNTIF(HabilidadesEsenciales_Adquiridas,Tablas!E1324)</f>
        <v>0</v>
      </c>
      <c r="I1324" s="1066">
        <v>1</v>
      </c>
      <c r="J1324" s="184"/>
      <c r="K1324" s="1057"/>
      <c r="M1324" s="336"/>
      <c r="N1324" s="23"/>
      <c r="O1324" s="142" t="s">
        <v>7943</v>
      </c>
      <c r="P1324" s="1059">
        <v>10</v>
      </c>
      <c r="Q1324" s="184">
        <v>-20</v>
      </c>
      <c r="R1324" s="1066">
        <f>COUNTIF(PoderesDeCriatura_Adquiridos,Tablas!O1324)</f>
        <v>0</v>
      </c>
      <c r="S1324" s="184"/>
      <c r="T1324" s="1057"/>
      <c r="U1324">
        <v>2</v>
      </c>
      <c r="W1324" s="1089" t="s">
        <v>1686</v>
      </c>
      <c r="X1324" s="1080"/>
      <c r="Y1324" s="886" t="str">
        <f t="shared" si="275"/>
        <v/>
      </c>
      <c r="Z1324" s="886" t="s">
        <v>7112</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838"/>
      <c r="C1325" s="1061"/>
      <c r="D1325" s="66"/>
      <c r="E1325" s="1064" t="s">
        <v>8328</v>
      </c>
      <c r="F1325" s="85">
        <v>30</v>
      </c>
      <c r="G1325" s="85">
        <v>50</v>
      </c>
      <c r="H1325" s="85">
        <f>COUNTIF(HabilidadesEsenciales_Adquiridas,Tablas!E1325)</f>
        <v>0</v>
      </c>
      <c r="I1325" s="1066">
        <v>1</v>
      </c>
      <c r="J1325" s="184"/>
      <c r="K1325" s="1057"/>
      <c r="M1325" s="336"/>
      <c r="N1325" s="23"/>
      <c r="O1325" s="1" t="s">
        <v>7944</v>
      </c>
      <c r="P1325" s="1059">
        <v>0</v>
      </c>
      <c r="Q1325" s="184">
        <v>10</v>
      </c>
      <c r="R1325" s="1066">
        <f>COUNTIF(PoderesDeCriatura_Adquiridos,Tablas!O1325)</f>
        <v>0</v>
      </c>
      <c r="S1325" s="184"/>
      <c r="T1325" s="1057"/>
      <c r="W1325" s="1089" t="s">
        <v>1276</v>
      </c>
      <c r="X1325" s="1080"/>
      <c r="Y1325" s="886" t="str">
        <f t="shared" si="275"/>
        <v/>
      </c>
      <c r="Z1325" s="886" t="s">
        <v>7112</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838"/>
      <c r="C1326" s="1061"/>
      <c r="D1326" s="66"/>
      <c r="E1326" s="1064" t="s">
        <v>8329</v>
      </c>
      <c r="F1326" s="85">
        <v>10</v>
      </c>
      <c r="G1326" s="85">
        <v>10</v>
      </c>
      <c r="H1326" s="85">
        <f>COUNTIF(HabilidadesEsenciales_Adquiridas,Tablas!E1326)</f>
        <v>0</v>
      </c>
      <c r="I1326" s="1066">
        <v>1</v>
      </c>
      <c r="J1326" s="184"/>
      <c r="K1326" s="1057"/>
      <c r="M1326" s="336"/>
      <c r="N1326" s="23"/>
      <c r="O1326" s="142" t="s">
        <v>7945</v>
      </c>
      <c r="P1326" s="1059">
        <v>0</v>
      </c>
      <c r="Q1326" s="184">
        <v>20</v>
      </c>
      <c r="R1326" s="1066">
        <f>COUNTIF(PoderesDeCriatura_Adquiridos,Tablas!O1326)</f>
        <v>0</v>
      </c>
      <c r="S1326" s="184"/>
      <c r="T1326" s="1057"/>
      <c r="W1326" s="1089" t="s">
        <v>1275</v>
      </c>
      <c r="X1326" s="1080"/>
      <c r="Y1326" s="886" t="str">
        <f t="shared" si="275"/>
        <v/>
      </c>
      <c r="Z1326" s="886" t="s">
        <v>7112</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838"/>
      <c r="C1327" s="1061"/>
      <c r="D1327" s="66"/>
      <c r="E1327" s="1064" t="s">
        <v>8330</v>
      </c>
      <c r="F1327" s="85">
        <v>15</v>
      </c>
      <c r="G1327" s="85">
        <v>20</v>
      </c>
      <c r="H1327" s="85">
        <f>COUNTIF(HabilidadesEsenciales_Adquiridas,Tablas!E1327)</f>
        <v>0</v>
      </c>
      <c r="I1327" s="1066">
        <v>1</v>
      </c>
      <c r="J1327" s="184"/>
      <c r="K1327" s="1057"/>
      <c r="M1327" s="336"/>
      <c r="N1327" s="23"/>
      <c r="O1327" s="142" t="s">
        <v>7946</v>
      </c>
      <c r="P1327" s="1059">
        <v>0</v>
      </c>
      <c r="Q1327" s="184">
        <v>30</v>
      </c>
      <c r="R1327" s="1066">
        <f>COUNTIF(PoderesDeCriatura_Adquiridos,Tablas!O1327)</f>
        <v>0</v>
      </c>
      <c r="S1327" s="184"/>
      <c r="T1327" s="1057"/>
      <c r="W1327" s="1089" t="s">
        <v>1272</v>
      </c>
      <c r="X1327" s="1080"/>
      <c r="Y1327" s="886" t="str">
        <f t="shared" si="275"/>
        <v/>
      </c>
      <c r="Z1327" s="886" t="s">
        <v>7112</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838"/>
      <c r="C1328" s="1061"/>
      <c r="D1328" s="66"/>
      <c r="E1328" s="1064" t="s">
        <v>8331</v>
      </c>
      <c r="F1328" s="85">
        <v>20</v>
      </c>
      <c r="G1328" s="85">
        <v>30</v>
      </c>
      <c r="H1328" s="85">
        <f>COUNTIF(HabilidadesEsenciales_Adquiridas,Tablas!E1328)</f>
        <v>0</v>
      </c>
      <c r="I1328" s="1066">
        <v>1</v>
      </c>
      <c r="J1328" s="184"/>
      <c r="K1328" s="1057"/>
      <c r="M1328" s="336"/>
      <c r="N1328" s="23"/>
      <c r="O1328" s="142" t="s">
        <v>7947</v>
      </c>
      <c r="P1328" s="1059">
        <v>5</v>
      </c>
      <c r="Q1328" s="184">
        <v>40</v>
      </c>
      <c r="R1328" s="1066">
        <f>COUNTIF(PoderesDeCriatura_Adquiridos,Tablas!O1328)</f>
        <v>0</v>
      </c>
      <c r="S1328" s="184"/>
      <c r="T1328" s="1057"/>
      <c r="W1328" s="1089" t="s">
        <v>1273</v>
      </c>
      <c r="X1328" s="1080"/>
      <c r="Y1328" s="886" t="str">
        <f t="shared" si="275"/>
        <v/>
      </c>
      <c r="Z1328" s="886" t="s">
        <v>7112</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838"/>
      <c r="C1329" s="1061"/>
      <c r="D1329" s="66"/>
      <c r="E1329" s="1064" t="s">
        <v>8332</v>
      </c>
      <c r="F1329" s="85">
        <v>25</v>
      </c>
      <c r="G1329" s="85">
        <v>40</v>
      </c>
      <c r="H1329" s="85">
        <f>COUNTIF(HabilidadesEsenciales_Adquiridas,Tablas!E1329)</f>
        <v>0</v>
      </c>
      <c r="I1329" s="1066">
        <v>1</v>
      </c>
      <c r="J1329" s="184"/>
      <c r="K1329" s="1057"/>
      <c r="M1329" s="336"/>
      <c r="N1329" s="23"/>
      <c r="O1329" s="142" t="s">
        <v>7948</v>
      </c>
      <c r="P1329" s="1059">
        <v>5</v>
      </c>
      <c r="Q1329" s="184">
        <v>50</v>
      </c>
      <c r="R1329" s="1066">
        <f>COUNTIF(PoderesDeCriatura_Adquiridos,Tablas!O1329)</f>
        <v>0</v>
      </c>
      <c r="S1329" s="184"/>
      <c r="T1329" s="1057"/>
      <c r="W1329" s="1089" t="s">
        <v>1271</v>
      </c>
      <c r="X1329" s="1080"/>
      <c r="Y1329" s="886" t="str">
        <f t="shared" si="275"/>
        <v/>
      </c>
      <c r="Z1329" s="886" t="s">
        <v>7112</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838"/>
      <c r="C1330" s="1061"/>
      <c r="D1330" s="66"/>
      <c r="E1330" s="1064" t="s">
        <v>8333</v>
      </c>
      <c r="F1330" s="85">
        <v>30</v>
      </c>
      <c r="G1330" s="85">
        <v>50</v>
      </c>
      <c r="H1330" s="85">
        <f>COUNTIF(HabilidadesEsenciales_Adquiridas,Tablas!E1330)</f>
        <v>0</v>
      </c>
      <c r="I1330" s="1066">
        <v>1</v>
      </c>
      <c r="J1330" s="184"/>
      <c r="K1330" s="1057"/>
      <c r="M1330" s="336"/>
      <c r="N1330" s="23"/>
      <c r="O1330" s="142" t="s">
        <v>7949</v>
      </c>
      <c r="P1330" s="1059">
        <v>10</v>
      </c>
      <c r="Q1330" s="184">
        <v>60</v>
      </c>
      <c r="R1330" s="1066">
        <f>COUNTIF(PoderesDeCriatura_Adquiridos,Tablas!O1330)</f>
        <v>0</v>
      </c>
      <c r="S1330" s="184"/>
      <c r="T1330" s="1057"/>
      <c r="W1330" s="1089" t="s">
        <v>1277</v>
      </c>
      <c r="X1330" s="1080"/>
      <c r="Y1330" s="886" t="str">
        <f t="shared" si="275"/>
        <v/>
      </c>
      <c r="Z1330" s="886" t="s">
        <v>7112</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838"/>
      <c r="C1331" s="1061"/>
      <c r="D1331" s="66"/>
      <c r="E1331" s="1064" t="s">
        <v>8334</v>
      </c>
      <c r="F1331" s="85">
        <v>10</v>
      </c>
      <c r="G1331" s="85">
        <v>10</v>
      </c>
      <c r="H1331" s="85">
        <f>COUNTIF(HabilidadesEsenciales_Adquiridas,Tablas!E1331)</f>
        <v>0</v>
      </c>
      <c r="I1331" s="1066">
        <v>1</v>
      </c>
      <c r="J1331" s="184"/>
      <c r="K1331" s="1057"/>
      <c r="M1331" s="336"/>
      <c r="N1331" s="23"/>
      <c r="O1331" s="142" t="s">
        <v>7950</v>
      </c>
      <c r="P1331" s="1059">
        <v>20</v>
      </c>
      <c r="Q1331" s="184">
        <v>70</v>
      </c>
      <c r="R1331" s="1066">
        <f>COUNTIF(PoderesDeCriatura_Adquiridos,Tablas!O1331)</f>
        <v>0</v>
      </c>
      <c r="S1331" s="184"/>
      <c r="T1331" s="1057"/>
      <c r="W1331" s="1089" t="s">
        <v>1270</v>
      </c>
      <c r="X1331" s="1080"/>
      <c r="Y1331" s="886" t="str">
        <f t="shared" si="275"/>
        <v/>
      </c>
      <c r="Z1331" s="886" t="s">
        <v>7112</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838"/>
      <c r="C1332" s="1061"/>
      <c r="D1332" s="66"/>
      <c r="E1332" s="1064" t="s">
        <v>8335</v>
      </c>
      <c r="F1332" s="85">
        <v>15</v>
      </c>
      <c r="G1332" s="85">
        <v>20</v>
      </c>
      <c r="H1332" s="85">
        <f>COUNTIF(HabilidadesEsenciales_Adquiridas,Tablas!E1332)</f>
        <v>0</v>
      </c>
      <c r="I1332" s="1066">
        <v>1</v>
      </c>
      <c r="J1332" s="184"/>
      <c r="K1332" s="1057"/>
      <c r="M1332" s="336"/>
      <c r="N1332" s="23"/>
      <c r="O1332" s="142" t="s">
        <v>7951</v>
      </c>
      <c r="P1332" s="1059">
        <v>30</v>
      </c>
      <c r="Q1332" s="184">
        <v>80</v>
      </c>
      <c r="R1332" s="1066">
        <f>COUNTIF(PoderesDeCriatura_Adquiridos,Tablas!O1332)</f>
        <v>0</v>
      </c>
      <c r="S1332" s="184"/>
      <c r="T1332" s="1057"/>
      <c r="W1332" s="1089" t="s">
        <v>1268</v>
      </c>
      <c r="X1332" s="1080"/>
      <c r="Y1332" s="886" t="str">
        <f t="shared" si="275"/>
        <v/>
      </c>
      <c r="Z1332" s="886" t="s">
        <v>7112</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838"/>
      <c r="C1333" s="1061"/>
      <c r="D1333" s="66"/>
      <c r="E1333" s="1064" t="s">
        <v>8336</v>
      </c>
      <c r="F1333" s="85">
        <v>20</v>
      </c>
      <c r="G1333" s="85">
        <v>30</v>
      </c>
      <c r="H1333" s="85">
        <f>COUNTIF(HabilidadesEsenciales_Adquiridas,Tablas!E1333)</f>
        <v>0</v>
      </c>
      <c r="I1333" s="1066">
        <v>1</v>
      </c>
      <c r="J1333" s="184"/>
      <c r="K1333" s="1057"/>
      <c r="M1333" s="336"/>
      <c r="N1333" s="23"/>
      <c r="O1333" s="142" t="s">
        <v>7952</v>
      </c>
      <c r="P1333" s="1059">
        <v>30</v>
      </c>
      <c r="Q1333" s="184">
        <v>90</v>
      </c>
      <c r="R1333" s="1066">
        <f>COUNTIF(PoderesDeCriatura_Adquiridos,Tablas!O1333)</f>
        <v>0</v>
      </c>
      <c r="S1333" s="184"/>
      <c r="T1333" s="1057"/>
      <c r="W1333" s="1089" t="s">
        <v>1269</v>
      </c>
      <c r="X1333" s="1080"/>
      <c r="Y1333" s="886" t="str">
        <f t="shared" si="275"/>
        <v/>
      </c>
      <c r="Z1333" s="886" t="s">
        <v>7112</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838"/>
      <c r="C1334" s="1061"/>
      <c r="D1334" s="66"/>
      <c r="E1334" s="1064" t="s">
        <v>8337</v>
      </c>
      <c r="F1334" s="85">
        <v>25</v>
      </c>
      <c r="G1334" s="85">
        <v>40</v>
      </c>
      <c r="H1334" s="85">
        <f>COUNTIF(HabilidadesEsenciales_Adquiridas,Tablas!E1334)</f>
        <v>0</v>
      </c>
      <c r="I1334" s="1066">
        <v>1</v>
      </c>
      <c r="J1334" s="184"/>
      <c r="K1334" s="1057"/>
      <c r="M1334" s="336"/>
      <c r="N1334" s="23"/>
      <c r="O1334" s="142" t="s">
        <v>7953</v>
      </c>
      <c r="P1334" s="1059">
        <v>40</v>
      </c>
      <c r="Q1334" s="184">
        <v>100</v>
      </c>
      <c r="R1334" s="1066">
        <f>COUNTIF(PoderesDeCriatura_Adquiridos,Tablas!O1334)</f>
        <v>0</v>
      </c>
      <c r="S1334" s="184"/>
      <c r="T1334" s="1057"/>
      <c r="W1334" s="1089" t="s">
        <v>1253</v>
      </c>
      <c r="X1334" s="1080"/>
      <c r="Y1334" s="886" t="str">
        <f t="shared" si="275"/>
        <v/>
      </c>
      <c r="Z1334" s="886" t="s">
        <v>7112</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838"/>
      <c r="C1335" s="1061"/>
      <c r="D1335" s="66"/>
      <c r="E1335" s="1064" t="s">
        <v>8338</v>
      </c>
      <c r="F1335" s="85">
        <v>30</v>
      </c>
      <c r="G1335" s="85">
        <v>50</v>
      </c>
      <c r="H1335" s="85">
        <f>COUNTIF(HabilidadesEsenciales_Adquiridas,Tablas!E1335)</f>
        <v>0</v>
      </c>
      <c r="I1335" s="1066">
        <v>1</v>
      </c>
      <c r="J1335" s="184"/>
      <c r="K1335" s="1057"/>
      <c r="M1335" s="336"/>
      <c r="N1335" s="23"/>
      <c r="O1335" s="142" t="s">
        <v>7954</v>
      </c>
      <c r="P1335" s="1059">
        <v>0</v>
      </c>
      <c r="Q1335" s="184">
        <v>10</v>
      </c>
      <c r="R1335" s="1066">
        <f>COUNTIF(PoderesDeCriatura_Adquiridos,Tablas!O1335)</f>
        <v>0</v>
      </c>
      <c r="S1335" s="184"/>
      <c r="T1335" s="1057"/>
      <c r="W1335" s="1089" t="s">
        <v>1265</v>
      </c>
      <c r="X1335" s="1080"/>
      <c r="Y1335" s="886" t="str">
        <f t="shared" si="275"/>
        <v/>
      </c>
      <c r="Z1335" s="886" t="s">
        <v>7112</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838"/>
      <c r="C1336" s="1061"/>
      <c r="D1336" s="66"/>
      <c r="E1336" s="1064" t="s">
        <v>8339</v>
      </c>
      <c r="F1336" s="85">
        <v>10</v>
      </c>
      <c r="G1336" s="85">
        <v>10</v>
      </c>
      <c r="H1336" s="85">
        <f>COUNTIF(HabilidadesEsenciales_Adquiridas,Tablas!E1336)</f>
        <v>0</v>
      </c>
      <c r="I1336" s="1066">
        <v>1</v>
      </c>
      <c r="J1336" s="184"/>
      <c r="K1336" s="1057"/>
      <c r="M1336" s="336"/>
      <c r="N1336" s="23"/>
      <c r="O1336" s="142" t="s">
        <v>7955</v>
      </c>
      <c r="P1336" s="1059">
        <v>0</v>
      </c>
      <c r="Q1336" s="184">
        <v>20</v>
      </c>
      <c r="R1336" s="1066">
        <f>COUNTIF(PoderesDeCriatura_Adquiridos,Tablas!O1336)</f>
        <v>0</v>
      </c>
      <c r="S1336" s="184"/>
      <c r="T1336" s="1057"/>
      <c r="W1336" s="1089" t="s">
        <v>1256</v>
      </c>
      <c r="X1336" s="1080"/>
      <c r="Y1336" s="886" t="str">
        <f t="shared" si="275"/>
        <v/>
      </c>
      <c r="Z1336" s="886" t="s">
        <v>7112</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838"/>
      <c r="C1337" s="1061"/>
      <c r="D1337" s="66"/>
      <c r="E1337" s="1064" t="s">
        <v>8340</v>
      </c>
      <c r="F1337" s="85">
        <v>15</v>
      </c>
      <c r="G1337" s="85">
        <v>20</v>
      </c>
      <c r="H1337" s="85">
        <f>COUNTIF(HabilidadesEsenciales_Adquiridas,Tablas!E1337)</f>
        <v>0</v>
      </c>
      <c r="I1337" s="1066">
        <v>1</v>
      </c>
      <c r="J1337" s="184"/>
      <c r="K1337" s="1057"/>
      <c r="M1337" s="336"/>
      <c r="N1337" s="23"/>
      <c r="O1337" s="142" t="s">
        <v>7956</v>
      </c>
      <c r="P1337" s="1059">
        <v>0</v>
      </c>
      <c r="Q1337" s="184">
        <v>30</v>
      </c>
      <c r="R1337" s="1066">
        <f>COUNTIF(PoderesDeCriatura_Adquiridos,Tablas!O1337)</f>
        <v>0</v>
      </c>
      <c r="S1337" s="184"/>
      <c r="T1337" s="1057"/>
      <c r="W1337" s="1089" t="s">
        <v>1266</v>
      </c>
      <c r="X1337" s="1080"/>
      <c r="Y1337" s="886" t="str">
        <f t="shared" si="275"/>
        <v/>
      </c>
      <c r="Z1337" s="886" t="s">
        <v>7112</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838"/>
      <c r="C1338" s="1061"/>
      <c r="D1338" s="66"/>
      <c r="E1338" s="1064" t="s">
        <v>8341</v>
      </c>
      <c r="F1338" s="85">
        <v>20</v>
      </c>
      <c r="G1338" s="85">
        <v>30</v>
      </c>
      <c r="H1338" s="85">
        <f>COUNTIF(HabilidadesEsenciales_Adquiridas,Tablas!E1338)</f>
        <v>0</v>
      </c>
      <c r="I1338" s="1066">
        <v>1</v>
      </c>
      <c r="J1338" s="184"/>
      <c r="K1338" s="1057"/>
      <c r="M1338" s="336"/>
      <c r="N1338" s="23"/>
      <c r="O1338" s="142" t="s">
        <v>7957</v>
      </c>
      <c r="P1338" s="1059">
        <v>10</v>
      </c>
      <c r="Q1338" s="184">
        <v>40</v>
      </c>
      <c r="R1338" s="1066">
        <f>COUNTIF(PoderesDeCriatura_Adquiridos,Tablas!O1338)</f>
        <v>0</v>
      </c>
      <c r="S1338" s="184"/>
      <c r="T1338" s="1057"/>
      <c r="W1338" s="1089" t="s">
        <v>7518</v>
      </c>
      <c r="X1338" s="1080"/>
      <c r="Y1338" s="886" t="str">
        <f t="shared" si="275"/>
        <v>PodHab_Tamañononatural</v>
      </c>
      <c r="Z1338" s="886" t="s">
        <v>2904</v>
      </c>
      <c r="AA1338" s="886" t="s">
        <v>2865</v>
      </c>
      <c r="AB1338" s="886" t="s">
        <v>2866</v>
      </c>
      <c r="AC1338" s="886" t="s">
        <v>3171</v>
      </c>
      <c r="AD1338" s="886" t="s">
        <v>7065</v>
      </c>
      <c r="AE1338" s="886" t="s">
        <v>8412</v>
      </c>
      <c r="AF1338" s="886" t="s">
        <v>8413</v>
      </c>
      <c r="AG1338" s="886" t="s">
        <v>8414</v>
      </c>
      <c r="AH1338" s="886" t="s">
        <v>8415</v>
      </c>
      <c r="AI1338" s="886" t="s">
        <v>8416</v>
      </c>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838"/>
      <c r="C1339" s="1061"/>
      <c r="D1339" s="66"/>
      <c r="E1339" s="1064" t="s">
        <v>8342</v>
      </c>
      <c r="F1339" s="85">
        <v>25</v>
      </c>
      <c r="G1339" s="85">
        <v>40</v>
      </c>
      <c r="H1339" s="85">
        <f>COUNTIF(HabilidadesEsenciales_Adquiridas,Tablas!E1339)</f>
        <v>0</v>
      </c>
      <c r="I1339" s="1066">
        <v>1</v>
      </c>
      <c r="J1339" s="184"/>
      <c r="K1339" s="1057"/>
      <c r="M1339" s="336"/>
      <c r="N1339" s="23"/>
      <c r="O1339" s="142" t="s">
        <v>7958</v>
      </c>
      <c r="P1339" s="1059">
        <v>20</v>
      </c>
      <c r="Q1339" s="184">
        <v>60</v>
      </c>
      <c r="R1339" s="1066">
        <f>COUNTIF(PoderesDeCriatura_Adquiridos,Tablas!O1339)</f>
        <v>0</v>
      </c>
      <c r="S1339" s="184"/>
      <c r="T1339" s="1057"/>
      <c r="W1339" s="1089" t="s">
        <v>1687</v>
      </c>
      <c r="X1339" s="1080"/>
      <c r="Y1339" s="886"/>
      <c r="Z1339" s="886"/>
      <c r="AA1339" s="886"/>
      <c r="AB1339" s="886"/>
      <c r="AC1339" s="886"/>
      <c r="AD1339" s="886"/>
      <c r="AE1339" s="886"/>
      <c r="AF1339" s="886"/>
      <c r="AG1339" s="886"/>
      <c r="AH1339" s="886"/>
      <c r="AI1339" s="886"/>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838"/>
      <c r="C1340" s="1061"/>
      <c r="D1340" s="66"/>
      <c r="E1340" s="1064" t="s">
        <v>8343</v>
      </c>
      <c r="F1340" s="85">
        <v>30</v>
      </c>
      <c r="G1340" s="85">
        <v>50</v>
      </c>
      <c r="H1340" s="85">
        <f>COUNTIF(HabilidadesEsenciales_Adquiridas,Tablas!E1340)</f>
        <v>0</v>
      </c>
      <c r="I1340" s="1066">
        <v>1</v>
      </c>
      <c r="J1340" s="184"/>
      <c r="K1340" s="1057"/>
      <c r="M1340" s="336"/>
      <c r="N1340" s="23"/>
      <c r="O1340" s="142" t="s">
        <v>7959</v>
      </c>
      <c r="P1340" s="1059">
        <v>25</v>
      </c>
      <c r="Q1340" s="184">
        <v>80</v>
      </c>
      <c r="R1340" s="1066">
        <f>COUNTIF(PoderesDeCriatura_Adquiridos,Tablas!O1340)</f>
        <v>0</v>
      </c>
      <c r="S1340" s="184"/>
      <c r="T1340" s="1057"/>
      <c r="W1340" s="1089" t="s">
        <v>1278</v>
      </c>
      <c r="X1340" s="1080"/>
      <c r="Y1340" s="886" t="str">
        <f>IF(Z1340="","",SUBSTITUTE("PodHab_"&amp;W1340," ",""))</f>
        <v/>
      </c>
      <c r="Z1340" s="886" t="s">
        <v>7112</v>
      </c>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838"/>
      <c r="C1341" s="1061"/>
      <c r="D1341" s="66"/>
      <c r="E1341" s="1064" t="s">
        <v>8344</v>
      </c>
      <c r="F1341" s="85">
        <v>10</v>
      </c>
      <c r="G1341" s="85">
        <v>10</v>
      </c>
      <c r="H1341" s="85">
        <f>COUNTIF(HabilidadesEsenciales_Adquiridas,Tablas!E1341)</f>
        <v>0</v>
      </c>
      <c r="I1341" s="1066">
        <v>1</v>
      </c>
      <c r="J1341" s="184"/>
      <c r="K1341" s="1057"/>
      <c r="M1341" s="336"/>
      <c r="N1341" s="23"/>
      <c r="O1341" s="142" t="s">
        <v>1311</v>
      </c>
      <c r="P1341" s="1059">
        <v>20</v>
      </c>
      <c r="Q1341" s="184">
        <v>60</v>
      </c>
      <c r="R1341" s="1066">
        <f>COUNTIF(PoderesDeCriatura_Adquiridos,Tablas!O1341)</f>
        <v>0</v>
      </c>
      <c r="S1341" s="184"/>
      <c r="T1341" s="1057"/>
      <c r="W1341" s="1089" t="s">
        <v>7575</v>
      </c>
      <c r="X1341" s="1080"/>
      <c r="Y1341" s="886" t="str">
        <f>IF(Z1341="","",SUBSTITUTE("PodHab_"&amp;W1341," ",""))</f>
        <v>PodHab_Con.Naturaldevía</v>
      </c>
      <c r="Z1341" s="886" t="s">
        <v>8417</v>
      </c>
      <c r="AA1341" s="886" t="s">
        <v>8418</v>
      </c>
      <c r="AB1341" s="886" t="s">
        <v>8419</v>
      </c>
      <c r="AC1341" s="886" t="s">
        <v>8420</v>
      </c>
      <c r="AD1341" s="886" t="s">
        <v>8421</v>
      </c>
      <c r="AE1341" s="886" t="s">
        <v>8422</v>
      </c>
      <c r="AF1341" s="886" t="s">
        <v>8423</v>
      </c>
      <c r="AG1341" s="886" t="s">
        <v>8424</v>
      </c>
      <c r="AH1341" s="886" t="s">
        <v>8425</v>
      </c>
      <c r="AI1341" s="886" t="s">
        <v>8426</v>
      </c>
      <c r="AJ1341" s="886" t="s">
        <v>8427</v>
      </c>
      <c r="AK1341" s="886" t="s">
        <v>8428</v>
      </c>
      <c r="AL1341" s="886" t="s">
        <v>8429</v>
      </c>
      <c r="AM1341" s="886" t="s">
        <v>8430</v>
      </c>
      <c r="AN1341" s="886" t="s">
        <v>8431</v>
      </c>
      <c r="AO1341" s="886" t="s">
        <v>8432</v>
      </c>
      <c r="AP1341" s="886" t="s">
        <v>8433</v>
      </c>
      <c r="AQ1341" s="1085" t="s">
        <v>8434</v>
      </c>
      <c r="AR1341" s="1085" t="s">
        <v>8435</v>
      </c>
      <c r="AS1341" s="1085" t="s">
        <v>8436</v>
      </c>
      <c r="AT1341" s="1085" t="s">
        <v>8437</v>
      </c>
      <c r="AU1341" s="1085" t="s">
        <v>8438</v>
      </c>
      <c r="AV1341" s="1085" t="s">
        <v>8439</v>
      </c>
      <c r="AW1341" s="1085" t="s">
        <v>8440</v>
      </c>
      <c r="AX1341" s="1085" t="s">
        <v>8441</v>
      </c>
      <c r="AY1341" s="1085" t="s">
        <v>8442</v>
      </c>
      <c r="AZ1341" s="1085" t="s">
        <v>8443</v>
      </c>
      <c r="BA1341" s="1085" t="s">
        <v>8444</v>
      </c>
      <c r="BB1341" s="1085" t="s">
        <v>8445</v>
      </c>
      <c r="BC1341" s="1085" t="s">
        <v>8446</v>
      </c>
      <c r="BD1341" s="1085" t="s">
        <v>8447</v>
      </c>
      <c r="BE1341" s="1085" t="s">
        <v>8448</v>
      </c>
      <c r="BF1341" s="1085" t="s">
        <v>8449</v>
      </c>
      <c r="BG1341" s="1085" t="s">
        <v>8450</v>
      </c>
      <c r="BH1341" s="1085" t="s">
        <v>8451</v>
      </c>
      <c r="BI1341" s="1085" t="s">
        <v>8452</v>
      </c>
      <c r="BJ1341" s="1085" t="s">
        <v>8453</v>
      </c>
      <c r="BK1341" s="1085" t="s">
        <v>8454</v>
      </c>
      <c r="BL1341" s="1085" t="s">
        <v>8455</v>
      </c>
      <c r="BM1341" s="1085" t="s">
        <v>8456</v>
      </c>
      <c r="BN1341" s="1085" t="s">
        <v>8457</v>
      </c>
      <c r="BO1341" s="1085" t="s">
        <v>8458</v>
      </c>
      <c r="BP1341" s="1085" t="s">
        <v>8459</v>
      </c>
      <c r="BQ1341" s="1085" t="s">
        <v>8460</v>
      </c>
      <c r="BR1341" s="1085" t="s">
        <v>8461</v>
      </c>
      <c r="BS1341" s="1085" t="s">
        <v>8462</v>
      </c>
      <c r="BT1341" s="1085" t="s">
        <v>8463</v>
      </c>
      <c r="BU1341" s="1085" t="s">
        <v>8464</v>
      </c>
      <c r="BV1341" s="1085" t="s">
        <v>8465</v>
      </c>
      <c r="BW1341" s="1085" t="s">
        <v>8466</v>
      </c>
      <c r="BX1341" s="1085" t="s">
        <v>8467</v>
      </c>
      <c r="BY1341" s="1085" t="s">
        <v>8468</v>
      </c>
      <c r="BZ1341" s="1085" t="s">
        <v>8469</v>
      </c>
      <c r="CA1341" s="1085" t="s">
        <v>8470</v>
      </c>
      <c r="CB1341" s="1092" t="s">
        <v>8471</v>
      </c>
    </row>
    <row r="1342" spans="1:80" ht="12.75" customHeight="1" x14ac:dyDescent="0.2">
      <c r="A1342" s="237">
        <v>1342</v>
      </c>
      <c r="B1342" s="5838"/>
      <c r="C1342" s="1061"/>
      <c r="D1342" s="66"/>
      <c r="E1342" s="1064" t="s">
        <v>8345</v>
      </c>
      <c r="F1342" s="85">
        <v>15</v>
      </c>
      <c r="G1342" s="85">
        <v>20</v>
      </c>
      <c r="H1342" s="85">
        <f>COUNTIF(HabilidadesEsenciales_Adquiridas,Tablas!E1342)</f>
        <v>0</v>
      </c>
      <c r="I1342" s="1066">
        <v>1</v>
      </c>
      <c r="J1342" s="184"/>
      <c r="K1342" s="1057"/>
      <c r="M1342" s="336"/>
      <c r="N1342" s="23"/>
      <c r="O1342" s="142" t="s">
        <v>8855</v>
      </c>
      <c r="P1342" s="1059">
        <v>10</v>
      </c>
      <c r="Q1342" s="184">
        <v>10</v>
      </c>
      <c r="R1342" s="1066">
        <f>COUNTIF(PoderesDeCriatura_Adquiridos,Tablas!O1342)</f>
        <v>0</v>
      </c>
      <c r="S1342" s="184"/>
      <c r="T1342" s="1057"/>
      <c r="W1342" s="1089" t="s">
        <v>2364</v>
      </c>
      <c r="X1342" s="1079"/>
      <c r="Y1342" s="886"/>
      <c r="Z1342" s="886"/>
      <c r="AA1342" s="886"/>
      <c r="AB1342" s="886"/>
      <c r="AC1342" s="886"/>
      <c r="AD1342" s="886"/>
      <c r="AE1342" s="886"/>
      <c r="AF1342" s="886"/>
      <c r="AG1342" s="886"/>
      <c r="AH1342" s="886"/>
      <c r="AI1342" s="886"/>
      <c r="AJ1342" s="886"/>
      <c r="AK1342" s="886"/>
      <c r="AL1342" s="886"/>
      <c r="AM1342" s="886"/>
      <c r="AN1342" s="886"/>
      <c r="AO1342" s="886"/>
      <c r="AP1342" s="886"/>
      <c r="AQ1342" s="1085"/>
      <c r="AR1342" s="1085"/>
      <c r="AS1342" s="1085"/>
      <c r="AT1342" s="1085"/>
      <c r="AU1342" s="1085"/>
      <c r="AV1342" s="1085"/>
      <c r="AW1342" s="1085"/>
      <c r="AX1342" s="1085"/>
      <c r="AY1342" s="1085"/>
      <c r="AZ1342" s="1085"/>
      <c r="BA1342" s="1085"/>
      <c r="BB1342" s="1085"/>
      <c r="BC1342" s="1085"/>
      <c r="BD1342" s="1085"/>
      <c r="BE1342" s="1085"/>
      <c r="BF1342" s="1085"/>
      <c r="BG1342" s="1085"/>
      <c r="BH1342" s="1085"/>
      <c r="BI1342" s="1085"/>
      <c r="BJ1342" s="1085"/>
      <c r="BK1342" s="1085"/>
      <c r="BL1342" s="1085"/>
      <c r="BM1342" s="1085"/>
      <c r="BN1342" s="1085"/>
      <c r="BO1342" s="1085"/>
      <c r="BP1342" s="1085"/>
      <c r="BQ1342" s="1085"/>
      <c r="BR1342" s="1085"/>
      <c r="BS1342" s="1085"/>
      <c r="BT1342" s="1085"/>
      <c r="BU1342" s="1085"/>
      <c r="BV1342" s="1085"/>
      <c r="BW1342" s="1085"/>
      <c r="BX1342" s="1085"/>
      <c r="BY1342" s="1085"/>
      <c r="BZ1342" s="1085"/>
      <c r="CA1342" s="1085"/>
      <c r="CB1342" s="1085"/>
    </row>
    <row r="1343" spans="1:80" ht="12.75" customHeight="1" x14ac:dyDescent="0.2">
      <c r="A1343" s="237">
        <v>1343</v>
      </c>
      <c r="B1343" s="5838"/>
      <c r="C1343" s="1061"/>
      <c r="D1343" s="66"/>
      <c r="E1343" s="1064" t="s">
        <v>8346</v>
      </c>
      <c r="F1343" s="85">
        <v>20</v>
      </c>
      <c r="G1343" s="85">
        <v>30</v>
      </c>
      <c r="H1343" s="85">
        <f>COUNTIF(HabilidadesEsenciales_Adquiridas,Tablas!E1343)</f>
        <v>0</v>
      </c>
      <c r="I1343" s="1066">
        <v>1</v>
      </c>
      <c r="J1343" s="184"/>
      <c r="K1343" s="1057"/>
      <c r="M1343" s="336"/>
      <c r="N1343" s="23"/>
      <c r="O1343" s="142" t="s">
        <v>8856</v>
      </c>
      <c r="P1343" s="1059">
        <v>10</v>
      </c>
      <c r="Q1343" s="184">
        <v>10</v>
      </c>
      <c r="R1343" s="1066">
        <f>COUNTIF(PoderesDeCriatura_Adquiridos,Tablas!O1343)</f>
        <v>0</v>
      </c>
      <c r="S1343" s="184"/>
      <c r="T1343" s="1057"/>
      <c r="W1343" s="1089" t="s">
        <v>2363</v>
      </c>
      <c r="X1343" s="1080"/>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333"/>
      <c r="BO1343" s="333"/>
      <c r="BP1343" s="333"/>
      <c r="BQ1343" s="333"/>
      <c r="BR1343" s="333"/>
      <c r="BS1343" s="333"/>
      <c r="BT1343" s="333"/>
      <c r="BU1343" s="333"/>
      <c r="BV1343" s="333"/>
      <c r="BW1343" s="333"/>
      <c r="BX1343" s="333"/>
      <c r="BY1343" s="333"/>
      <c r="BZ1343" s="333"/>
      <c r="CA1343" s="333"/>
      <c r="CB1343" s="654"/>
    </row>
    <row r="1344" spans="1:80" ht="12.75" customHeight="1" x14ac:dyDescent="0.2">
      <c r="A1344" s="237">
        <v>1344</v>
      </c>
      <c r="B1344" s="5838"/>
      <c r="C1344" s="1061"/>
      <c r="D1344" s="66"/>
      <c r="E1344" s="1064" t="s">
        <v>8347</v>
      </c>
      <c r="F1344" s="85">
        <v>25</v>
      </c>
      <c r="G1344" s="85">
        <v>40</v>
      </c>
      <c r="H1344" s="85">
        <f>COUNTIF(HabilidadesEsenciales_Adquiridas,Tablas!E1344)</f>
        <v>0</v>
      </c>
      <c r="I1344" s="1066">
        <v>1</v>
      </c>
      <c r="J1344" s="184"/>
      <c r="K1344" s="1057"/>
      <c r="M1344" s="336"/>
      <c r="N1344" s="23"/>
      <c r="O1344" s="142" t="s">
        <v>8857</v>
      </c>
      <c r="P1344" s="1059">
        <v>10</v>
      </c>
      <c r="Q1344" s="184">
        <v>10</v>
      </c>
      <c r="R1344" s="1066">
        <f>COUNTIF(PoderesDeCriatura_Adquiridos,Tablas!O1344)</f>
        <v>0</v>
      </c>
      <c r="S1344" s="184"/>
      <c r="T1344" s="1057"/>
      <c r="W1344" s="1089" t="s">
        <v>1280</v>
      </c>
      <c r="X1344" s="1080"/>
      <c r="Y1344" s="886" t="str">
        <f t="shared" ref="Y1344:Y1349" si="276">IF(Z1344="","",SUBSTITUTE("PodHab_"&amp;W1344," ",""))</f>
        <v/>
      </c>
      <c r="Z1344" s="886" t="s">
        <v>7112</v>
      </c>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838"/>
      <c r="C1345" s="1061"/>
      <c r="D1345" s="66"/>
      <c r="E1345" s="1064" t="s">
        <v>8348</v>
      </c>
      <c r="F1345" s="85">
        <v>30</v>
      </c>
      <c r="G1345" s="85">
        <v>50</v>
      </c>
      <c r="H1345" s="85">
        <f>COUNTIF(HabilidadesEsenciales_Adquiridas,Tablas!E1345)</f>
        <v>0</v>
      </c>
      <c r="I1345" s="1066">
        <v>1</v>
      </c>
      <c r="J1345" s="184"/>
      <c r="K1345" s="1057"/>
      <c r="M1345" s="336"/>
      <c r="N1345" s="23"/>
      <c r="O1345" s="142" t="s">
        <v>8858</v>
      </c>
      <c r="P1345" s="1059">
        <v>10</v>
      </c>
      <c r="Q1345" s="184">
        <v>10</v>
      </c>
      <c r="R1345" s="1066">
        <f>COUNTIF(PoderesDeCriatura_Adquiridos,Tablas!O1345)</f>
        <v>0</v>
      </c>
      <c r="S1345" s="184"/>
      <c r="T1345" s="1057"/>
      <c r="W1345" s="1089" t="s">
        <v>1279</v>
      </c>
      <c r="X1345" s="1080"/>
      <c r="Y1345" s="886" t="str">
        <f t="shared" si="276"/>
        <v/>
      </c>
      <c r="Z1345" s="886" t="s">
        <v>7112</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838"/>
      <c r="C1346" s="1061"/>
      <c r="D1346" s="66"/>
      <c r="E1346" s="1064" t="s">
        <v>8349</v>
      </c>
      <c r="F1346" s="85">
        <v>10</v>
      </c>
      <c r="G1346" s="85">
        <v>10</v>
      </c>
      <c r="H1346" s="85">
        <f>COUNTIF(HabilidadesEsenciales_Adquiridas,Tablas!E1346)</f>
        <v>0</v>
      </c>
      <c r="I1346" s="1066">
        <v>1</v>
      </c>
      <c r="J1346" s="184"/>
      <c r="K1346" s="1057"/>
      <c r="M1346" s="336"/>
      <c r="N1346" s="23"/>
      <c r="O1346" s="142" t="s">
        <v>8859</v>
      </c>
      <c r="P1346" s="1059">
        <v>10</v>
      </c>
      <c r="Q1346" s="184">
        <v>10</v>
      </c>
      <c r="R1346" s="1066">
        <f>COUNTIF(PoderesDeCriatura_Adquiridos,Tablas!O1346)</f>
        <v>0</v>
      </c>
      <c r="S1346" s="184"/>
      <c r="T1346" s="1057"/>
      <c r="W1346" s="1089" t="s">
        <v>1281</v>
      </c>
      <c r="X1346" s="1080"/>
      <c r="Y1346" s="886" t="str">
        <f t="shared" si="276"/>
        <v/>
      </c>
      <c r="Z1346" s="886" t="s">
        <v>7112</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838"/>
      <c r="C1347" s="1061"/>
      <c r="D1347" s="66"/>
      <c r="E1347" s="1064" t="s">
        <v>8350</v>
      </c>
      <c r="F1347" s="85">
        <v>15</v>
      </c>
      <c r="G1347" s="85">
        <v>20</v>
      </c>
      <c r="H1347" s="85">
        <f>COUNTIF(HabilidadesEsenciales_Adquiridas,Tablas!E1347)</f>
        <v>0</v>
      </c>
      <c r="I1347" s="1066">
        <v>1</v>
      </c>
      <c r="J1347" s="184"/>
      <c r="K1347" s="1057"/>
      <c r="M1347" s="336"/>
      <c r="N1347" s="23"/>
      <c r="O1347" s="142" t="s">
        <v>8860</v>
      </c>
      <c r="P1347" s="1059">
        <v>10</v>
      </c>
      <c r="Q1347" s="184">
        <v>10</v>
      </c>
      <c r="R1347" s="1066">
        <f>COUNTIF(PoderesDeCriatura_Adquiridos,Tablas!O1347)</f>
        <v>0</v>
      </c>
      <c r="S1347" s="184"/>
      <c r="T1347" s="1057"/>
      <c r="W1347" s="1089" t="s">
        <v>2378</v>
      </c>
      <c r="X1347" s="1080"/>
      <c r="Y1347" s="886" t="str">
        <f t="shared" si="276"/>
        <v/>
      </c>
      <c r="Z1347" s="886" t="s">
        <v>7112</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838"/>
      <c r="C1348" s="1061"/>
      <c r="D1348" s="66"/>
      <c r="E1348" s="1064" t="s">
        <v>8351</v>
      </c>
      <c r="F1348" s="85">
        <v>20</v>
      </c>
      <c r="G1348" s="85">
        <v>30</v>
      </c>
      <c r="H1348" s="85">
        <f>COUNTIF(HabilidadesEsenciales_Adquiridas,Tablas!E1348)</f>
        <v>0</v>
      </c>
      <c r="I1348" s="1066">
        <v>1</v>
      </c>
      <c r="J1348" s="184"/>
      <c r="K1348" s="1057"/>
      <c r="M1348" s="336"/>
      <c r="N1348" s="23"/>
      <c r="O1348" s="142" t="s">
        <v>1312</v>
      </c>
      <c r="P1348" s="1059"/>
      <c r="Q1348" s="184"/>
      <c r="R1348" s="1066"/>
      <c r="S1348" s="184"/>
      <c r="T1348" s="1057"/>
      <c r="W1348" s="1089" t="s">
        <v>2377</v>
      </c>
      <c r="X1348" s="1080"/>
      <c r="Y1348" s="886" t="str">
        <f t="shared" si="276"/>
        <v/>
      </c>
      <c r="Z1348" s="886" t="s">
        <v>7112</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838"/>
      <c r="C1349" s="1061"/>
      <c r="D1349" s="66"/>
      <c r="E1349" s="1064" t="s">
        <v>8352</v>
      </c>
      <c r="F1349" s="85">
        <v>25</v>
      </c>
      <c r="G1349" s="85">
        <v>40</v>
      </c>
      <c r="H1349" s="85">
        <f>COUNTIF(HabilidadesEsenciales_Adquiridas,Tablas!E1349)</f>
        <v>0</v>
      </c>
      <c r="I1349" s="1066">
        <v>1</v>
      </c>
      <c r="J1349" s="184"/>
      <c r="K1349" s="1057"/>
      <c r="M1349" s="336"/>
      <c r="N1349" s="23"/>
      <c r="O1349" s="142" t="s">
        <v>7960</v>
      </c>
      <c r="P1349" s="1059">
        <v>0</v>
      </c>
      <c r="Q1349" s="184">
        <v>20</v>
      </c>
      <c r="R1349" s="1066">
        <f>COUNTIF(PoderesDeCriatura_Adquiridos,Tablas!O1349)</f>
        <v>0</v>
      </c>
      <c r="S1349" s="184"/>
      <c r="T1349" s="1057"/>
      <c r="W1349" s="1089" t="s">
        <v>2396</v>
      </c>
      <c r="X1349" s="1080"/>
      <c r="Y1349" s="886" t="str">
        <f t="shared" si="276"/>
        <v/>
      </c>
      <c r="Z1349" s="886" t="s">
        <v>7112</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838"/>
      <c r="C1350" s="1061"/>
      <c r="D1350" s="66"/>
      <c r="E1350" s="1064" t="s">
        <v>8353</v>
      </c>
      <c r="F1350" s="85">
        <v>30</v>
      </c>
      <c r="G1350" s="85">
        <v>50</v>
      </c>
      <c r="H1350" s="85">
        <f>COUNTIF(HabilidadesEsenciales_Adquiridas,Tablas!E1350)</f>
        <v>0</v>
      </c>
      <c r="I1350" s="1066">
        <v>1</v>
      </c>
      <c r="J1350" s="184"/>
      <c r="K1350" s="1057"/>
      <c r="M1350" s="336"/>
      <c r="N1350" s="23"/>
      <c r="O1350" s="142" t="s">
        <v>7961</v>
      </c>
      <c r="P1350" s="1059">
        <v>5</v>
      </c>
      <c r="Q1350" s="184">
        <v>20</v>
      </c>
      <c r="R1350" s="1066">
        <f>COUNTIF(PoderesDeCriatura_Adquiridos,Tablas!O1350)</f>
        <v>0</v>
      </c>
      <c r="S1350" s="184"/>
      <c r="T1350" s="1057"/>
      <c r="W1350" s="1089" t="s">
        <v>7520</v>
      </c>
      <c r="X1350" s="1080"/>
      <c r="Y1350" s="886" t="s">
        <v>7523</v>
      </c>
      <c r="Z1350" s="886" t="s">
        <v>103</v>
      </c>
      <c r="AA1350" s="886" t="s">
        <v>105</v>
      </c>
      <c r="AB1350" s="886" t="s">
        <v>101</v>
      </c>
      <c r="AC1350" s="886" t="s">
        <v>99</v>
      </c>
      <c r="AD1350" s="886" t="s">
        <v>108</v>
      </c>
      <c r="AE1350" s="886" t="s">
        <v>107</v>
      </c>
      <c r="AF1350" s="886" t="s">
        <v>111</v>
      </c>
      <c r="AG1350" s="886" t="s">
        <v>109</v>
      </c>
      <c r="AH1350" s="886" t="s">
        <v>112</v>
      </c>
      <c r="AI1350" s="886" t="s">
        <v>113</v>
      </c>
      <c r="AJ1350" s="886" t="s">
        <v>115</v>
      </c>
      <c r="AK1350" s="886" t="s">
        <v>1703</v>
      </c>
      <c r="AL1350" s="886" t="s">
        <v>116</v>
      </c>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838"/>
      <c r="C1351" s="1061"/>
      <c r="D1351" s="66"/>
      <c r="E1351" s="1064" t="s">
        <v>8354</v>
      </c>
      <c r="F1351" s="85">
        <v>10</v>
      </c>
      <c r="G1351" s="85">
        <v>10</v>
      </c>
      <c r="H1351" s="85">
        <f>COUNTIF(HabilidadesEsenciales_Adquiridas,Tablas!E1351)</f>
        <v>0</v>
      </c>
      <c r="I1351" s="1066">
        <v>1</v>
      </c>
      <c r="J1351" s="184"/>
      <c r="K1351" s="1057"/>
      <c r="M1351" s="336"/>
      <c r="N1351" s="23"/>
      <c r="O1351" s="142" t="s">
        <v>7962</v>
      </c>
      <c r="P1351" s="1059">
        <v>15</v>
      </c>
      <c r="Q1351" s="184">
        <v>10</v>
      </c>
      <c r="R1351" s="1066">
        <f>COUNTIF(PoderesDeCriatura_Adquiridos,Tablas!O1351)</f>
        <v>0</v>
      </c>
      <c r="S1351" s="184"/>
      <c r="T1351" s="1057"/>
      <c r="W1351" s="1089" t="s">
        <v>1769</v>
      </c>
      <c r="X1351" s="1080"/>
      <c r="Y1351" s="886"/>
      <c r="Z1351" s="886"/>
      <c r="AA1351" s="886"/>
      <c r="AB1351" s="886"/>
      <c r="AC1351" s="886"/>
      <c r="AD1351" s="886"/>
      <c r="AE1351" s="886"/>
      <c r="AF1351" s="886"/>
      <c r="AG1351" s="886"/>
      <c r="AH1351" s="886"/>
      <c r="AI1351" s="886"/>
      <c r="AJ1351" s="886"/>
      <c r="AK1351" s="886"/>
      <c r="AL1351" s="886"/>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838"/>
      <c r="C1352" s="1061"/>
      <c r="D1352" s="66"/>
      <c r="E1352" s="1064" t="s">
        <v>8355</v>
      </c>
      <c r="F1352" s="85">
        <v>15</v>
      </c>
      <c r="G1352" s="85">
        <v>20</v>
      </c>
      <c r="H1352" s="85">
        <f>COUNTIF(HabilidadesEsenciales_Adquiridas,Tablas!E1352)</f>
        <v>0</v>
      </c>
      <c r="I1352" s="1066">
        <v>1</v>
      </c>
      <c r="J1352" s="184"/>
      <c r="K1352" s="1057"/>
      <c r="M1352" s="336"/>
      <c r="N1352" s="23"/>
      <c r="O1352" s="142" t="s">
        <v>7963</v>
      </c>
      <c r="P1352" s="1059">
        <v>0</v>
      </c>
      <c r="Q1352" s="184">
        <v>10</v>
      </c>
      <c r="R1352" s="1066">
        <f>COUNTIF(PoderesDeCriatura_Adquiridos,Tablas!O1352)</f>
        <v>0</v>
      </c>
      <c r="S1352" s="184"/>
      <c r="T1352" s="1057"/>
      <c r="W1352" s="1089" t="s">
        <v>1283</v>
      </c>
      <c r="X1352" s="1079" t="s">
        <v>7523</v>
      </c>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838"/>
      <c r="C1353" s="1061"/>
      <c r="D1353" s="66"/>
      <c r="E1353" s="1064" t="s">
        <v>8356</v>
      </c>
      <c r="F1353" s="85">
        <v>20</v>
      </c>
      <c r="G1353" s="85">
        <v>30</v>
      </c>
      <c r="H1353" s="85">
        <f>COUNTIF(HabilidadesEsenciales_Adquiridas,Tablas!E1353)</f>
        <v>0</v>
      </c>
      <c r="I1353" s="1066">
        <v>1</v>
      </c>
      <c r="J1353" s="184"/>
      <c r="K1353" s="1057"/>
      <c r="M1353" s="336"/>
      <c r="N1353" s="23"/>
      <c r="O1353" s="142" t="s">
        <v>7964</v>
      </c>
      <c r="P1353" s="1059">
        <v>20</v>
      </c>
      <c r="Q1353" s="184">
        <v>30</v>
      </c>
      <c r="R1353" s="1066">
        <f>COUNTIF(PoderesDeCriatura_Adquiridos,Tablas!O1353)</f>
        <v>0</v>
      </c>
      <c r="S1353" s="184"/>
      <c r="T1353" s="1057"/>
      <c r="W1353" s="1089" t="s">
        <v>1282</v>
      </c>
      <c r="X1353" s="1080"/>
      <c r="Y1353" s="886" t="str">
        <f t="shared" ref="Y1353:Y1390" si="277">IF(Z1353="","",SUBSTITUTE("PodHab_"&amp;W1353," ",""))</f>
        <v/>
      </c>
      <c r="Z1353" s="886" t="s">
        <v>7112</v>
      </c>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838"/>
      <c r="C1354" s="1061"/>
      <c r="D1354" s="66"/>
      <c r="E1354" s="1064" t="s">
        <v>8357</v>
      </c>
      <c r="F1354" s="85">
        <v>25</v>
      </c>
      <c r="G1354" s="85">
        <v>40</v>
      </c>
      <c r="H1354" s="85">
        <f>COUNTIF(HabilidadesEsenciales_Adquiridas,Tablas!E1354)</f>
        <v>0</v>
      </c>
      <c r="I1354" s="1066">
        <v>1</v>
      </c>
      <c r="J1354" s="184"/>
      <c r="K1354" s="1057"/>
      <c r="M1354" s="336"/>
      <c r="N1354" s="23"/>
      <c r="O1354" s="142" t="s">
        <v>7965</v>
      </c>
      <c r="P1354" s="1059">
        <v>10</v>
      </c>
      <c r="Q1354" s="184">
        <v>10</v>
      </c>
      <c r="R1354" s="1066">
        <f>COUNTIF(PoderesDeCriatura_Adquiridos,Tablas!O1354)</f>
        <v>0</v>
      </c>
      <c r="S1354" s="184"/>
      <c r="T1354" s="1057"/>
      <c r="W1354" s="1089" t="s">
        <v>1284</v>
      </c>
      <c r="X1354" s="1080"/>
      <c r="Y1354" s="886" t="str">
        <f t="shared" si="277"/>
        <v/>
      </c>
      <c r="Z1354" s="886" t="s">
        <v>7112</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838"/>
      <c r="C1355" s="1061"/>
      <c r="D1355" s="66"/>
      <c r="E1355" s="1064" t="s">
        <v>8358</v>
      </c>
      <c r="F1355" s="85">
        <v>30</v>
      </c>
      <c r="G1355" s="85">
        <v>50</v>
      </c>
      <c r="H1355" s="85">
        <f>COUNTIF(HabilidadesEsenciales_Adquiridas,Tablas!E1355)</f>
        <v>0</v>
      </c>
      <c r="I1355" s="1066">
        <v>1</v>
      </c>
      <c r="J1355" s="184"/>
      <c r="K1355" s="1057"/>
      <c r="M1355" s="336"/>
      <c r="N1355" s="23"/>
      <c r="O1355" s="142" t="s">
        <v>7966</v>
      </c>
      <c r="P1355" s="1059">
        <v>10</v>
      </c>
      <c r="Q1355" s="184">
        <v>10</v>
      </c>
      <c r="R1355" s="1066">
        <f>COUNTIF(PoderesDeCriatura_Adquiridos,Tablas!O1355)</f>
        <v>0</v>
      </c>
      <c r="S1355" s="184"/>
      <c r="T1355" s="1057"/>
      <c r="W1355" s="1089" t="s">
        <v>1289</v>
      </c>
      <c r="X1355" s="1080"/>
      <c r="Y1355" s="886" t="str">
        <f t="shared" si="277"/>
        <v/>
      </c>
      <c r="Z1355" s="886" t="s">
        <v>7112</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838"/>
      <c r="C1356" s="1061"/>
      <c r="D1356" s="66"/>
      <c r="E1356" s="1064" t="s">
        <v>2363</v>
      </c>
      <c r="F1356" s="85">
        <v>5</v>
      </c>
      <c r="G1356" s="85">
        <v>20</v>
      </c>
      <c r="H1356" s="85">
        <f>COUNTIF(HabilidadesEsenciales_Adquiridas,Tablas!E1356)</f>
        <v>0</v>
      </c>
      <c r="I1356" s="1066"/>
      <c r="J1356" s="184"/>
      <c r="K1356" s="1057"/>
      <c r="M1356" s="336"/>
      <c r="N1356" s="23"/>
      <c r="O1356" s="142" t="s">
        <v>7967</v>
      </c>
      <c r="P1356" s="1059">
        <v>10</v>
      </c>
      <c r="Q1356" s="184">
        <v>20</v>
      </c>
      <c r="R1356" s="1066">
        <f>COUNTIF(PoderesDeCriatura_Adquiridos,Tablas!O1356)</f>
        <v>0</v>
      </c>
      <c r="S1356" s="184"/>
      <c r="T1356" s="1057"/>
      <c r="W1356" s="1089" t="s">
        <v>2413</v>
      </c>
      <c r="X1356" s="1080"/>
      <c r="Y1356" s="886" t="str">
        <f t="shared" si="277"/>
        <v/>
      </c>
      <c r="Z1356" s="886" t="s">
        <v>7112</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838"/>
      <c r="C1357" s="1061"/>
      <c r="D1357" s="66"/>
      <c r="E1357" s="1064" t="s">
        <v>2364</v>
      </c>
      <c r="F1357" s="85">
        <v>5</v>
      </c>
      <c r="G1357" s="85">
        <v>20</v>
      </c>
      <c r="H1357" s="85">
        <f>COUNTIF(HabilidadesEsenciales_Adquiridas,Tablas!E1357)</f>
        <v>0</v>
      </c>
      <c r="I1357" s="1066"/>
      <c r="J1357" s="184"/>
      <c r="K1357" s="1057"/>
      <c r="M1357" s="336"/>
      <c r="N1357" s="23"/>
      <c r="O1357" s="142" t="s">
        <v>7968</v>
      </c>
      <c r="P1357" s="1059">
        <v>15</v>
      </c>
      <c r="Q1357" s="184">
        <v>40</v>
      </c>
      <c r="R1357" s="1066">
        <f>COUNTIF(PoderesDeCriatura_Adquiridos,Tablas!O1357)</f>
        <v>0</v>
      </c>
      <c r="S1357" s="184"/>
      <c r="T1357" s="1057"/>
      <c r="W1357" s="1089" t="s">
        <v>1287</v>
      </c>
      <c r="X1357" s="1080"/>
      <c r="Y1357" s="886" t="str">
        <f t="shared" si="277"/>
        <v/>
      </c>
      <c r="Z1357" s="886" t="s">
        <v>7112</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838"/>
      <c r="C1358" s="1061"/>
      <c r="D1358" s="66"/>
      <c r="E1358" s="1064" t="s">
        <v>1280</v>
      </c>
      <c r="F1358" s="85">
        <v>5</v>
      </c>
      <c r="G1358" s="85">
        <v>20</v>
      </c>
      <c r="H1358" s="85">
        <f>COUNTIF(HabilidadesEsenciales_Adquiridas,Tablas!E1358)</f>
        <v>0</v>
      </c>
      <c r="I1358" s="1066">
        <v>1</v>
      </c>
      <c r="J1358" s="184"/>
      <c r="K1358" s="1057"/>
      <c r="M1358" s="336"/>
      <c r="N1358" s="23"/>
      <c r="O1358" s="142" t="s">
        <v>7969</v>
      </c>
      <c r="P1358" s="1059">
        <v>15</v>
      </c>
      <c r="Q1358" s="184">
        <v>60</v>
      </c>
      <c r="R1358" s="1066">
        <f>COUNTIF(PoderesDeCriatura_Adquiridos,Tablas!O1358)</f>
        <v>0</v>
      </c>
      <c r="S1358" s="184"/>
      <c r="T1358" s="1057"/>
      <c r="W1358" s="1089" t="s">
        <v>1286</v>
      </c>
      <c r="X1358" s="1080"/>
      <c r="Y1358" s="886" t="str">
        <f t="shared" si="277"/>
        <v/>
      </c>
      <c r="Z1358" s="886" t="s">
        <v>7112</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838"/>
      <c r="C1359" s="1061"/>
      <c r="D1359" s="66"/>
      <c r="E1359" s="1064" t="s">
        <v>1281</v>
      </c>
      <c r="F1359" s="85">
        <v>0</v>
      </c>
      <c r="G1359" s="85">
        <v>0</v>
      </c>
      <c r="H1359" s="85"/>
      <c r="I1359" s="1066"/>
      <c r="J1359" s="184"/>
      <c r="K1359" s="1057"/>
      <c r="M1359" s="336"/>
      <c r="N1359" s="23"/>
      <c r="O1359" s="142" t="s">
        <v>7970</v>
      </c>
      <c r="P1359" s="1059">
        <v>20</v>
      </c>
      <c r="Q1359" s="184">
        <v>80</v>
      </c>
      <c r="R1359" s="1066">
        <f>COUNTIF(PoderesDeCriatura_Adquiridos,Tablas!O1359)</f>
        <v>0</v>
      </c>
      <c r="S1359" s="184"/>
      <c r="T1359" s="1057"/>
      <c r="W1359" s="1089" t="s">
        <v>1291</v>
      </c>
      <c r="X1359" s="1080"/>
      <c r="Y1359" s="886" t="str">
        <f t="shared" si="277"/>
        <v/>
      </c>
      <c r="Z1359" s="886" t="s">
        <v>7112</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838"/>
      <c r="C1360" s="1061"/>
      <c r="D1360" s="66"/>
      <c r="E1360" s="1064" t="s">
        <v>1769</v>
      </c>
      <c r="F1360" s="85">
        <v>5</v>
      </c>
      <c r="G1360" s="85">
        <v>30</v>
      </c>
      <c r="H1360" s="85">
        <f>COUNTIF(HabilidadesEsenciales_Adquiridas,Tablas!E1360)</f>
        <v>0</v>
      </c>
      <c r="I1360" s="1066"/>
      <c r="J1360" s="184"/>
      <c r="K1360" s="1057"/>
      <c r="M1360" s="336"/>
      <c r="N1360" s="23"/>
      <c r="O1360" s="142" t="s">
        <v>7971</v>
      </c>
      <c r="P1360" s="1059">
        <v>20</v>
      </c>
      <c r="Q1360" s="184">
        <v>100</v>
      </c>
      <c r="R1360" s="1066">
        <f>COUNTIF(PoderesDeCriatura_Adquiridos,Tablas!O1360)</f>
        <v>0</v>
      </c>
      <c r="S1360" s="184"/>
      <c r="T1360" s="1057"/>
      <c r="W1360" s="1089" t="s">
        <v>1290</v>
      </c>
      <c r="X1360" s="1080"/>
      <c r="Y1360" s="886" t="str">
        <f t="shared" si="277"/>
        <v/>
      </c>
      <c r="Z1360" s="886" t="s">
        <v>7112</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838"/>
      <c r="C1361" s="1061"/>
      <c r="D1361" s="66"/>
      <c r="E1361" s="1064" t="s">
        <v>1282</v>
      </c>
      <c r="F1361" s="85">
        <v>5</v>
      </c>
      <c r="G1361" s="85">
        <v>30</v>
      </c>
      <c r="H1361" s="85">
        <f>COUNTIF(HabilidadesEsenciales_Adquiridas,Tablas!E1361)</f>
        <v>0</v>
      </c>
      <c r="I1361" s="1066"/>
      <c r="J1361" s="184"/>
      <c r="K1361" s="1057"/>
      <c r="M1361" s="336"/>
      <c r="N1361" s="23"/>
      <c r="O1361" s="142" t="s">
        <v>7972</v>
      </c>
      <c r="P1361" s="1059">
        <v>25</v>
      </c>
      <c r="Q1361" s="184">
        <v>120</v>
      </c>
      <c r="R1361" s="1066">
        <f>COUNTIF(PoderesDeCriatura_Adquiridos,Tablas!O1361)</f>
        <v>0</v>
      </c>
      <c r="S1361" s="184"/>
      <c r="T1361" s="1057"/>
      <c r="W1361" s="1089" t="s">
        <v>1288</v>
      </c>
      <c r="X1361" s="1080"/>
      <c r="Y1361" s="886" t="str">
        <f t="shared" si="277"/>
        <v/>
      </c>
      <c r="Z1361" s="886" t="s">
        <v>7112</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838"/>
      <c r="C1362" s="1061"/>
      <c r="D1362" s="66"/>
      <c r="E1362" s="1064" t="s">
        <v>1283</v>
      </c>
      <c r="F1362" s="85">
        <v>5</v>
      </c>
      <c r="G1362" s="85">
        <v>20</v>
      </c>
      <c r="H1362" s="85">
        <f>COUNTIF(HabilidadesEsenciales_Adquiridas,Tablas!E1362)</f>
        <v>0</v>
      </c>
      <c r="I1362" s="1066"/>
      <c r="J1362" s="184"/>
      <c r="K1362" s="1057"/>
      <c r="M1362" s="336"/>
      <c r="N1362" s="23"/>
      <c r="O1362" s="142" t="s">
        <v>7973</v>
      </c>
      <c r="P1362" s="1059">
        <v>30</v>
      </c>
      <c r="Q1362" s="184">
        <v>140</v>
      </c>
      <c r="R1362" s="1066">
        <f>COUNTIF(PoderesDeCriatura_Adquiridos,Tablas!O1362)</f>
        <v>0</v>
      </c>
      <c r="S1362" s="184"/>
      <c r="T1362" s="1057"/>
      <c r="W1362" s="1089" t="s">
        <v>1285</v>
      </c>
      <c r="X1362" s="1080"/>
      <c r="Y1362" s="886" t="str">
        <f t="shared" si="277"/>
        <v/>
      </c>
      <c r="Z1362" s="886" t="s">
        <v>7112</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838"/>
      <c r="C1363" s="1061"/>
      <c r="D1363" s="66"/>
      <c r="E1363" s="1064" t="s">
        <v>2377</v>
      </c>
      <c r="F1363" s="85">
        <v>5</v>
      </c>
      <c r="G1363" s="85">
        <v>30</v>
      </c>
      <c r="H1363" s="85">
        <f>COUNTIF(HabilidadesEsenciales_Adquiridas,Tablas!E1363)</f>
        <v>0</v>
      </c>
      <c r="I1363" s="1066">
        <v>1</v>
      </c>
      <c r="J1363" s="184"/>
      <c r="K1363" s="1057"/>
      <c r="M1363" s="336"/>
      <c r="N1363" s="23"/>
      <c r="O1363" s="142" t="s">
        <v>7974</v>
      </c>
      <c r="P1363" s="1059">
        <v>35</v>
      </c>
      <c r="Q1363" s="184">
        <v>160</v>
      </c>
      <c r="R1363" s="1066">
        <f>COUNTIF(PoderesDeCriatura_Adquiridos,Tablas!O1363)</f>
        <v>0</v>
      </c>
      <c r="S1363" s="184"/>
      <c r="T1363" s="1057"/>
      <c r="W1363" s="1089" t="s">
        <v>7566</v>
      </c>
      <c r="X1363" s="1080"/>
      <c r="Y1363" s="886" t="str">
        <f>IF(Z1363="","",SUBSTITUTE(SUBSTITUTE("PodHab_"&amp;W1363," ",""),".",""))</f>
        <v>PodHab_Vulaelemento</v>
      </c>
      <c r="Z1363" s="1352" t="s">
        <v>8472</v>
      </c>
      <c r="AA1363" s="886" t="s">
        <v>1766</v>
      </c>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838"/>
      <c r="C1364" s="1061"/>
      <c r="D1364" s="66"/>
      <c r="E1364" s="1064" t="s">
        <v>2378</v>
      </c>
      <c r="F1364" s="85">
        <v>5</v>
      </c>
      <c r="G1364" s="85">
        <v>20</v>
      </c>
      <c r="H1364" s="85">
        <f>COUNTIF(HabilidadesEsenciales_Adquiridas,Tablas!E1364)</f>
        <v>0</v>
      </c>
      <c r="I1364" s="1066">
        <v>1</v>
      </c>
      <c r="J1364" s="184"/>
      <c r="K1364" s="1057"/>
      <c r="M1364" s="336"/>
      <c r="N1364" s="23"/>
      <c r="O1364" s="142" t="s">
        <v>7975</v>
      </c>
      <c r="P1364" s="1059">
        <v>35</v>
      </c>
      <c r="Q1364" s="184">
        <f>200+IF(OR(TipoDeCriatura="Entre mundos, Elemental",TipoDeCriatura="Ánima, Elemental"),10,0)</f>
        <v>200</v>
      </c>
      <c r="R1364" s="1066">
        <f>COUNTIF(PoderesDeCriatura_Adquiridos,Tablas!O1364)</f>
        <v>0</v>
      </c>
      <c r="S1364" s="184"/>
      <c r="T1364" s="1057"/>
      <c r="W1364" s="1089" t="s">
        <v>1292</v>
      </c>
      <c r="X1364" s="1080"/>
      <c r="Y1364" s="886" t="str">
        <f t="shared" si="277"/>
        <v/>
      </c>
      <c r="Z1364" s="886"/>
      <c r="AA1364" s="886"/>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838"/>
      <c r="C1365" s="1061"/>
      <c r="D1365" s="66"/>
      <c r="E1365" s="1064" t="s">
        <v>8359</v>
      </c>
      <c r="F1365" s="85">
        <v>5</v>
      </c>
      <c r="G1365" s="85">
        <v>20</v>
      </c>
      <c r="H1365" s="85">
        <f>COUNTIF(HabilidadesEsenciales_Adquiridas,Tablas!E1365)</f>
        <v>0</v>
      </c>
      <c r="I1365" s="1066">
        <v>1</v>
      </c>
      <c r="J1365" s="184"/>
      <c r="K1365" s="1057"/>
      <c r="M1365" s="336"/>
      <c r="N1365" s="23"/>
      <c r="O1365" s="142" t="s">
        <v>7976</v>
      </c>
      <c r="P1365" s="1059">
        <v>10</v>
      </c>
      <c r="Q1365" s="184">
        <f>10+IF(OR(TipoDeCriatura="Entre mundos, Elemental",TipoDeCriatura="Ánima, Elemental"),10,0)</f>
        <v>10</v>
      </c>
      <c r="R1365" s="1066">
        <f>COUNTIF(PoderesDeCriatura_Adquiridos,Tablas!O1365)</f>
        <v>0</v>
      </c>
      <c r="S1365" s="184"/>
      <c r="T1365" s="1057"/>
      <c r="W1365" s="1089" t="s">
        <v>1293</v>
      </c>
      <c r="X1365" s="1080"/>
      <c r="Y1365" s="886" t="str">
        <f t="shared" si="277"/>
        <v/>
      </c>
      <c r="Z1365" s="886" t="s">
        <v>7112</v>
      </c>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838"/>
      <c r="C1366" s="1061"/>
      <c r="D1366" s="66"/>
      <c r="E1366" s="1064" t="s">
        <v>8360</v>
      </c>
      <c r="F1366" s="85">
        <v>5</v>
      </c>
      <c r="G1366" s="85">
        <v>20</v>
      </c>
      <c r="H1366" s="85">
        <f>COUNTIF(HabilidadesEsenciales_Adquiridas,Tablas!E1366)</f>
        <v>0</v>
      </c>
      <c r="I1366" s="1066">
        <v>1</v>
      </c>
      <c r="J1366" s="184"/>
      <c r="K1366" s="1057"/>
      <c r="M1366" s="336"/>
      <c r="N1366" s="23"/>
      <c r="O1366" s="142" t="s">
        <v>7977</v>
      </c>
      <c r="P1366" s="1059">
        <v>35</v>
      </c>
      <c r="Q1366" s="184">
        <f>100+IF(OR(TipoDeCriatura="Entre mundos, Elemental",TipoDeCriatura="Ánima, Elemental"),10,0)</f>
        <v>100</v>
      </c>
      <c r="R1366" s="1066">
        <f>COUNTIF(PoderesDeCriatura_Adquiridos,Tablas!O1366)</f>
        <v>0</v>
      </c>
      <c r="S1366" s="184"/>
      <c r="T1366" s="1057"/>
      <c r="W1366" s="1089" t="s">
        <v>1295</v>
      </c>
      <c r="X1366" s="1080"/>
      <c r="Y1366" s="886" t="str">
        <f t="shared" si="277"/>
        <v/>
      </c>
      <c r="Z1366" s="886" t="s">
        <v>7112</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838"/>
      <c r="C1367" s="1061"/>
      <c r="D1367" s="66"/>
      <c r="E1367" s="1064" t="s">
        <v>8361</v>
      </c>
      <c r="F1367" s="85">
        <v>5</v>
      </c>
      <c r="G1367" s="85">
        <v>20</v>
      </c>
      <c r="H1367" s="85">
        <f>COUNTIF(HabilidadesEsenciales_Adquiridas,Tablas!E1367)</f>
        <v>0</v>
      </c>
      <c r="I1367" s="1066">
        <v>1</v>
      </c>
      <c r="J1367" s="184"/>
      <c r="K1367" s="1057"/>
      <c r="M1367" s="336"/>
      <c r="N1367" s="23"/>
      <c r="O1367" s="142" t="s">
        <v>7978</v>
      </c>
      <c r="P1367" s="1059">
        <v>10</v>
      </c>
      <c r="Q1367" s="184">
        <v>-10</v>
      </c>
      <c r="R1367" s="1066">
        <f>COUNTIF(PoderesDeCriatura_Adquiridos,Tablas!O1367)</f>
        <v>0</v>
      </c>
      <c r="S1367" s="184"/>
      <c r="T1367" s="1057"/>
      <c r="W1367" s="1089" t="s">
        <v>2425</v>
      </c>
      <c r="X1367" s="1080"/>
      <c r="Y1367" s="886" t="str">
        <f t="shared" si="277"/>
        <v/>
      </c>
      <c r="Z1367" s="886" t="s">
        <v>7112</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838"/>
      <c r="C1368" s="1061"/>
      <c r="D1368" s="66"/>
      <c r="E1368" s="1064" t="s">
        <v>8362</v>
      </c>
      <c r="F1368" s="85">
        <v>5</v>
      </c>
      <c r="G1368" s="85">
        <v>20</v>
      </c>
      <c r="H1368" s="85">
        <f>COUNTIF(HabilidadesEsenciales_Adquiridas,Tablas!E1368)</f>
        <v>0</v>
      </c>
      <c r="I1368" s="1066">
        <v>1</v>
      </c>
      <c r="J1368" s="184"/>
      <c r="K1368" s="1057"/>
      <c r="M1368" s="336"/>
      <c r="N1368" s="23"/>
      <c r="O1368" s="142" t="s">
        <v>7979</v>
      </c>
      <c r="P1368" s="1059">
        <v>10</v>
      </c>
      <c r="Q1368" s="184">
        <v>-30</v>
      </c>
      <c r="R1368" s="1066">
        <f>COUNTIF(PoderesDeCriatura_Adquiridos,Tablas!O1368)</f>
        <v>0</v>
      </c>
      <c r="S1368" s="184"/>
      <c r="T1368" s="1057"/>
      <c r="W1368" s="1089" t="s">
        <v>1294</v>
      </c>
      <c r="X1368" s="1080"/>
      <c r="Y1368" s="886" t="str">
        <f t="shared" si="277"/>
        <v/>
      </c>
      <c r="Z1368" s="886" t="s">
        <v>7112</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838"/>
      <c r="C1369" s="1061"/>
      <c r="D1369" s="66"/>
      <c r="E1369" s="1064" t="s">
        <v>8363</v>
      </c>
      <c r="F1369" s="85">
        <v>5</v>
      </c>
      <c r="G1369" s="85">
        <v>20</v>
      </c>
      <c r="H1369" s="85">
        <f>COUNTIF(HabilidadesEsenciales_Adquiridas,Tablas!E1369)</f>
        <v>0</v>
      </c>
      <c r="I1369" s="1066">
        <v>1</v>
      </c>
      <c r="J1369" s="184"/>
      <c r="K1369" s="1057"/>
      <c r="M1369" s="336"/>
      <c r="N1369" s="23"/>
      <c r="O1369" s="142" t="s">
        <v>7980</v>
      </c>
      <c r="P1369" s="1059">
        <v>10</v>
      </c>
      <c r="Q1369" s="184">
        <v>-50</v>
      </c>
      <c r="R1369" s="1066">
        <f>COUNTIF(PoderesDeCriatura_Adquiridos,Tablas!O1369)</f>
        <v>0</v>
      </c>
      <c r="S1369" s="184"/>
      <c r="T1369" s="1057"/>
      <c r="W1369" s="1089" t="s">
        <v>2428</v>
      </c>
      <c r="X1369" s="1080"/>
      <c r="Y1369" s="886" t="str">
        <f t="shared" si="277"/>
        <v/>
      </c>
      <c r="Z1369" s="886" t="s">
        <v>7112</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838"/>
      <c r="C1370" s="1061"/>
      <c r="D1370" s="66"/>
      <c r="E1370" s="1064" t="s">
        <v>8364</v>
      </c>
      <c r="F1370" s="85">
        <v>5</v>
      </c>
      <c r="G1370" s="85">
        <v>20</v>
      </c>
      <c r="H1370" s="85">
        <f>COUNTIF(HabilidadesEsenciales_Adquiridas,Tablas!E1370)</f>
        <v>0</v>
      </c>
      <c r="I1370" s="1066">
        <v>1</v>
      </c>
      <c r="J1370" s="184"/>
      <c r="K1370" s="1057"/>
      <c r="M1370" s="336"/>
      <c r="N1370" s="23"/>
      <c r="O1370" s="142" t="s">
        <v>7981</v>
      </c>
      <c r="P1370" s="1059">
        <v>10</v>
      </c>
      <c r="Q1370" s="184">
        <v>-30</v>
      </c>
      <c r="R1370" s="1066">
        <f>COUNTIF(PoderesDeCriatura_Adquiridos,Tablas!O1370)</f>
        <v>0</v>
      </c>
      <c r="S1370" s="184"/>
      <c r="T1370" s="1057"/>
      <c r="W1370" s="1089" t="s">
        <v>2423</v>
      </c>
      <c r="X1370" s="1080"/>
      <c r="Y1370" s="886" t="str">
        <f t="shared" si="277"/>
        <v/>
      </c>
      <c r="Z1370" s="886" t="s">
        <v>7112</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838"/>
      <c r="C1371" s="1061"/>
      <c r="D1371" s="66"/>
      <c r="E1371" s="1064" t="s">
        <v>8365</v>
      </c>
      <c r="F1371" s="85">
        <v>5</v>
      </c>
      <c r="G1371" s="85">
        <v>20</v>
      </c>
      <c r="H1371" s="85">
        <f>COUNTIF(HabilidadesEsenciales_Adquiridas,Tablas!E1371)</f>
        <v>0</v>
      </c>
      <c r="I1371" s="1066">
        <v>1</v>
      </c>
      <c r="J1371" s="184"/>
      <c r="K1371" s="1057"/>
      <c r="M1371" s="336"/>
      <c r="N1371" s="23"/>
      <c r="O1371" s="142" t="s">
        <v>1318</v>
      </c>
      <c r="P1371" s="1059">
        <v>0</v>
      </c>
      <c r="Q1371" s="184">
        <v>10</v>
      </c>
      <c r="R1371" s="1066">
        <f>COUNTIF(PoderesDeCriatura_Adquiridos,Tablas!O1371)</f>
        <v>0</v>
      </c>
      <c r="S1371" s="184"/>
      <c r="T1371" s="1057"/>
      <c r="W1371" s="1089" t="s">
        <v>2424</v>
      </c>
      <c r="X1371" s="1080"/>
      <c r="Y1371" s="886" t="str">
        <f t="shared" si="277"/>
        <v/>
      </c>
      <c r="Z1371" s="886" t="s">
        <v>7112</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838"/>
      <c r="C1372" s="1061"/>
      <c r="D1372" s="66"/>
      <c r="E1372" s="1064" t="s">
        <v>8366</v>
      </c>
      <c r="F1372" s="85">
        <v>5</v>
      </c>
      <c r="G1372" s="85">
        <v>20</v>
      </c>
      <c r="H1372" s="85">
        <f>COUNTIF(HabilidadesEsenciales_Adquiridas,Tablas!E1372)</f>
        <v>0</v>
      </c>
      <c r="I1372" s="1066">
        <v>1</v>
      </c>
      <c r="J1372" s="184"/>
      <c r="K1372" s="1057"/>
      <c r="M1372" s="336"/>
      <c r="N1372" s="23"/>
      <c r="O1372" s="142" t="s">
        <v>1319</v>
      </c>
      <c r="P1372" s="1059">
        <v>5</v>
      </c>
      <c r="Q1372" s="184">
        <v>20</v>
      </c>
      <c r="R1372" s="1066">
        <f>COUNTIF(PoderesDeCriatura_Adquiridos,Tablas!O1372)</f>
        <v>0</v>
      </c>
      <c r="S1372" s="184">
        <f t="array" ref="S1372">MAX({1;2;3;4}*R1371:R1374)</f>
        <v>0</v>
      </c>
      <c r="T1372" s="1057" t="s">
        <v>7517</v>
      </c>
      <c r="W1372" s="1089" t="s">
        <v>1296</v>
      </c>
      <c r="X1372" s="1080"/>
      <c r="Y1372" s="886" t="str">
        <f t="shared" si="277"/>
        <v/>
      </c>
      <c r="Z1372" s="886" t="s">
        <v>7112</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838"/>
      <c r="C1373" s="1061"/>
      <c r="D1373" s="66"/>
      <c r="E1373" s="1064" t="s">
        <v>8367</v>
      </c>
      <c r="F1373" s="85">
        <v>5</v>
      </c>
      <c r="G1373" s="85">
        <v>20</v>
      </c>
      <c r="H1373" s="85">
        <f>COUNTIF(HabilidadesEsenciales_Adquiridas,Tablas!E1373)</f>
        <v>0</v>
      </c>
      <c r="I1373" s="1066">
        <v>1</v>
      </c>
      <c r="J1373" s="184"/>
      <c r="K1373" s="1057"/>
      <c r="M1373" s="336"/>
      <c r="N1373" s="23"/>
      <c r="O1373" s="142" t="s">
        <v>1320</v>
      </c>
      <c r="P1373" s="1059">
        <v>10</v>
      </c>
      <c r="Q1373" s="184">
        <v>30</v>
      </c>
      <c r="R1373" s="1066">
        <f>COUNTIF(PoderesDeCriatura_Adquiridos,Tablas!O1373)</f>
        <v>0</v>
      </c>
      <c r="S1373" s="184"/>
      <c r="T1373" s="1057"/>
      <c r="W1373" s="1089" t="s">
        <v>1297</v>
      </c>
      <c r="X1373" s="1080"/>
      <c r="Y1373" s="886" t="str">
        <f t="shared" si="277"/>
        <v/>
      </c>
      <c r="Z1373" s="886" t="s">
        <v>7112</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838"/>
      <c r="C1374" s="1061"/>
      <c r="D1374" s="66"/>
      <c r="E1374" s="1064" t="s">
        <v>8368</v>
      </c>
      <c r="F1374" s="85">
        <v>5</v>
      </c>
      <c r="G1374" s="85">
        <v>20</v>
      </c>
      <c r="H1374" s="85">
        <f>COUNTIF(HabilidadesEsenciales_Adquiridas,Tablas!E1374)</f>
        <v>0</v>
      </c>
      <c r="I1374" s="1066">
        <v>1</v>
      </c>
      <c r="J1374" s="184"/>
      <c r="K1374" s="1057"/>
      <c r="M1374" s="336"/>
      <c r="N1374" s="23"/>
      <c r="O1374" s="142" t="s">
        <v>1321</v>
      </c>
      <c r="P1374" s="1059">
        <v>20</v>
      </c>
      <c r="Q1374" s="184">
        <v>40</v>
      </c>
      <c r="R1374" s="1066">
        <f>COUNTIF(PoderesDeCriatura_Adquiridos,Tablas!O1374)</f>
        <v>0</v>
      </c>
      <c r="S1374" s="184"/>
      <c r="T1374" s="1057"/>
      <c r="W1374" s="1089" t="s">
        <v>2432</v>
      </c>
      <c r="X1374" s="1080"/>
      <c r="Y1374" s="886" t="str">
        <f t="shared" si="277"/>
        <v/>
      </c>
      <c r="Z1374" s="886" t="s">
        <v>7112</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838"/>
      <c r="C1375" s="1061"/>
      <c r="D1375" s="66"/>
      <c r="E1375" s="1064" t="s">
        <v>8369</v>
      </c>
      <c r="F1375" s="85">
        <v>5</v>
      </c>
      <c r="G1375" s="85">
        <v>20</v>
      </c>
      <c r="H1375" s="85">
        <f>COUNTIF(HabilidadesEsenciales_Adquiridas,Tablas!E1375)</f>
        <v>0</v>
      </c>
      <c r="I1375" s="1066">
        <v>1</v>
      </c>
      <c r="J1375" s="184"/>
      <c r="K1375" s="1057"/>
      <c r="M1375" s="336"/>
      <c r="N1375" s="23"/>
      <c r="O1375" s="142" t="s">
        <v>7982</v>
      </c>
      <c r="P1375" s="1059">
        <v>0</v>
      </c>
      <c r="Q1375" s="184">
        <v>40</v>
      </c>
      <c r="R1375" s="1066">
        <f>COUNTIF(PoderesDeCriatura_Adquiridos,Tablas!O1375)</f>
        <v>0</v>
      </c>
      <c r="S1375" s="184">
        <f t="array" ref="S1375">MAX(R1375:R1379*VALUE(RIGHT(O1375:O1379,2)))</f>
        <v>0</v>
      </c>
      <c r="T1375" s="1057" t="s">
        <v>8715</v>
      </c>
      <c r="W1375" s="1089" t="s">
        <v>2431</v>
      </c>
      <c r="X1375" s="1080"/>
      <c r="Y1375" s="886" t="str">
        <f t="shared" si="277"/>
        <v/>
      </c>
      <c r="Z1375" s="886" t="s">
        <v>7112</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838"/>
      <c r="C1376" s="1061"/>
      <c r="D1376" s="66"/>
      <c r="E1376" s="1064" t="s">
        <v>8370</v>
      </c>
      <c r="F1376" s="85">
        <v>5</v>
      </c>
      <c r="G1376" s="85">
        <v>20</v>
      </c>
      <c r="H1376" s="85">
        <f>COUNTIF(HabilidadesEsenciales_Adquiridas,Tablas!E1376)</f>
        <v>0</v>
      </c>
      <c r="I1376" s="1066">
        <v>1</v>
      </c>
      <c r="J1376" s="184"/>
      <c r="K1376" s="1057"/>
      <c r="M1376" s="336"/>
      <c r="N1376" s="23"/>
      <c r="O1376" s="142" t="s">
        <v>7983</v>
      </c>
      <c r="P1376" s="1059">
        <v>0</v>
      </c>
      <c r="Q1376" s="184">
        <v>60</v>
      </c>
      <c r="R1376" s="1066">
        <f>COUNTIF(PoderesDeCriatura_Adquiridos,Tablas!O1376)</f>
        <v>0</v>
      </c>
      <c r="S1376" s="184"/>
      <c r="T1376" s="1057"/>
      <c r="W1376" s="1089" t="s">
        <v>1298</v>
      </c>
      <c r="X1376" s="1080"/>
      <c r="Y1376" s="886" t="str">
        <f t="shared" si="277"/>
        <v/>
      </c>
      <c r="Z1376" s="886" t="s">
        <v>7112</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838"/>
      <c r="C1377" s="1061"/>
      <c r="D1377" s="66"/>
      <c r="E1377" s="1064" t="s">
        <v>8371</v>
      </c>
      <c r="F1377" s="85">
        <v>5</v>
      </c>
      <c r="G1377" s="85">
        <v>20</v>
      </c>
      <c r="H1377" s="85">
        <f>COUNTIF(HabilidadesEsenciales_Adquiridas,Tablas!E1377)</f>
        <v>0</v>
      </c>
      <c r="I1377" s="1066">
        <v>1</v>
      </c>
      <c r="J1377" s="184"/>
      <c r="K1377" s="1057"/>
      <c r="M1377" s="336"/>
      <c r="N1377" s="23"/>
      <c r="O1377" s="142" t="s">
        <v>7984</v>
      </c>
      <c r="P1377" s="1059">
        <v>0</v>
      </c>
      <c r="Q1377" s="184">
        <v>80</v>
      </c>
      <c r="R1377" s="1066">
        <f>COUNTIF(PoderesDeCriatura_Adquiridos,Tablas!O1377)</f>
        <v>0</v>
      </c>
      <c r="S1377" s="184"/>
      <c r="T1377" s="1057"/>
      <c r="W1377" s="1089" t="s">
        <v>2438</v>
      </c>
      <c r="X1377" s="1080"/>
      <c r="Y1377" s="886" t="str">
        <f t="shared" si="277"/>
        <v/>
      </c>
      <c r="Z1377" s="886" t="s">
        <v>7112</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838"/>
      <c r="C1378" s="1061"/>
      <c r="D1378" s="66"/>
      <c r="E1378" s="1064" t="s">
        <v>2396</v>
      </c>
      <c r="F1378" s="85">
        <v>5</v>
      </c>
      <c r="G1378" s="85">
        <v>30</v>
      </c>
      <c r="H1378" s="85">
        <f>COUNTIF(HabilidadesEsenciales_Adquiridas,Tablas!E1378)</f>
        <v>0</v>
      </c>
      <c r="I1378" s="1066"/>
      <c r="J1378" s="184"/>
      <c r="K1378" s="1057"/>
      <c r="M1378" s="336"/>
      <c r="N1378" s="23"/>
      <c r="O1378" s="142" t="s">
        <v>7985</v>
      </c>
      <c r="P1378" s="1059">
        <v>0</v>
      </c>
      <c r="Q1378" s="184">
        <v>100</v>
      </c>
      <c r="R1378" s="1066">
        <f>COUNTIF(PoderesDeCriatura_Adquiridos,Tablas!O1378)</f>
        <v>0</v>
      </c>
      <c r="S1378" s="184"/>
      <c r="T1378" s="1057"/>
      <c r="W1378" s="1089" t="s">
        <v>2463</v>
      </c>
      <c r="X1378" s="1080"/>
      <c r="Y1378" s="886" t="str">
        <f t="shared" si="277"/>
        <v/>
      </c>
      <c r="Z1378" s="886" t="s">
        <v>7112</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838"/>
      <c r="C1379" s="1061"/>
      <c r="D1379" s="66"/>
      <c r="E1379" s="1064" t="s">
        <v>1284</v>
      </c>
      <c r="F1379" s="85">
        <v>0</v>
      </c>
      <c r="G1379" s="85">
        <v>0</v>
      </c>
      <c r="H1379" s="85"/>
      <c r="I1379" s="1066"/>
      <c r="J1379" s="184"/>
      <c r="K1379" s="1057"/>
      <c r="M1379" s="336"/>
      <c r="N1379" s="23"/>
      <c r="O1379" s="142" t="s">
        <v>7986</v>
      </c>
      <c r="P1379" s="1059">
        <v>10</v>
      </c>
      <c r="Q1379" s="184">
        <v>120</v>
      </c>
      <c r="R1379" s="1066">
        <f>COUNTIF(PoderesDeCriatura_Adquiridos,Tablas!O1379)</f>
        <v>0</v>
      </c>
      <c r="S1379" s="184"/>
      <c r="T1379" s="1057"/>
      <c r="W1379" s="1089" t="s">
        <v>1301</v>
      </c>
      <c r="X1379" s="1080"/>
      <c r="Y1379" s="886" t="str">
        <f t="shared" si="277"/>
        <v/>
      </c>
      <c r="Z1379" s="886" t="s">
        <v>7112</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838"/>
      <c r="C1380" s="1061"/>
      <c r="D1380" s="66"/>
      <c r="E1380" s="1064" t="s">
        <v>1285</v>
      </c>
      <c r="F1380" s="85">
        <v>0</v>
      </c>
      <c r="G1380" s="85">
        <v>-10</v>
      </c>
      <c r="H1380" s="85">
        <f>COUNTIF(HabilidadesEsenciales_Adquiridas,Tablas!E1380)</f>
        <v>0</v>
      </c>
      <c r="I1380" s="1066"/>
      <c r="J1380" s="184"/>
      <c r="K1380" s="1057"/>
      <c r="M1380" s="336"/>
      <c r="N1380" s="23"/>
      <c r="O1380" s="142" t="s">
        <v>7987</v>
      </c>
      <c r="P1380" s="1059">
        <v>10</v>
      </c>
      <c r="Q1380" s="184">
        <v>20</v>
      </c>
      <c r="R1380" s="1066">
        <f>COUNTIF(PoderesDeCriatura_Adquiridos,Tablas!O1380)</f>
        <v>0</v>
      </c>
      <c r="S1380" s="184">
        <f t="array" ref="S1380">MAX(R1380:R1386*VALUE(RIGHT(O1380:O1386,2)))</f>
        <v>0</v>
      </c>
      <c r="T1380" s="1057" t="s">
        <v>8716</v>
      </c>
      <c r="W1380" s="1089" t="s">
        <v>2457</v>
      </c>
      <c r="X1380" s="1080"/>
      <c r="Y1380" s="886" t="str">
        <f t="shared" si="277"/>
        <v/>
      </c>
      <c r="Z1380" s="886" t="s">
        <v>7112</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838"/>
      <c r="C1381" s="1061"/>
      <c r="D1381" s="66"/>
      <c r="E1381" s="1064" t="s">
        <v>1286</v>
      </c>
      <c r="F1381" s="85">
        <v>0</v>
      </c>
      <c r="G1381" s="85">
        <v>-20</v>
      </c>
      <c r="H1381" s="85">
        <f>COUNTIF(HabilidadesEsenciales_Adquiridas,Tablas!E1381)</f>
        <v>0</v>
      </c>
      <c r="I1381" s="1066"/>
      <c r="J1381" s="184"/>
      <c r="K1381" s="1057"/>
      <c r="M1381" s="336"/>
      <c r="N1381" s="23"/>
      <c r="O1381" s="142" t="s">
        <v>7988</v>
      </c>
      <c r="P1381" s="1059">
        <v>15</v>
      </c>
      <c r="Q1381" s="184">
        <v>40</v>
      </c>
      <c r="R1381" s="1066">
        <f>COUNTIF(PoderesDeCriatura_Adquiridos,Tablas!O1381)</f>
        <v>0</v>
      </c>
      <c r="S1381" s="184"/>
      <c r="T1381" s="1057"/>
      <c r="W1381" s="1089" t="s">
        <v>1300</v>
      </c>
      <c r="X1381" s="1080"/>
      <c r="Y1381" s="886" t="str">
        <f t="shared" si="277"/>
        <v/>
      </c>
      <c r="Z1381" s="886" t="s">
        <v>7112</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838"/>
      <c r="C1382" s="1061"/>
      <c r="D1382" s="66"/>
      <c r="E1382" s="1064" t="s">
        <v>1287</v>
      </c>
      <c r="F1382" s="85">
        <v>10</v>
      </c>
      <c r="G1382" s="85">
        <v>-10</v>
      </c>
      <c r="H1382" s="85">
        <f>COUNTIF(HabilidadesEsenciales_Adquiridas,Tablas!E1382)</f>
        <v>0</v>
      </c>
      <c r="I1382" s="1066"/>
      <c r="J1382" s="184"/>
      <c r="K1382" s="1057"/>
      <c r="M1382" s="336"/>
      <c r="N1382" s="23"/>
      <c r="O1382" s="142" t="s">
        <v>7989</v>
      </c>
      <c r="P1382" s="1059">
        <v>20</v>
      </c>
      <c r="Q1382" s="184">
        <v>60</v>
      </c>
      <c r="R1382" s="1066">
        <f>COUNTIF(PoderesDeCriatura_Adquiridos,Tablas!O1382)</f>
        <v>0</v>
      </c>
      <c r="S1382" s="184"/>
      <c r="T1382" s="1057"/>
      <c r="W1382" s="1089" t="s">
        <v>2474</v>
      </c>
      <c r="X1382" s="1080"/>
      <c r="Y1382" s="886" t="str">
        <f t="shared" si="277"/>
        <v/>
      </c>
      <c r="Z1382" s="886" t="s">
        <v>7112</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838"/>
      <c r="C1383" s="1061"/>
      <c r="D1383" s="66"/>
      <c r="E1383" s="1064" t="s">
        <v>1288</v>
      </c>
      <c r="F1383" s="85">
        <v>10</v>
      </c>
      <c r="G1383" s="85">
        <v>-20</v>
      </c>
      <c r="H1383" s="85">
        <f>COUNTIF(HabilidadesEsenciales_Adquiridas,Tablas!E1383)</f>
        <v>0</v>
      </c>
      <c r="I1383" s="1066"/>
      <c r="J1383" s="184"/>
      <c r="K1383" s="1057"/>
      <c r="M1383" s="336"/>
      <c r="N1383" s="23"/>
      <c r="O1383" s="142" t="s">
        <v>7990</v>
      </c>
      <c r="P1383" s="1059">
        <v>20</v>
      </c>
      <c r="Q1383" s="184">
        <v>80</v>
      </c>
      <c r="R1383" s="1066">
        <f>COUNTIF(PoderesDeCriatura_Adquiridos,Tablas!O1383)</f>
        <v>0</v>
      </c>
      <c r="S1383" s="184"/>
      <c r="T1383" s="1057"/>
      <c r="W1383" s="1089" t="s">
        <v>2461</v>
      </c>
      <c r="X1383" s="1080"/>
      <c r="Y1383" s="886" t="str">
        <f t="shared" si="277"/>
        <v/>
      </c>
      <c r="Z1383" s="886" t="s">
        <v>7112</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838"/>
      <c r="C1384" s="1061"/>
      <c r="D1384" s="66"/>
      <c r="E1384" s="1064" t="s">
        <v>1289</v>
      </c>
      <c r="F1384" s="85">
        <v>0</v>
      </c>
      <c r="G1384" s="85">
        <v>-10</v>
      </c>
      <c r="H1384" s="85">
        <f>COUNTIF(HabilidadesEsenciales_Adquiridas,Tablas!E1384)</f>
        <v>0</v>
      </c>
      <c r="I1384" s="1066"/>
      <c r="J1384" s="184"/>
      <c r="K1384" s="1057"/>
      <c r="M1384" s="336"/>
      <c r="N1384" s="23"/>
      <c r="O1384" s="142" t="s">
        <v>7991</v>
      </c>
      <c r="P1384" s="1059">
        <v>25</v>
      </c>
      <c r="Q1384" s="184">
        <v>100</v>
      </c>
      <c r="R1384" s="1066">
        <f>COUNTIF(PoderesDeCriatura_Adquiridos,Tablas!O1384)</f>
        <v>0</v>
      </c>
      <c r="S1384" s="184"/>
      <c r="T1384" s="1057"/>
      <c r="U1384">
        <v>3</v>
      </c>
      <c r="W1384" s="1089" t="s">
        <v>2362</v>
      </c>
      <c r="X1384" s="1080"/>
      <c r="Y1384" s="886" t="str">
        <f t="shared" si="277"/>
        <v/>
      </c>
      <c r="Z1384" s="886" t="s">
        <v>7112</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838"/>
      <c r="C1385" s="1061"/>
      <c r="D1385" s="66"/>
      <c r="E1385" s="1064" t="s">
        <v>2413</v>
      </c>
      <c r="F1385" s="85">
        <v>0</v>
      </c>
      <c r="G1385" s="85">
        <v>-20</v>
      </c>
      <c r="H1385" s="85">
        <f>COUNTIF(HabilidadesEsenciales_Adquiridas,Tablas!E1385)</f>
        <v>0</v>
      </c>
      <c r="I1385" s="1066"/>
      <c r="J1385" s="184"/>
      <c r="K1385" s="1057"/>
      <c r="M1385" s="336"/>
      <c r="N1385" s="23"/>
      <c r="O1385" s="142" t="s">
        <v>7992</v>
      </c>
      <c r="P1385" s="1059">
        <v>30</v>
      </c>
      <c r="Q1385" s="184">
        <v>120</v>
      </c>
      <c r="R1385" s="1066">
        <f>COUNTIF(PoderesDeCriatura_Adquiridos,Tablas!O1385)</f>
        <v>0</v>
      </c>
      <c r="S1385" s="184"/>
      <c r="T1385" s="1057"/>
      <c r="U1385">
        <v>3</v>
      </c>
      <c r="W1385" s="1089" t="s">
        <v>1299</v>
      </c>
      <c r="X1385" s="1080"/>
      <c r="Y1385" s="886" t="str">
        <f t="shared" si="277"/>
        <v/>
      </c>
      <c r="Z1385" s="886" t="s">
        <v>7112</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838"/>
      <c r="C1386" s="1061"/>
      <c r="D1386" s="66"/>
      <c r="E1386" s="1064" t="s">
        <v>1290</v>
      </c>
      <c r="F1386" s="85">
        <v>0</v>
      </c>
      <c r="G1386" s="85">
        <v>-10</v>
      </c>
      <c r="H1386" s="85">
        <f>COUNTIF(HabilidadesEsenciales_Adquiridas,Tablas!E1386)</f>
        <v>0</v>
      </c>
      <c r="I1386" s="1066"/>
      <c r="J1386" s="184"/>
      <c r="K1386" s="1057"/>
      <c r="M1386" s="336"/>
      <c r="N1386" s="23"/>
      <c r="O1386" s="142" t="s">
        <v>7993</v>
      </c>
      <c r="P1386" s="1059">
        <v>35</v>
      </c>
      <c r="Q1386" s="184">
        <v>140</v>
      </c>
      <c r="R1386" s="1066">
        <f>COUNTIF(PoderesDeCriatura_Adquiridos,Tablas!O1386)</f>
        <v>0</v>
      </c>
      <c r="S1386" s="184"/>
      <c r="T1386" s="1057"/>
      <c r="U1386">
        <v>3</v>
      </c>
      <c r="W1386" s="1089" t="s">
        <v>2321</v>
      </c>
      <c r="X1386" s="1080"/>
      <c r="Y1386" s="886" t="str">
        <f t="shared" si="277"/>
        <v/>
      </c>
      <c r="Z1386" s="886" t="s">
        <v>7112</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838"/>
      <c r="C1387" s="1061"/>
      <c r="D1387" s="66"/>
      <c r="E1387" s="1064" t="s">
        <v>1291</v>
      </c>
      <c r="F1387" s="85">
        <v>10</v>
      </c>
      <c r="G1387" s="85">
        <v>-20</v>
      </c>
      <c r="H1387" s="85">
        <f>COUNTIF(HabilidadesEsenciales_Adquiridas,Tablas!E1387)</f>
        <v>0</v>
      </c>
      <c r="I1387" s="1066"/>
      <c r="J1387" s="184"/>
      <c r="K1387" s="1057"/>
      <c r="M1387" s="336"/>
      <c r="N1387" s="23"/>
      <c r="O1387" s="142" t="s">
        <v>7994</v>
      </c>
      <c r="P1387" s="1059">
        <v>10</v>
      </c>
      <c r="Q1387" s="184">
        <v>-20</v>
      </c>
      <c r="R1387" s="1066">
        <f>COUNTIF(PoderesDeCriatura_Adquiridos,Tablas!O1387)</f>
        <v>0</v>
      </c>
      <c r="S1387" s="184"/>
      <c r="T1387" s="1057"/>
      <c r="U1387">
        <v>3</v>
      </c>
      <c r="W1387" s="1089" t="s">
        <v>2451</v>
      </c>
      <c r="X1387" s="1080"/>
      <c r="Y1387" s="886" t="str">
        <f t="shared" si="277"/>
        <v/>
      </c>
      <c r="Z1387" s="886" t="s">
        <v>7112</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838"/>
      <c r="C1388" s="1061"/>
      <c r="D1388" s="66"/>
      <c r="E1388" s="1064" t="s">
        <v>7521</v>
      </c>
      <c r="F1388" s="85">
        <v>20</v>
      </c>
      <c r="G1388" s="85">
        <v>-10</v>
      </c>
      <c r="H1388" s="85">
        <f>COUNTIF(HabilidadesEsenciales_Adquiridas,Tablas!E1388)</f>
        <v>0</v>
      </c>
      <c r="I1388" s="1066"/>
      <c r="J1388" s="184"/>
      <c r="K1388" s="1057"/>
      <c r="M1388" s="336"/>
      <c r="N1388" s="23"/>
      <c r="O1388" s="142" t="s">
        <v>1322</v>
      </c>
      <c r="P1388" s="1059"/>
      <c r="Q1388" s="184"/>
      <c r="R1388" s="1066"/>
      <c r="S1388" s="184"/>
      <c r="T1388" s="1057"/>
      <c r="U1388">
        <v>3</v>
      </c>
      <c r="W1388" s="1089" t="s">
        <v>1302</v>
      </c>
      <c r="X1388" s="1080"/>
      <c r="Y1388" s="886" t="str">
        <f t="shared" si="277"/>
        <v/>
      </c>
      <c r="Z1388" s="886" t="s">
        <v>7112</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838"/>
      <c r="C1389" s="1061"/>
      <c r="D1389" s="23"/>
      <c r="E1389" s="1064" t="s">
        <v>7522</v>
      </c>
      <c r="F1389" s="85">
        <v>20</v>
      </c>
      <c r="G1389" s="85">
        <v>-20</v>
      </c>
      <c r="H1389" s="85">
        <f>COUNTIF(HabilidadesEsenciales_Adquiridas,Tablas!E1389)</f>
        <v>0</v>
      </c>
      <c r="I1389" s="1066"/>
      <c r="J1389" s="184"/>
      <c r="K1389" s="1057"/>
      <c r="M1389" s="336"/>
      <c r="N1389" s="23"/>
      <c r="O1389" s="142" t="s">
        <v>7995</v>
      </c>
      <c r="P1389" s="1059">
        <v>0</v>
      </c>
      <c r="Q1389" s="184">
        <v>10</v>
      </c>
      <c r="R1389" s="1066">
        <f>COUNTIF(PoderesDeCriatura_Adquiridos,Tablas!O1389)</f>
        <v>0</v>
      </c>
      <c r="S1389" s="184">
        <f t="array" ref="S1389">IF(OR(R$1395=1,R$1396=1),0,MAX({10;20;30;40;50}*$R$1389:$R$1393))</f>
        <v>0</v>
      </c>
      <c r="T1389" s="1057" t="s">
        <v>1462</v>
      </c>
      <c r="U1389">
        <v>3</v>
      </c>
      <c r="W1389" s="1089" t="s">
        <v>1303</v>
      </c>
      <c r="X1389" s="1080"/>
      <c r="Y1389" s="886" t="str">
        <f t="shared" si="277"/>
        <v/>
      </c>
      <c r="Z1389" s="886" t="s">
        <v>7112</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838"/>
      <c r="C1390" s="1061"/>
      <c r="D1390" s="66"/>
      <c r="E1390" s="1064" t="s">
        <v>1292</v>
      </c>
      <c r="F1390" s="85">
        <v>10</v>
      </c>
      <c r="G1390" s="85">
        <v>-20</v>
      </c>
      <c r="H1390" s="85">
        <f>COUNTIF(HabilidadesEsenciales_Adquiridas,Tablas!E1390)</f>
        <v>0</v>
      </c>
      <c r="I1390" s="1066"/>
      <c r="J1390" s="184"/>
      <c r="K1390" s="1057"/>
      <c r="M1390" s="336"/>
      <c r="N1390" s="23"/>
      <c r="O1390" s="142" t="s">
        <v>7996</v>
      </c>
      <c r="P1390" s="1059">
        <v>0</v>
      </c>
      <c r="Q1390" s="184">
        <v>20</v>
      </c>
      <c r="R1390" s="1066">
        <f>COUNTIF(PoderesDeCriatura_Adquiridos,Tablas!O1390)</f>
        <v>0</v>
      </c>
      <c r="S1390" s="184">
        <f t="array" ref="S1390">IF(OR(R$1394=1,R$1396=1),0,MAX({10;20;30;40;50}*$R$1389:$R$1393))</f>
        <v>0</v>
      </c>
      <c r="T1390" s="1057" t="s">
        <v>1464</v>
      </c>
      <c r="U1390">
        <v>3</v>
      </c>
      <c r="W1390" s="1089" t="s">
        <v>1304</v>
      </c>
      <c r="X1390" s="1080"/>
      <c r="Y1390" s="886" t="str">
        <f t="shared" si="277"/>
        <v/>
      </c>
      <c r="Z1390" s="886" t="s">
        <v>7112</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838"/>
      <c r="C1391" s="1061"/>
      <c r="D1391" s="66"/>
      <c r="E1391" s="1064" t="s">
        <v>1293</v>
      </c>
      <c r="F1391" s="85">
        <v>0</v>
      </c>
      <c r="G1391" s="85">
        <v>0</v>
      </c>
      <c r="H1391" s="85"/>
      <c r="I1391" s="1066"/>
      <c r="J1391" s="184"/>
      <c r="K1391" s="1057"/>
      <c r="M1391" s="336"/>
      <c r="N1391" s="23"/>
      <c r="O1391" s="142" t="s">
        <v>7997</v>
      </c>
      <c r="P1391" s="1059">
        <v>10</v>
      </c>
      <c r="Q1391" s="184">
        <v>30</v>
      </c>
      <c r="R1391" s="1066">
        <f>COUNTIF(PoderesDeCriatura_Adquiridos,Tablas!O1391)</f>
        <v>0</v>
      </c>
      <c r="S1391" s="184">
        <f t="array" ref="S1391">IF(OR(R$1395=1,R$1394=1),0,MAX({10;20;30;40;50}*$R$1389:$R$1393))</f>
        <v>0</v>
      </c>
      <c r="T1391" s="1057" t="s">
        <v>1466</v>
      </c>
      <c r="U1391">
        <v>3</v>
      </c>
      <c r="W1391" s="1089" t="s">
        <v>1305</v>
      </c>
      <c r="X1391" s="1080"/>
      <c r="Y1391" s="886"/>
      <c r="Z1391" s="886" t="s">
        <v>7112</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838"/>
      <c r="C1392" s="1061"/>
      <c r="D1392" s="66"/>
      <c r="E1392" s="1064" t="s">
        <v>2423</v>
      </c>
      <c r="F1392" s="85">
        <v>5</v>
      </c>
      <c r="G1392" s="85">
        <v>-10</v>
      </c>
      <c r="H1392" s="85">
        <f>COUNTIF(HabilidadesEsenciales_Adquiridas,Tablas!E1392)</f>
        <v>0</v>
      </c>
      <c r="I1392" s="1066"/>
      <c r="J1392" s="184"/>
      <c r="K1392" s="1057"/>
      <c r="M1392" s="336"/>
      <c r="N1392" s="23"/>
      <c r="O1392" s="142" t="s">
        <v>7998</v>
      </c>
      <c r="P1392" s="1059">
        <v>20</v>
      </c>
      <c r="Q1392" s="184">
        <v>40</v>
      </c>
      <c r="R1392" s="1066">
        <f>COUNTIF(PoderesDeCriatura_Adquiridos,Tablas!O1392)</f>
        <v>0</v>
      </c>
      <c r="S1392" s="184"/>
      <c r="T1392" s="1057"/>
      <c r="U1392">
        <v>4</v>
      </c>
      <c r="W1392" s="1089" t="str">
        <f>$E1418</f>
        <v>Habilidad #1</v>
      </c>
      <c r="X1392" s="1080"/>
      <c r="Y1392" s="886"/>
      <c r="Z1392" s="886"/>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838"/>
      <c r="C1393" s="1061"/>
      <c r="D1393" s="66"/>
      <c r="E1393" s="1064" t="s">
        <v>2424</v>
      </c>
      <c r="F1393" s="85">
        <v>5</v>
      </c>
      <c r="G1393" s="85">
        <v>-10</v>
      </c>
      <c r="H1393" s="85">
        <f>COUNTIF(HabilidadesEsenciales_Adquiridas,Tablas!E1393)</f>
        <v>0</v>
      </c>
      <c r="I1393" s="1066"/>
      <c r="J1393" s="184"/>
      <c r="K1393" s="1057"/>
      <c r="M1393" s="336"/>
      <c r="N1393" s="23"/>
      <c r="O1393" s="142" t="s">
        <v>7999</v>
      </c>
      <c r="P1393" s="1059">
        <v>30</v>
      </c>
      <c r="Q1393" s="184">
        <v>50</v>
      </c>
      <c r="R1393" s="1066">
        <f>COUNTIF(PoderesDeCriatura_Adquiridos,Tablas!O1393)</f>
        <v>0</v>
      </c>
      <c r="S1393" s="184"/>
      <c r="T1393" s="1057"/>
      <c r="U1393">
        <v>4</v>
      </c>
      <c r="W1393" s="1089" t="str">
        <f>$E$1419</f>
        <v>Habilidad #2</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838"/>
      <c r="C1394" s="1061"/>
      <c r="D1394" s="66"/>
      <c r="E1394" s="1064" t="s">
        <v>1294</v>
      </c>
      <c r="F1394" s="85">
        <v>5</v>
      </c>
      <c r="G1394" s="85">
        <v>-10</v>
      </c>
      <c r="H1394" s="85">
        <f>COUNTIF(HabilidadesEsenciales_Adquiridas,Tablas!E1394)</f>
        <v>0</v>
      </c>
      <c r="I1394" s="1066">
        <v>1</v>
      </c>
      <c r="J1394" s="184"/>
      <c r="K1394" s="1057"/>
      <c r="M1394" s="336"/>
      <c r="N1394" s="23"/>
      <c r="O1394" s="142" t="s">
        <v>8000</v>
      </c>
      <c r="P1394" s="1059">
        <v>10</v>
      </c>
      <c r="Q1394" s="184">
        <v>-20</v>
      </c>
      <c r="R1394" s="1066">
        <f>COUNTIF(PoderesDeCriatura_Adquiridos,Tablas!O1394)</f>
        <v>0</v>
      </c>
      <c r="S1394" s="184"/>
      <c r="T1394" s="1057"/>
      <c r="U1394">
        <v>4</v>
      </c>
      <c r="W1394" s="1089" t="str">
        <f>$E$1420</f>
        <v>Habilidad #3</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838"/>
      <c r="C1395" s="1061"/>
      <c r="D1395" s="66"/>
      <c r="E1395" s="1064" t="s">
        <v>2428</v>
      </c>
      <c r="F1395" s="85">
        <v>5</v>
      </c>
      <c r="G1395" s="85">
        <v>-30</v>
      </c>
      <c r="H1395" s="85">
        <f>COUNTIF(HabilidadesEsenciales_Adquiridas,Tablas!E1395)</f>
        <v>0</v>
      </c>
      <c r="I1395" s="1066">
        <v>1</v>
      </c>
      <c r="J1395" s="184"/>
      <c r="K1395" s="1057"/>
      <c r="M1395" s="336"/>
      <c r="N1395" s="23"/>
      <c r="O1395" s="142" t="s">
        <v>8001</v>
      </c>
      <c r="P1395" s="1059">
        <v>10</v>
      </c>
      <c r="Q1395" s="184">
        <v>-20</v>
      </c>
      <c r="R1395" s="1066">
        <f>COUNTIF(PoderesDeCriatura_Adquiridos,Tablas!O1395)</f>
        <v>0</v>
      </c>
      <c r="S1395" s="184"/>
      <c r="T1395" s="1057"/>
      <c r="U1395">
        <v>4</v>
      </c>
      <c r="W1395" s="1089" t="str">
        <f>$E$1421</f>
        <v>Habilidad #4</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838"/>
      <c r="C1396" s="1061"/>
      <c r="D1396" s="66"/>
      <c r="E1396" s="1064" t="s">
        <v>2425</v>
      </c>
      <c r="F1396" s="85">
        <v>5</v>
      </c>
      <c r="G1396" s="85">
        <v>-10</v>
      </c>
      <c r="H1396" s="85">
        <f>COUNTIF(HabilidadesEsenciales_Adquiridas,Tablas!E1396)</f>
        <v>0</v>
      </c>
      <c r="I1396" s="1066"/>
      <c r="J1396" s="184"/>
      <c r="K1396" s="1057"/>
      <c r="M1396" s="336"/>
      <c r="N1396" s="23"/>
      <c r="O1396" s="142" t="s">
        <v>8002</v>
      </c>
      <c r="P1396" s="1059">
        <v>10</v>
      </c>
      <c r="Q1396" s="184">
        <v>-20</v>
      </c>
      <c r="R1396" s="1066">
        <f>COUNTIF(PoderesDeCriatura_Adquiridos,Tablas!O1396)</f>
        <v>0</v>
      </c>
      <c r="S1396" s="184"/>
      <c r="T1396" s="1057"/>
      <c r="U1396">
        <v>4</v>
      </c>
      <c r="W1396" s="1089" t="str">
        <f>$E$1422</f>
        <v>Habilidad #5</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thickBot="1" x14ac:dyDescent="0.25">
      <c r="A1397" s="237">
        <v>1397</v>
      </c>
      <c r="B1397" s="5838"/>
      <c r="C1397" s="1061"/>
      <c r="D1397" s="66"/>
      <c r="E1397" s="1064" t="s">
        <v>1295</v>
      </c>
      <c r="F1397" s="85">
        <v>5</v>
      </c>
      <c r="G1397" s="85">
        <v>-20</v>
      </c>
      <c r="H1397" s="85">
        <f>COUNTIF(HabilidadesEsenciales_Adquiridas,Tablas!E1397)</f>
        <v>0</v>
      </c>
      <c r="I1397" s="1066"/>
      <c r="J1397" s="184"/>
      <c r="K1397" s="1057"/>
      <c r="M1397" s="336"/>
      <c r="N1397" s="23"/>
      <c r="O1397" s="142" t="s">
        <v>8003</v>
      </c>
      <c r="P1397" s="1059">
        <v>10</v>
      </c>
      <c r="Q1397" s="184">
        <v>10</v>
      </c>
      <c r="R1397" s="1066">
        <f>COUNTIF(PoderesDeCriatura_Adquiridos,Tablas!O1397)</f>
        <v>0</v>
      </c>
      <c r="S1397" s="184">
        <f t="array" ref="S1397">MAX(R1397:R1406*{10;20;30;40;50;-10;-20;-30;-40;-50})</f>
        <v>0</v>
      </c>
      <c r="T1397" s="1057" t="s">
        <v>1470</v>
      </c>
      <c r="U1397">
        <v>4</v>
      </c>
      <c r="W1397" s="1093" t="s">
        <v>8263</v>
      </c>
      <c r="X1397" s="1094"/>
      <c r="Y1397" s="1095"/>
      <c r="Z1397" s="1095"/>
      <c r="AA1397" s="1095"/>
      <c r="AB1397" s="1095"/>
      <c r="AC1397" s="1095" t="s">
        <v>8262</v>
      </c>
      <c r="AD1397" s="1095"/>
      <c r="AE1397" s="1095"/>
      <c r="AF1397" s="1095"/>
      <c r="AG1397" s="1095"/>
      <c r="AH1397" s="1095"/>
      <c r="AI1397" s="1095"/>
      <c r="AJ1397" s="1095"/>
      <c r="AK1397" s="1095"/>
      <c r="AL1397" s="1095"/>
      <c r="AM1397" s="1095"/>
      <c r="AN1397" s="1095"/>
      <c r="AO1397" s="1095"/>
      <c r="AP1397" s="1095"/>
      <c r="AQ1397" s="1094"/>
      <c r="AR1397" s="1094"/>
      <c r="AS1397" s="1094"/>
      <c r="AT1397" s="1094"/>
      <c r="AU1397" s="1094"/>
      <c r="AV1397" s="1094"/>
      <c r="AW1397" s="1094"/>
      <c r="AX1397" s="1094"/>
      <c r="AY1397" s="1094"/>
      <c r="AZ1397" s="1094"/>
      <c r="BA1397" s="1094"/>
      <c r="BB1397" s="1094"/>
      <c r="BC1397" s="1094"/>
      <c r="BD1397" s="1094"/>
      <c r="BE1397" s="1094"/>
      <c r="BF1397" s="1094"/>
      <c r="BG1397" s="1094"/>
      <c r="BH1397" s="1094"/>
      <c r="BI1397" s="1094"/>
      <c r="BJ1397" s="1094"/>
      <c r="BK1397" s="1094"/>
      <c r="BL1397" s="1094"/>
      <c r="BM1397" s="1094"/>
      <c r="BN1397" s="1094"/>
      <c r="BO1397" s="1094"/>
      <c r="BP1397" s="1094"/>
      <c r="BQ1397" s="1094"/>
      <c r="BR1397" s="1094"/>
      <c r="BS1397" s="1094"/>
      <c r="BT1397" s="1094"/>
      <c r="BU1397" s="1094"/>
      <c r="BV1397" s="1094"/>
      <c r="BW1397" s="1094"/>
      <c r="BX1397" s="1094"/>
      <c r="BY1397" s="1094"/>
      <c r="BZ1397" s="1094"/>
      <c r="CA1397" s="1094"/>
      <c r="CB1397" s="1096"/>
    </row>
    <row r="1398" spans="1:80" ht="12.75" customHeight="1" x14ac:dyDescent="0.2">
      <c r="A1398" s="237">
        <v>1398</v>
      </c>
      <c r="B1398" s="5838"/>
      <c r="C1398" s="1061"/>
      <c r="D1398" s="66"/>
      <c r="E1398" s="1064" t="s">
        <v>1296</v>
      </c>
      <c r="F1398" s="85">
        <v>0</v>
      </c>
      <c r="G1398" s="85">
        <v>0</v>
      </c>
      <c r="H1398" s="85"/>
      <c r="I1398" s="1066"/>
      <c r="J1398" s="184"/>
      <c r="K1398" s="1057"/>
      <c r="M1398" s="336"/>
      <c r="N1398" s="23"/>
      <c r="O1398" s="142" t="s">
        <v>8004</v>
      </c>
      <c r="P1398" s="1059">
        <v>15</v>
      </c>
      <c r="Q1398" s="184">
        <v>20</v>
      </c>
      <c r="R1398" s="1066">
        <f>COUNTIF(PoderesDeCriatura_Adquiridos,Tablas!O1398)</f>
        <v>0</v>
      </c>
      <c r="S1398" s="184"/>
      <c r="T1398" s="1057"/>
      <c r="U1398">
        <v>4</v>
      </c>
      <c r="X1398" s="592"/>
    </row>
    <row r="1399" spans="1:80" ht="12.75" customHeight="1" x14ac:dyDescent="0.2">
      <c r="A1399" s="237">
        <v>1399</v>
      </c>
      <c r="B1399" s="5838"/>
      <c r="C1399" s="1061"/>
      <c r="D1399" s="66"/>
      <c r="E1399" s="1064" t="s">
        <v>2431</v>
      </c>
      <c r="F1399" s="85">
        <v>5</v>
      </c>
      <c r="G1399" s="85">
        <v>-10</v>
      </c>
      <c r="H1399" s="85">
        <f>COUNTIF(HabilidadesEsenciales_Adquiridas,Tablas!E1399)</f>
        <v>0</v>
      </c>
      <c r="I1399" s="1066">
        <v>1</v>
      </c>
      <c r="J1399" s="184"/>
      <c r="K1399" s="1057"/>
      <c r="M1399" s="336"/>
      <c r="N1399" s="23"/>
      <c r="O1399" s="142" t="s">
        <v>8005</v>
      </c>
      <c r="P1399" s="1059">
        <v>20</v>
      </c>
      <c r="Q1399" s="184">
        <v>30</v>
      </c>
      <c r="R1399" s="1066">
        <f>COUNTIF(PoderesDeCriatura_Adquiridos,Tablas!O1399)</f>
        <v>0</v>
      </c>
      <c r="S1399" s="184"/>
      <c r="T1399" s="1057"/>
      <c r="U1399">
        <v>4</v>
      </c>
    </row>
    <row r="1400" spans="1:80" ht="12.75" customHeight="1" x14ac:dyDescent="0.2">
      <c r="A1400" s="237">
        <v>1400</v>
      </c>
      <c r="B1400" s="5838"/>
      <c r="C1400" s="1061"/>
      <c r="D1400" s="66"/>
      <c r="E1400" s="1064" t="s">
        <v>2432</v>
      </c>
      <c r="F1400" s="85">
        <v>5</v>
      </c>
      <c r="G1400" s="85">
        <v>-10</v>
      </c>
      <c r="H1400" s="85">
        <f>COUNTIF(HabilidadesEsenciales_Adquiridas,Tablas!E1400)</f>
        <v>0</v>
      </c>
      <c r="I1400" s="1066"/>
      <c r="J1400" s="184"/>
      <c r="K1400" s="1057"/>
      <c r="M1400" s="336"/>
      <c r="N1400" s="23"/>
      <c r="O1400" s="142" t="s">
        <v>8006</v>
      </c>
      <c r="P1400" s="1059">
        <v>25</v>
      </c>
      <c r="Q1400" s="184">
        <v>40</v>
      </c>
      <c r="R1400" s="1066">
        <f>COUNTIF(PoderesDeCriatura_Adquiridos,Tablas!O1400)</f>
        <v>0</v>
      </c>
      <c r="S1400" s="184"/>
      <c r="T1400" s="1057"/>
      <c r="U1400">
        <v>4</v>
      </c>
      <c r="Y1400"/>
      <c r="Z1400" s="1229"/>
      <c r="AA1400" s="1229"/>
      <c r="AB1400" s="1229"/>
      <c r="AC1400" s="1229"/>
      <c r="AD1400" s="1229"/>
    </row>
    <row r="1401" spans="1:80" ht="12.75" customHeight="1" x14ac:dyDescent="0.2">
      <c r="A1401" s="237">
        <v>1401</v>
      </c>
      <c r="B1401" s="5838"/>
      <c r="C1401" s="1061"/>
      <c r="D1401" s="66"/>
      <c r="E1401" s="1064" t="s">
        <v>1297</v>
      </c>
      <c r="F1401" s="85">
        <v>5</v>
      </c>
      <c r="G1401" s="85">
        <v>-20</v>
      </c>
      <c r="H1401" s="85">
        <f>COUNTIF(HabilidadesEsenciales_Adquiridas,Tablas!E1401)</f>
        <v>0</v>
      </c>
      <c r="I1401" s="1066"/>
      <c r="J1401" s="184"/>
      <c r="K1401" s="1057"/>
      <c r="M1401" s="336"/>
      <c r="N1401" s="23"/>
      <c r="O1401" s="142" t="s">
        <v>8007</v>
      </c>
      <c r="P1401" s="1059">
        <v>35</v>
      </c>
      <c r="Q1401" s="184">
        <v>50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838"/>
      <c r="C1402" s="1061"/>
      <c r="D1402" s="66"/>
      <c r="E1402" s="1064" t="s">
        <v>1298</v>
      </c>
      <c r="F1402" s="85">
        <v>0</v>
      </c>
      <c r="G1402" s="85">
        <v>0</v>
      </c>
      <c r="H1402" s="85"/>
      <c r="I1402" s="1066"/>
      <c r="J1402" s="184"/>
      <c r="K1402" s="1057"/>
      <c r="M1402" s="336"/>
      <c r="N1402" s="23"/>
      <c r="O1402" s="142" t="s">
        <v>10191</v>
      </c>
      <c r="P1402" s="1059">
        <v>10</v>
      </c>
      <c r="Q1402" s="184">
        <v>-10</v>
      </c>
      <c r="R1402" s="1066">
        <f>COUNTIF(PoderesDeCriatura_Adquiridos,Tablas!O1402)</f>
        <v>0</v>
      </c>
      <c r="S1402" s="184"/>
      <c r="T1402" s="1057"/>
      <c r="U1402">
        <v>5</v>
      </c>
      <c r="Y1402"/>
    </row>
    <row r="1403" spans="1:80" ht="12.75" customHeight="1" x14ac:dyDescent="0.2">
      <c r="A1403" s="237">
        <v>1403</v>
      </c>
      <c r="B1403" s="5838"/>
      <c r="C1403" s="1061"/>
      <c r="D1403" s="66"/>
      <c r="E1403" s="1064" t="s">
        <v>2321</v>
      </c>
      <c r="F1403" s="85">
        <v>20</v>
      </c>
      <c r="G1403" s="85">
        <v>40</v>
      </c>
      <c r="H1403" s="85">
        <f>COUNTIF(HabilidadesEsenciales_Adquiridas,Tablas!E1403)</f>
        <v>0</v>
      </c>
      <c r="I1403" s="1066"/>
      <c r="J1403" s="184"/>
      <c r="K1403" s="1057"/>
      <c r="M1403" s="336"/>
      <c r="N1403" s="23"/>
      <c r="O1403" s="142" t="s">
        <v>10192</v>
      </c>
      <c r="P1403" s="1059">
        <v>10</v>
      </c>
      <c r="Q1403" s="184">
        <v>-15</v>
      </c>
      <c r="R1403" s="1066">
        <f>COUNTIF(PoderesDeCriatura_Adquiridos,Tablas!O1403)</f>
        <v>0</v>
      </c>
      <c r="S1403" s="184"/>
      <c r="T1403" s="1057"/>
      <c r="U1403">
        <v>5</v>
      </c>
      <c r="Y1403"/>
    </row>
    <row r="1404" spans="1:80" ht="12.75" customHeight="1" x14ac:dyDescent="0.2">
      <c r="A1404" s="237">
        <v>1404</v>
      </c>
      <c r="B1404" s="5838"/>
      <c r="C1404" s="1061"/>
      <c r="D1404" s="66"/>
      <c r="E1404" s="1064" t="s">
        <v>1299</v>
      </c>
      <c r="F1404" s="85">
        <v>20</v>
      </c>
      <c r="G1404" s="85">
        <v>20</v>
      </c>
      <c r="H1404" s="85">
        <f>COUNTIF(HabilidadesEsenciales_Adquiridas,Tablas!E1404)</f>
        <v>0</v>
      </c>
      <c r="I1404" s="1066"/>
      <c r="J1404" s="184"/>
      <c r="K1404" s="1057"/>
      <c r="M1404" s="336"/>
      <c r="N1404" s="23"/>
      <c r="O1404" s="142" t="s">
        <v>10193</v>
      </c>
      <c r="P1404" s="1059">
        <v>10</v>
      </c>
      <c r="Q1404" s="184">
        <v>-20</v>
      </c>
      <c r="R1404" s="1066">
        <f>COUNTIF(PoderesDeCriatura_Adquiridos,Tablas!O1404)</f>
        <v>0</v>
      </c>
      <c r="S1404" s="184"/>
      <c r="T1404" s="1057"/>
      <c r="U1404">
        <v>5</v>
      </c>
      <c r="Y1404"/>
    </row>
    <row r="1405" spans="1:80" ht="12.75" customHeight="1" x14ac:dyDescent="0.2">
      <c r="A1405" s="237">
        <v>1405</v>
      </c>
      <c r="B1405" s="5838"/>
      <c r="C1405" s="1061"/>
      <c r="D1405" s="66"/>
      <c r="E1405" s="1064" t="s">
        <v>2362</v>
      </c>
      <c r="F1405" s="85">
        <v>10</v>
      </c>
      <c r="G1405" s="85">
        <v>10</v>
      </c>
      <c r="H1405" s="85">
        <f>COUNTIF(HabilidadesEsenciales_Adquiridas,Tablas!E1405)</f>
        <v>0</v>
      </c>
      <c r="I1405" s="1066"/>
      <c r="J1405" s="184"/>
      <c r="K1405" s="1057"/>
      <c r="M1405" s="336"/>
      <c r="N1405" s="23"/>
      <c r="O1405" s="142" t="s">
        <v>10194</v>
      </c>
      <c r="P1405" s="1059">
        <v>20</v>
      </c>
      <c r="Q1405" s="184">
        <v>-25</v>
      </c>
      <c r="R1405" s="1066">
        <f>COUNTIF(PoderesDeCriatura_Adquiridos,Tablas!O1405)</f>
        <v>0</v>
      </c>
      <c r="S1405" s="184"/>
      <c r="T1405" s="1057"/>
      <c r="U1405">
        <v>5</v>
      </c>
      <c r="Y1405"/>
    </row>
    <row r="1406" spans="1:80" ht="12.75" customHeight="1" x14ac:dyDescent="0.2">
      <c r="A1406" s="237">
        <v>1406</v>
      </c>
      <c r="B1406" s="5838"/>
      <c r="C1406" s="1061"/>
      <c r="D1406" s="66"/>
      <c r="E1406" s="1064" t="s">
        <v>2438</v>
      </c>
      <c r="F1406" s="85">
        <v>5</v>
      </c>
      <c r="G1406" s="85">
        <v>20</v>
      </c>
      <c r="H1406" s="85">
        <f>COUNTIF(HabilidadesEsenciales_Adquiridas,Tablas!E1406)</f>
        <v>0</v>
      </c>
      <c r="I1406" s="1066"/>
      <c r="J1406" s="184"/>
      <c r="K1406" s="1057"/>
      <c r="M1406" s="336"/>
      <c r="N1406" s="23"/>
      <c r="O1406" s="142" t="s">
        <v>10195</v>
      </c>
      <c r="P1406" s="1059">
        <v>20</v>
      </c>
      <c r="Q1406" s="184">
        <v>-30</v>
      </c>
      <c r="R1406" s="1066">
        <f>COUNTIF(PoderesDeCriatura_Adquiridos,Tablas!O1406)</f>
        <v>0</v>
      </c>
      <c r="S1406" s="184"/>
      <c r="T1406" s="1057"/>
      <c r="U1406">
        <v>5</v>
      </c>
      <c r="Y1406"/>
    </row>
    <row r="1407" spans="1:80" ht="12.75" customHeight="1" x14ac:dyDescent="0.2">
      <c r="A1407" s="237">
        <v>1407</v>
      </c>
      <c r="B1407" s="5838"/>
      <c r="C1407" s="1061"/>
      <c r="D1407" s="66"/>
      <c r="E1407" s="1064" t="s">
        <v>2451</v>
      </c>
      <c r="F1407" s="85">
        <v>0</v>
      </c>
      <c r="G1407" s="85">
        <v>10</v>
      </c>
      <c r="H1407" s="85">
        <f>COUNTIF(HabilidadesEsenciales_Adquiridas,Tablas!E1407)</f>
        <v>0</v>
      </c>
      <c r="I1407" s="1066"/>
      <c r="J1407" s="184"/>
      <c r="K1407" s="1057"/>
      <c r="M1407" s="336"/>
      <c r="N1407" s="23"/>
      <c r="O1407" s="142" t="s">
        <v>8008</v>
      </c>
      <c r="P1407" s="1059">
        <v>10</v>
      </c>
      <c r="Q1407" s="184">
        <v>10</v>
      </c>
      <c r="R1407" s="1066">
        <f>COUNTIF(PoderesDeCriatura_Adquiridos,Tablas!O1407)</f>
        <v>0</v>
      </c>
      <c r="S1407" s="184">
        <f t="array" ref="S1407">MAX(R1407:R1416*{10;20;30;40;50;-10;-20;-30;-40;-50})</f>
        <v>0</v>
      </c>
      <c r="T1407" s="1057" t="s">
        <v>1468</v>
      </c>
      <c r="U1407">
        <v>5</v>
      </c>
      <c r="Y1407"/>
    </row>
    <row r="1408" spans="1:80" ht="12.75" customHeight="1" x14ac:dyDescent="0.2">
      <c r="A1408" s="237">
        <v>1408</v>
      </c>
      <c r="B1408" s="5838"/>
      <c r="C1408" s="1061"/>
      <c r="D1408" s="66"/>
      <c r="E1408" s="1064" t="s">
        <v>2457</v>
      </c>
      <c r="F1408" s="85">
        <v>10</v>
      </c>
      <c r="G1408" s="85">
        <v>20</v>
      </c>
      <c r="H1408" s="85">
        <f>COUNTIF(HabilidadesEsenciales_Adquiridas,Tablas!E1408)</f>
        <v>0</v>
      </c>
      <c r="I1408" s="1066">
        <v>1</v>
      </c>
      <c r="J1408" s="184"/>
      <c r="K1408" s="1057"/>
      <c r="M1408" s="336"/>
      <c r="N1408" s="23"/>
      <c r="O1408" s="142" t="s">
        <v>8009</v>
      </c>
      <c r="P1408" s="1059">
        <v>15</v>
      </c>
      <c r="Q1408" s="184">
        <v>20</v>
      </c>
      <c r="R1408" s="1066">
        <f>COUNTIF(PoderesDeCriatura_Adquiridos,Tablas!O1408)</f>
        <v>0</v>
      </c>
      <c r="S1408" s="184"/>
      <c r="T1408" s="1057"/>
      <c r="U1408">
        <v>5</v>
      </c>
      <c r="Y1408"/>
    </row>
    <row r="1409" spans="1:25" ht="12.75" customHeight="1" x14ac:dyDescent="0.2">
      <c r="A1409" s="237">
        <v>1409</v>
      </c>
      <c r="B1409" s="5838"/>
      <c r="C1409" s="1061"/>
      <c r="D1409" s="66"/>
      <c r="E1409" s="1064" t="s">
        <v>2461</v>
      </c>
      <c r="F1409" s="85">
        <v>10</v>
      </c>
      <c r="G1409" s="85">
        <v>20</v>
      </c>
      <c r="H1409" s="85">
        <f>COUNTIF(HabilidadesEsenciales_Adquiridas,Tablas!E1409)</f>
        <v>0</v>
      </c>
      <c r="I1409" s="1066"/>
      <c r="J1409" s="184"/>
      <c r="K1409" s="1057"/>
      <c r="M1409" s="336"/>
      <c r="N1409" s="23"/>
      <c r="O1409" s="142" t="s">
        <v>8010</v>
      </c>
      <c r="P1409" s="1059">
        <v>20</v>
      </c>
      <c r="Q1409" s="184">
        <v>30</v>
      </c>
      <c r="R1409" s="1066">
        <f>COUNTIF(PoderesDeCriatura_Adquiridos,Tablas!O1409)</f>
        <v>0</v>
      </c>
      <c r="S1409" s="184"/>
      <c r="T1409" s="1057"/>
      <c r="U1409">
        <v>5</v>
      </c>
      <c r="Y1409"/>
    </row>
    <row r="1410" spans="1:25" ht="12.75" customHeight="1" x14ac:dyDescent="0.2">
      <c r="A1410" s="237">
        <v>1410</v>
      </c>
      <c r="B1410" s="5838"/>
      <c r="C1410" s="1061"/>
      <c r="D1410" s="66"/>
      <c r="E1410" s="1064" t="s">
        <v>2463</v>
      </c>
      <c r="F1410" s="85">
        <v>15</v>
      </c>
      <c r="G1410" s="85">
        <v>30</v>
      </c>
      <c r="H1410" s="85">
        <f>COUNTIF(HabilidadesEsenciales_Adquiridas,Tablas!E1410)</f>
        <v>0</v>
      </c>
      <c r="I1410" s="1066"/>
      <c r="J1410" s="184"/>
      <c r="K1410" s="1057"/>
      <c r="M1410" s="336"/>
      <c r="N1410" s="23"/>
      <c r="O1410" s="142" t="s">
        <v>8011</v>
      </c>
      <c r="P1410" s="1059">
        <v>25</v>
      </c>
      <c r="Q1410" s="184">
        <v>40</v>
      </c>
      <c r="R1410" s="1066">
        <f>COUNTIF(PoderesDeCriatura_Adquiridos,Tablas!O1410)</f>
        <v>0</v>
      </c>
      <c r="S1410" s="184"/>
      <c r="T1410" s="1057"/>
      <c r="U1410">
        <v>5</v>
      </c>
    </row>
    <row r="1411" spans="1:25" ht="12.75" customHeight="1" x14ac:dyDescent="0.2">
      <c r="A1411" s="237">
        <v>1411</v>
      </c>
      <c r="B1411" s="5838"/>
      <c r="C1411" s="1061"/>
      <c r="D1411" s="66"/>
      <c r="E1411" s="1064" t="s">
        <v>1300</v>
      </c>
      <c r="F1411" s="85">
        <v>10</v>
      </c>
      <c r="G1411" s="85">
        <v>20</v>
      </c>
      <c r="H1411" s="85">
        <f>COUNTIF(HabilidadesEsenciales_Adquiridas,Tablas!E1411)</f>
        <v>0</v>
      </c>
      <c r="I1411" s="1066"/>
      <c r="J1411" s="184"/>
      <c r="K1411" s="1057"/>
      <c r="M1411" s="336"/>
      <c r="N1411" s="23"/>
      <c r="O1411" s="142" t="s">
        <v>8012</v>
      </c>
      <c r="P1411" s="1059">
        <v>35</v>
      </c>
      <c r="Q1411" s="184">
        <v>50</v>
      </c>
      <c r="R1411" s="1066">
        <f>COUNTIF(PoderesDeCriatura_Adquiridos,Tablas!O1411)</f>
        <v>0</v>
      </c>
      <c r="S1411" s="184"/>
      <c r="T1411" s="1057"/>
      <c r="U1411">
        <v>5</v>
      </c>
    </row>
    <row r="1412" spans="1:25" ht="12.75" customHeight="1" x14ac:dyDescent="0.2">
      <c r="A1412" s="237">
        <v>1412</v>
      </c>
      <c r="B1412" s="5838"/>
      <c r="C1412" s="1061"/>
      <c r="D1412" s="66"/>
      <c r="E1412" s="1064" t="s">
        <v>2474</v>
      </c>
      <c r="F1412" s="85">
        <v>5</v>
      </c>
      <c r="G1412" s="85">
        <v>20</v>
      </c>
      <c r="H1412" s="85">
        <f>COUNTIF(HabilidadesEsenciales_Adquiridas,Tablas!E1412)</f>
        <v>0</v>
      </c>
      <c r="I1412" s="1066">
        <v>1</v>
      </c>
      <c r="J1412" s="184"/>
      <c r="K1412" s="1057"/>
      <c r="M1412" s="336"/>
      <c r="N1412" s="23"/>
      <c r="O1412" s="142" t="s">
        <v>10186</v>
      </c>
      <c r="P1412" s="1059">
        <v>10</v>
      </c>
      <c r="Q1412" s="184">
        <v>-10</v>
      </c>
      <c r="R1412" s="1066">
        <f>COUNTIF(PoderesDeCriatura_Adquiridos,Tablas!O1412)</f>
        <v>0</v>
      </c>
      <c r="S1412" s="184"/>
      <c r="T1412" s="1057"/>
      <c r="U1412">
        <v>6</v>
      </c>
    </row>
    <row r="1413" spans="1:25" ht="12.75" customHeight="1" x14ac:dyDescent="0.2">
      <c r="A1413" s="237">
        <v>1413</v>
      </c>
      <c r="B1413" s="5838"/>
      <c r="C1413" s="1061"/>
      <c r="D1413" s="66"/>
      <c r="E1413" s="1064" t="s">
        <v>1301</v>
      </c>
      <c r="F1413" s="85">
        <v>0</v>
      </c>
      <c r="G1413" s="85">
        <v>20</v>
      </c>
      <c r="H1413" s="85">
        <f>COUNTIF(HabilidadesEsenciales_Adquiridas,Tablas!E1413)</f>
        <v>0</v>
      </c>
      <c r="I1413" s="1066">
        <v>1</v>
      </c>
      <c r="J1413" s="184"/>
      <c r="K1413" s="1057"/>
      <c r="M1413" s="336"/>
      <c r="N1413" s="23"/>
      <c r="O1413" s="142" t="s">
        <v>10187</v>
      </c>
      <c r="P1413" s="1059">
        <v>10</v>
      </c>
      <c r="Q1413" s="184">
        <v>-15</v>
      </c>
      <c r="R1413" s="1066">
        <f>COUNTIF(PoderesDeCriatura_Adquiridos,Tablas!O1413)</f>
        <v>0</v>
      </c>
      <c r="S1413" s="184"/>
      <c r="T1413" s="1057"/>
      <c r="U1413">
        <v>6</v>
      </c>
    </row>
    <row r="1414" spans="1:25" ht="12.75" customHeight="1" x14ac:dyDescent="0.2">
      <c r="A1414" s="237">
        <v>1414</v>
      </c>
      <c r="B1414" s="5838"/>
      <c r="C1414" s="1061"/>
      <c r="D1414" s="66"/>
      <c r="E1414" s="1064" t="s">
        <v>1302</v>
      </c>
      <c r="F1414" s="85">
        <v>0</v>
      </c>
      <c r="G1414" s="85">
        <v>0</v>
      </c>
      <c r="H1414" s="85"/>
      <c r="I1414" s="1066"/>
      <c r="J1414" s="184"/>
      <c r="K1414" s="1057"/>
      <c r="M1414" s="336"/>
      <c r="N1414" s="23"/>
      <c r="O1414" s="142" t="s">
        <v>10188</v>
      </c>
      <c r="P1414" s="1059">
        <v>10</v>
      </c>
      <c r="Q1414" s="184">
        <v>-20</v>
      </c>
      <c r="R1414" s="1066">
        <f>COUNTIF(PoderesDeCriatura_Adquiridos,Tablas!O1414)</f>
        <v>0</v>
      </c>
      <c r="S1414" s="184"/>
      <c r="T1414" s="1057"/>
      <c r="U1414">
        <v>6</v>
      </c>
    </row>
    <row r="1415" spans="1:25" ht="12.75" customHeight="1" x14ac:dyDescent="0.2">
      <c r="A1415" s="237">
        <v>1415</v>
      </c>
      <c r="B1415" s="5838"/>
      <c r="C1415" s="1061"/>
      <c r="D1415" s="66"/>
      <c r="E1415" s="1064" t="s">
        <v>1303</v>
      </c>
      <c r="F1415" s="85">
        <v>0</v>
      </c>
      <c r="G1415" s="85">
        <v>-30</v>
      </c>
      <c r="H1415" s="85">
        <f>COUNTIF(HabilidadesEsenciales_Adquiridas,Tablas!E1415)</f>
        <v>0</v>
      </c>
      <c r="I1415" s="1066"/>
      <c r="J1415" s="184"/>
      <c r="K1415" s="1057"/>
      <c r="M1415" s="336"/>
      <c r="N1415" s="23"/>
      <c r="O1415" s="142" t="s">
        <v>10189</v>
      </c>
      <c r="P1415" s="1059">
        <v>20</v>
      </c>
      <c r="Q1415" s="184">
        <v>-25</v>
      </c>
      <c r="R1415" s="1066">
        <f>COUNTIF(PoderesDeCriatura_Adquiridos,Tablas!O1415)</f>
        <v>0</v>
      </c>
      <c r="S1415" s="184"/>
      <c r="T1415" s="1057"/>
      <c r="U1415">
        <v>6</v>
      </c>
    </row>
    <row r="1416" spans="1:25" ht="12.75" customHeight="1" x14ac:dyDescent="0.2">
      <c r="A1416" s="237">
        <v>1416</v>
      </c>
      <c r="B1416" s="5838"/>
      <c r="C1416" s="1061"/>
      <c r="D1416" s="66"/>
      <c r="E1416" s="1064" t="s">
        <v>1304</v>
      </c>
      <c r="F1416" s="85">
        <v>0</v>
      </c>
      <c r="G1416" s="85">
        <v>-20</v>
      </c>
      <c r="H1416" s="85">
        <f>COUNTIF(HabilidadesEsenciales_Adquiridas,Tablas!E1416)</f>
        <v>0</v>
      </c>
      <c r="I1416" s="1066"/>
      <c r="J1416" s="184"/>
      <c r="K1416" s="1057"/>
      <c r="M1416" s="336"/>
      <c r="N1416" s="23"/>
      <c r="O1416" s="142" t="s">
        <v>10190</v>
      </c>
      <c r="P1416" s="1059">
        <v>20</v>
      </c>
      <c r="Q1416" s="184">
        <v>-30</v>
      </c>
      <c r="R1416" s="1066">
        <f>COUNTIF(PoderesDeCriatura_Adquiridos,Tablas!O1416)</f>
        <v>0</v>
      </c>
      <c r="S1416" s="184"/>
      <c r="T1416" s="1057"/>
      <c r="U1416">
        <v>6</v>
      </c>
    </row>
    <row r="1417" spans="1:25" ht="12.75" customHeight="1" x14ac:dyDescent="0.2">
      <c r="A1417" s="237">
        <v>1417</v>
      </c>
      <c r="B1417" s="5838"/>
      <c r="C1417" s="1061"/>
      <c r="D1417" s="66"/>
      <c r="E1417" s="1064" t="s">
        <v>7525</v>
      </c>
      <c r="F1417" s="85"/>
      <c r="G1417" s="85"/>
      <c r="H1417" s="85"/>
      <c r="I1417" s="1066"/>
      <c r="J1417" s="184"/>
      <c r="K1417" s="1057"/>
      <c r="M1417" s="336"/>
      <c r="N1417" s="23"/>
      <c r="O1417" s="142" t="s">
        <v>8013</v>
      </c>
      <c r="P1417" s="1059">
        <v>0</v>
      </c>
      <c r="Q1417" s="184">
        <v>10</v>
      </c>
      <c r="R1417" s="1066">
        <f>COUNTIF(PoderesDeCriatura_Adquiridos,Tablas!O1417)</f>
        <v>0</v>
      </c>
      <c r="S1417" s="184">
        <f>IF(SUM(R1430:R1434)&gt;0,0,SUMPRODUCT(R1417:R1427,VALUE(RIGHT(O1417:O1427,2))))</f>
        <v>0</v>
      </c>
      <c r="T1417" s="1057" t="s">
        <v>1371</v>
      </c>
      <c r="U1417">
        <v>6</v>
      </c>
    </row>
    <row r="1418" spans="1:25" ht="12.75" customHeight="1" x14ac:dyDescent="0.2">
      <c r="A1418" s="237">
        <v>1418</v>
      </c>
      <c r="B1418" s="5838"/>
      <c r="C1418" s="1061"/>
      <c r="D1418" s="66"/>
      <c r="E1418" s="1064" t="str">
        <f>IF(Personalización!$I25="","Habilidad #1",Personalización!$I25)</f>
        <v>Habilidad #1</v>
      </c>
      <c r="F1418" s="85">
        <f>Personalización!P25</f>
        <v>0</v>
      </c>
      <c r="G1418" s="85">
        <f>Personalización!Q25</f>
        <v>0</v>
      </c>
      <c r="H1418" s="85">
        <f>COUNTIF(HabilidadesEsenciales_Adquiridas,Tablas!E1418)</f>
        <v>0</v>
      </c>
      <c r="I1418" s="1066"/>
      <c r="J1418" s="184"/>
      <c r="K1418" s="1057"/>
      <c r="M1418" s="336"/>
      <c r="N1418" s="23"/>
      <c r="O1418" s="142" t="s">
        <v>8014</v>
      </c>
      <c r="P1418" s="1059">
        <v>0</v>
      </c>
      <c r="Q1418" s="184">
        <v>20</v>
      </c>
      <c r="R1418" s="1066">
        <f>COUNTIF(PoderesDeCriatura_Adquiridos,Tablas!O1418)</f>
        <v>0</v>
      </c>
      <c r="S1418" s="184"/>
      <c r="T1418" s="1057"/>
      <c r="U1418">
        <v>6</v>
      </c>
    </row>
    <row r="1419" spans="1:25" ht="12.75" customHeight="1" x14ac:dyDescent="0.2">
      <c r="A1419" s="237">
        <v>1419</v>
      </c>
      <c r="B1419" s="5838"/>
      <c r="C1419" s="1061"/>
      <c r="D1419" s="66"/>
      <c r="E1419" s="1064" t="str">
        <f>IF(Personalización!$I26="","Habilidad #2",Personalización!$I26)</f>
        <v>Habilidad #2</v>
      </c>
      <c r="F1419" s="85">
        <f>Personalización!P26</f>
        <v>0</v>
      </c>
      <c r="G1419" s="85">
        <f>Personalización!Q26</f>
        <v>0</v>
      </c>
      <c r="H1419" s="85">
        <f>COUNTIF(HabilidadesEsenciales_Adquiridas,Tablas!E1419)</f>
        <v>0</v>
      </c>
      <c r="I1419" s="1066"/>
      <c r="J1419" s="184"/>
      <c r="K1419" s="1057"/>
      <c r="M1419" s="336"/>
      <c r="N1419" s="23"/>
      <c r="O1419" s="142" t="s">
        <v>8015</v>
      </c>
      <c r="P1419" s="1059">
        <v>0</v>
      </c>
      <c r="Q1419" s="184">
        <v>30</v>
      </c>
      <c r="R1419" s="1066">
        <f>COUNTIF(PoderesDeCriatura_Adquiridos,Tablas!O1419)</f>
        <v>0</v>
      </c>
      <c r="S1419" s="184"/>
      <c r="T1419" s="1057"/>
      <c r="U1419">
        <v>6</v>
      </c>
    </row>
    <row r="1420" spans="1:25" ht="12.75" customHeight="1" x14ac:dyDescent="0.2">
      <c r="A1420" s="237">
        <v>1420</v>
      </c>
      <c r="B1420" s="5838"/>
      <c r="C1420" s="1061"/>
      <c r="D1420" s="66"/>
      <c r="E1420" s="1064" t="str">
        <f>IF(Personalización!$I27="","Habilidad #3",Personalización!$I27)</f>
        <v>Habilidad #3</v>
      </c>
      <c r="F1420" s="85">
        <f>Personalización!P27</f>
        <v>0</v>
      </c>
      <c r="G1420" s="85">
        <f>Personalización!Q27</f>
        <v>0</v>
      </c>
      <c r="H1420" s="85">
        <f>COUNTIF(HabilidadesEsenciales_Adquiridas,Tablas!E1420)</f>
        <v>0</v>
      </c>
      <c r="I1420" s="1066"/>
      <c r="J1420" s="184"/>
      <c r="K1420" s="1057"/>
      <c r="M1420" s="336"/>
      <c r="N1420" s="23"/>
      <c r="O1420" s="142" t="s">
        <v>8016</v>
      </c>
      <c r="P1420" s="1059">
        <v>5</v>
      </c>
      <c r="Q1420" s="184">
        <v>40</v>
      </c>
      <c r="R1420" s="1066">
        <f>COUNTIF(PoderesDeCriatura_Adquiridos,Tablas!O1420)</f>
        <v>0</v>
      </c>
      <c r="S1420" s="184"/>
      <c r="T1420" s="1057"/>
      <c r="U1420">
        <v>6</v>
      </c>
    </row>
    <row r="1421" spans="1:25" ht="12.75" customHeight="1" x14ac:dyDescent="0.2">
      <c r="A1421" s="237">
        <v>1421</v>
      </c>
      <c r="B1421" s="5838"/>
      <c r="C1421" s="1061"/>
      <c r="D1421" s="66"/>
      <c r="E1421" s="1064" t="str">
        <f>IF(Personalización!$I28="","Habilidad #4",Personalización!$I28)</f>
        <v>Habilidad #4</v>
      </c>
      <c r="F1421" s="85">
        <f>Personalización!P28</f>
        <v>0</v>
      </c>
      <c r="G1421" s="85">
        <f>Personalización!Q28</f>
        <v>0</v>
      </c>
      <c r="H1421" s="85">
        <f>COUNTIF(HabilidadesEsenciales_Adquiridas,Tablas!E1421)</f>
        <v>0</v>
      </c>
      <c r="I1421" s="1066"/>
      <c r="J1421" s="184"/>
      <c r="K1421" s="1057"/>
      <c r="M1421" s="336"/>
      <c r="N1421" s="23"/>
      <c r="O1421" s="142" t="s">
        <v>8017</v>
      </c>
      <c r="P1421" s="1059">
        <v>10</v>
      </c>
      <c r="Q1421" s="184">
        <v>60</v>
      </c>
      <c r="R1421" s="1066">
        <f>COUNTIF(PoderesDeCriatura_Adquiridos,Tablas!O1421)</f>
        <v>0</v>
      </c>
      <c r="S1421" s="184"/>
      <c r="T1421" s="1057"/>
      <c r="U1421">
        <v>6</v>
      </c>
    </row>
    <row r="1422" spans="1:25" ht="12.75" customHeight="1" thickBot="1" x14ac:dyDescent="0.25">
      <c r="A1422" s="237">
        <v>1422</v>
      </c>
      <c r="B1422" s="5838"/>
      <c r="C1422" s="1062"/>
      <c r="D1422" s="1063"/>
      <c r="E1422" s="1065" t="str">
        <f>IF(Personalización!$I29="","Habilidad #5",Personalización!$I29)</f>
        <v>Habilidad #5</v>
      </c>
      <c r="F1422" s="1046">
        <f>Personalización!P29</f>
        <v>0</v>
      </c>
      <c r="G1422" s="1046">
        <f>Personalización!Q29</f>
        <v>0</v>
      </c>
      <c r="H1422" s="1046">
        <f>COUNTIF(HabilidadesEsenciales_Adquiridas,Tablas!E1422)</f>
        <v>0</v>
      </c>
      <c r="I1422" s="1067"/>
      <c r="J1422" s="864"/>
      <c r="K1422" s="1058"/>
      <c r="M1422" s="336"/>
      <c r="N1422" s="23"/>
      <c r="O1422" s="142" t="s">
        <v>8018</v>
      </c>
      <c r="P1422" s="1059">
        <v>15</v>
      </c>
      <c r="Q1422" s="184">
        <v>100</v>
      </c>
      <c r="R1422" s="1066">
        <f>COUNTIF(PoderesDeCriatura_Adquiridos,Tablas!O1422)</f>
        <v>0</v>
      </c>
      <c r="S1422" s="184"/>
      <c r="T1422" s="1057"/>
      <c r="U1422">
        <v>6</v>
      </c>
    </row>
    <row r="1423" spans="1:25" ht="12.75" customHeight="1" x14ac:dyDescent="0.2">
      <c r="A1423" s="237">
        <v>1423</v>
      </c>
      <c r="B1423" s="5838"/>
      <c r="C1423" s="592"/>
      <c r="H1423"/>
      <c r="M1423" s="336"/>
      <c r="N1423" s="23"/>
      <c r="O1423" s="142" t="s">
        <v>8019</v>
      </c>
      <c r="P1423" s="1059">
        <v>20</v>
      </c>
      <c r="Q1423" s="184">
        <v>140</v>
      </c>
      <c r="R1423" s="1066">
        <f>COUNTIF(PoderesDeCriatura_Adquiridos,Tablas!O1423)</f>
        <v>0</v>
      </c>
      <c r="S1423" s="184"/>
      <c r="T1423" s="1057"/>
      <c r="U1423">
        <v>6</v>
      </c>
    </row>
    <row r="1424" spans="1:25" ht="12.75" customHeight="1" x14ac:dyDescent="0.2">
      <c r="A1424" s="237">
        <v>1424</v>
      </c>
      <c r="B1424" s="5838"/>
      <c r="C1424" s="592"/>
      <c r="H1424"/>
      <c r="M1424" s="336"/>
      <c r="N1424" s="23"/>
      <c r="O1424" s="142" t="s">
        <v>8020</v>
      </c>
      <c r="P1424" s="1059">
        <v>25</v>
      </c>
      <c r="Q1424" s="184">
        <v>160</v>
      </c>
      <c r="R1424" s="1066">
        <f>COUNTIF(PoderesDeCriatura_Adquiridos,Tablas!O1424)</f>
        <v>0</v>
      </c>
      <c r="S1424" s="184"/>
      <c r="T1424" s="1057"/>
      <c r="U1424">
        <v>6</v>
      </c>
    </row>
    <row r="1425" spans="1:21" ht="12.75" customHeight="1" x14ac:dyDescent="0.2">
      <c r="A1425" s="237">
        <v>1425</v>
      </c>
      <c r="B1425" s="5838"/>
      <c r="C1425" s="592"/>
      <c r="H1425"/>
      <c r="M1425" s="336"/>
      <c r="N1425" s="23"/>
      <c r="O1425" s="142" t="s">
        <v>8021</v>
      </c>
      <c r="P1425" s="1059">
        <v>35</v>
      </c>
      <c r="Q1425" s="184">
        <v>180</v>
      </c>
      <c r="R1425" s="1066">
        <f>COUNTIF(PoderesDeCriatura_Adquiridos,Tablas!O1425)</f>
        <v>0</v>
      </c>
      <c r="S1425" s="184"/>
      <c r="T1425" s="1057"/>
    </row>
    <row r="1426" spans="1:21" ht="12.75" customHeight="1" x14ac:dyDescent="0.2">
      <c r="A1426" s="237">
        <v>1426</v>
      </c>
      <c r="B1426" s="5838"/>
      <c r="C1426" s="592"/>
      <c r="H1426"/>
      <c r="M1426" s="336"/>
      <c r="N1426" s="23"/>
      <c r="O1426" s="142" t="s">
        <v>8022</v>
      </c>
      <c r="P1426" s="1059">
        <v>45</v>
      </c>
      <c r="Q1426" s="184">
        <v>200</v>
      </c>
      <c r="R1426" s="1066">
        <f>COUNTIF(PoderesDeCriatura_Adquiridos,Tablas!O1426)</f>
        <v>0</v>
      </c>
      <c r="S1426" s="184"/>
      <c r="T1426" s="1057"/>
    </row>
    <row r="1427" spans="1:21" ht="12.75" customHeight="1" x14ac:dyDescent="0.2">
      <c r="A1427" s="237">
        <v>1427</v>
      </c>
      <c r="B1427" s="5838"/>
      <c r="C1427" s="592"/>
      <c r="H1427"/>
      <c r="M1427" s="336"/>
      <c r="N1427" s="23"/>
      <c r="O1427" s="142" t="s">
        <v>8023</v>
      </c>
      <c r="P1427" s="1059">
        <v>50</v>
      </c>
      <c r="Q1427" s="184">
        <v>220</v>
      </c>
      <c r="R1427" s="1066">
        <f>COUNTIF(PoderesDeCriatura_Adquiridos,Tablas!O1427)</f>
        <v>0</v>
      </c>
      <c r="S1427" s="184"/>
      <c r="T1427" s="1057"/>
      <c r="U1427" s="269"/>
    </row>
    <row r="1428" spans="1:21" ht="12.75" customHeight="1" x14ac:dyDescent="0.2">
      <c r="A1428" s="237">
        <v>1428</v>
      </c>
      <c r="B1428" s="5838"/>
      <c r="C1428" s="592"/>
      <c r="H1428"/>
      <c r="M1428" s="336"/>
      <c r="N1428" s="23"/>
      <c r="O1428" s="142" t="s">
        <v>8024</v>
      </c>
      <c r="P1428" s="1059">
        <v>0</v>
      </c>
      <c r="Q1428" s="184">
        <v>-10</v>
      </c>
      <c r="R1428" s="1066">
        <f>COUNTIF(PoderesDeCriatura_Adquiridos,Tablas!O1428)</f>
        <v>0</v>
      </c>
      <c r="S1428" s="184"/>
      <c r="T1428" s="1057"/>
      <c r="U1428" s="269"/>
    </row>
    <row r="1429" spans="1:21" ht="12.75" customHeight="1" x14ac:dyDescent="0.2">
      <c r="A1429" s="237">
        <v>1429</v>
      </c>
      <c r="B1429" s="5838"/>
      <c r="C1429" s="592"/>
      <c r="H1429"/>
      <c r="M1429" s="336"/>
      <c r="N1429" s="23"/>
      <c r="O1429" s="142" t="s">
        <v>8025</v>
      </c>
      <c r="P1429" s="1059">
        <v>10</v>
      </c>
      <c r="Q1429" s="184">
        <v>-40</v>
      </c>
      <c r="R1429" s="1066">
        <f>COUNTIF(PoderesDeCriatura_Adquiridos,Tablas!O1429)</f>
        <v>0</v>
      </c>
      <c r="S1429" s="184"/>
      <c r="T1429" s="1057"/>
      <c r="U1429" s="269"/>
    </row>
    <row r="1430" spans="1:21" ht="12.75" customHeight="1" x14ac:dyDescent="0.2">
      <c r="A1430" s="237">
        <v>1430</v>
      </c>
      <c r="B1430" s="5838"/>
      <c r="C1430" s="592"/>
      <c r="H1430"/>
      <c r="M1430" s="336"/>
      <c r="N1430" s="23"/>
      <c r="O1430" s="142" t="s">
        <v>8026</v>
      </c>
      <c r="P1430" s="1059">
        <v>10</v>
      </c>
      <c r="Q1430" s="184">
        <v>-30</v>
      </c>
      <c r="R1430" s="1066">
        <f>COUNTIF(PoderesDeCriatura_Adquiridos,Tablas!O1430)</f>
        <v>0</v>
      </c>
      <c r="S1430" s="184"/>
      <c r="T1430" s="1057"/>
      <c r="U1430" s="269"/>
    </row>
    <row r="1431" spans="1:21" ht="12.75" customHeight="1" x14ac:dyDescent="0.2">
      <c r="A1431" s="237">
        <v>1431</v>
      </c>
      <c r="B1431" s="5838"/>
      <c r="C1431" s="592"/>
      <c r="H1431"/>
      <c r="M1431" s="336"/>
      <c r="N1431" s="23"/>
      <c r="O1431" s="142" t="s">
        <v>8027</v>
      </c>
      <c r="P1431" s="1059">
        <v>10</v>
      </c>
      <c r="Q1431" s="184">
        <v>-40</v>
      </c>
      <c r="R1431" s="1066">
        <f>COUNTIF(PoderesDeCriatura_Adquiridos,Tablas!O1431)</f>
        <v>0</v>
      </c>
      <c r="S1431" s="184">
        <f t="array" ref="S1431">MIN(R1431:R1434*{-10;-25;-50;-100})</f>
        <v>0</v>
      </c>
      <c r="T1431" s="1057" t="s">
        <v>7258</v>
      </c>
      <c r="U1431" s="269"/>
    </row>
    <row r="1432" spans="1:21" ht="12.75" customHeight="1" x14ac:dyDescent="0.2">
      <c r="A1432" s="237">
        <v>1432</v>
      </c>
      <c r="B1432" s="5838"/>
      <c r="C1432" s="592"/>
      <c r="H1432"/>
      <c r="M1432" s="336"/>
      <c r="N1432" s="23"/>
      <c r="O1432" s="142" t="s">
        <v>8028</v>
      </c>
      <c r="P1432" s="1059">
        <v>10</v>
      </c>
      <c r="Q1432" s="184">
        <v>-45</v>
      </c>
      <c r="R1432" s="1066">
        <f>COUNTIF(PoderesDeCriatura_Adquiridos,Tablas!O1432)</f>
        <v>0</v>
      </c>
      <c r="S1432" s="184"/>
      <c r="T1432" s="1057"/>
      <c r="U1432" s="269"/>
    </row>
    <row r="1433" spans="1:21" ht="12.75" customHeight="1" x14ac:dyDescent="0.2">
      <c r="A1433" s="237">
        <v>1433</v>
      </c>
      <c r="B1433" s="5838"/>
      <c r="C1433" s="592"/>
      <c r="H1433"/>
      <c r="M1433" s="336"/>
      <c r="N1433" s="23"/>
      <c r="O1433" s="142" t="s">
        <v>8029</v>
      </c>
      <c r="P1433" s="1059">
        <v>10</v>
      </c>
      <c r="Q1433" s="184">
        <v>-50</v>
      </c>
      <c r="R1433" s="1066">
        <f>COUNTIF(PoderesDeCriatura_Adquiridos,Tablas!O1433)</f>
        <v>0</v>
      </c>
      <c r="S1433" s="184"/>
      <c r="T1433" s="1057"/>
      <c r="U1433" s="269"/>
    </row>
    <row r="1434" spans="1:21" ht="12.75" customHeight="1" x14ac:dyDescent="0.2">
      <c r="A1434" s="237">
        <v>1434</v>
      </c>
      <c r="B1434" s="5838"/>
      <c r="C1434" s="592"/>
      <c r="H1434"/>
      <c r="M1434" s="336"/>
      <c r="N1434" s="23"/>
      <c r="O1434" s="142" t="s">
        <v>8030</v>
      </c>
      <c r="P1434" s="1059">
        <v>10</v>
      </c>
      <c r="Q1434" s="184">
        <v>-60</v>
      </c>
      <c r="R1434" s="1066">
        <f>COUNTIF(PoderesDeCriatura_Adquiridos,Tablas!O1434)</f>
        <v>0</v>
      </c>
      <c r="S1434" s="184"/>
      <c r="T1434" s="1057"/>
      <c r="U1434" s="269"/>
    </row>
    <row r="1435" spans="1:21" ht="12.75" customHeight="1" x14ac:dyDescent="0.2">
      <c r="A1435" s="237">
        <v>1435</v>
      </c>
      <c r="B1435" s="5838"/>
      <c r="C1435" s="592"/>
      <c r="H1435"/>
      <c r="M1435" s="336"/>
      <c r="N1435" s="23"/>
      <c r="O1435" s="142" t="s">
        <v>1323</v>
      </c>
      <c r="P1435" s="1059"/>
      <c r="Q1435" s="184"/>
      <c r="R1435" s="1066"/>
      <c r="S1435" s="184"/>
      <c r="T1435" s="1057"/>
      <c r="U1435" s="269"/>
    </row>
    <row r="1436" spans="1:21" ht="12.75" customHeight="1" x14ac:dyDescent="0.2">
      <c r="A1436" s="237">
        <v>1436</v>
      </c>
      <c r="B1436" s="5838"/>
      <c r="C1436" s="592"/>
      <c r="H1436"/>
      <c r="M1436" s="336"/>
      <c r="N1436" s="23"/>
      <c r="O1436" s="142" t="s">
        <v>8635</v>
      </c>
      <c r="P1436" s="1059">
        <v>15</v>
      </c>
      <c r="Q1436" s="184">
        <v>40</v>
      </c>
      <c r="R1436" s="1066">
        <f>COUNTIF(PoderesDeCriatura_Adquiridos,Tablas!O1436)</f>
        <v>0</v>
      </c>
      <c r="S1436" s="184"/>
      <c r="T1436" s="1057"/>
      <c r="U1436" s="269"/>
    </row>
    <row r="1437" spans="1:21" ht="12.75" customHeight="1" x14ac:dyDescent="0.2">
      <c r="A1437" s="237">
        <v>1437</v>
      </c>
      <c r="B1437" s="5838"/>
      <c r="C1437" s="592"/>
      <c r="H1437"/>
      <c r="M1437" s="336"/>
      <c r="N1437" s="23"/>
      <c r="O1437" s="142" t="s">
        <v>8636</v>
      </c>
      <c r="P1437" s="1059">
        <v>20</v>
      </c>
      <c r="Q1437" s="184">
        <v>60</v>
      </c>
      <c r="R1437" s="1066">
        <f>COUNTIF(PoderesDeCriatura_Adquiridos,Tablas!O1437)</f>
        <v>0</v>
      </c>
      <c r="S1437" s="184"/>
      <c r="T1437" s="1057"/>
      <c r="U1437" s="269"/>
    </row>
    <row r="1438" spans="1:21" ht="12.75" customHeight="1" x14ac:dyDescent="0.2">
      <c r="A1438" s="237">
        <v>1438</v>
      </c>
      <c r="B1438" s="5838"/>
      <c r="C1438" s="592"/>
      <c r="H1438"/>
      <c r="M1438" s="336"/>
      <c r="N1438" s="23"/>
      <c r="O1438" s="142" t="s">
        <v>8637</v>
      </c>
      <c r="P1438" s="1059">
        <v>20</v>
      </c>
      <c r="Q1438" s="184">
        <v>80</v>
      </c>
      <c r="R1438" s="1066">
        <f>COUNTIF(PoderesDeCriatura_Adquiridos,Tablas!O1438)</f>
        <v>0</v>
      </c>
      <c r="S1438" s="184"/>
      <c r="T1438" s="1057"/>
      <c r="U1438" s="269"/>
    </row>
    <row r="1439" spans="1:21" ht="12.75" customHeight="1" x14ac:dyDescent="0.2">
      <c r="A1439" s="237">
        <v>1439</v>
      </c>
      <c r="B1439" s="5838"/>
      <c r="C1439" s="592"/>
      <c r="H1439"/>
      <c r="M1439" s="336"/>
      <c r="N1439" s="23"/>
      <c r="O1439" s="142" t="s">
        <v>8638</v>
      </c>
      <c r="P1439" s="1059">
        <v>25</v>
      </c>
      <c r="Q1439" s="184">
        <v>100</v>
      </c>
      <c r="R1439" s="1066">
        <f>COUNTIF(PoderesDeCriatura_Adquiridos,Tablas!O1439)</f>
        <v>0</v>
      </c>
      <c r="S1439" s="184"/>
      <c r="T1439" s="1057"/>
      <c r="U1439" s="269"/>
    </row>
    <row r="1440" spans="1:21" ht="12.75" customHeight="1" x14ac:dyDescent="0.2">
      <c r="A1440" s="237">
        <v>1440</v>
      </c>
      <c r="B1440" s="5838"/>
      <c r="C1440" s="592"/>
      <c r="H1440"/>
      <c r="M1440" s="336"/>
      <c r="N1440" s="23"/>
      <c r="O1440" s="142" t="s">
        <v>8639</v>
      </c>
      <c r="P1440" s="1059">
        <v>30</v>
      </c>
      <c r="Q1440" s="184">
        <v>140</v>
      </c>
      <c r="R1440" s="1066">
        <f>COUNTIF(PoderesDeCriatura_Adquiridos,Tablas!O1440)</f>
        <v>0</v>
      </c>
      <c r="S1440" s="184"/>
      <c r="T1440" s="1057"/>
      <c r="U1440" s="269"/>
    </row>
    <row r="1441" spans="1:21" ht="12.75" customHeight="1" x14ac:dyDescent="0.2">
      <c r="A1441" s="237">
        <v>1441</v>
      </c>
      <c r="B1441" s="5838"/>
      <c r="C1441" s="592"/>
      <c r="H1441"/>
      <c r="M1441" s="336"/>
      <c r="N1441" s="23"/>
      <c r="O1441" s="142" t="s">
        <v>8640</v>
      </c>
      <c r="P1441" s="1059">
        <v>35</v>
      </c>
      <c r="Q1441" s="184">
        <v>180</v>
      </c>
      <c r="R1441" s="1066">
        <f>COUNTIF(PoderesDeCriatura_Adquiridos,Tablas!O1441)</f>
        <v>0</v>
      </c>
      <c r="S1441" s="184"/>
      <c r="T1441" s="1057"/>
      <c r="U1441" s="269"/>
    </row>
    <row r="1442" spans="1:21" ht="12.75" customHeight="1" x14ac:dyDescent="0.2">
      <c r="A1442" s="237">
        <v>1442</v>
      </c>
      <c r="B1442" s="5838"/>
      <c r="C1442" s="592"/>
      <c r="H1442"/>
      <c r="M1442" s="336"/>
      <c r="N1442" s="23"/>
      <c r="O1442" s="142" t="s">
        <v>8641</v>
      </c>
      <c r="P1442" s="1059">
        <v>15</v>
      </c>
      <c r="Q1442" s="184">
        <v>30</v>
      </c>
      <c r="R1442" s="1066">
        <f>COUNTIF(PoderesDeCriatura_Adquiridos,Tablas!O1442)</f>
        <v>0</v>
      </c>
      <c r="S1442" s="184"/>
      <c r="T1442" s="1057"/>
      <c r="U1442" s="269"/>
    </row>
    <row r="1443" spans="1:21" ht="12.75" customHeight="1" x14ac:dyDescent="0.2">
      <c r="A1443" s="237">
        <v>1443</v>
      </c>
      <c r="B1443" s="5838"/>
      <c r="C1443" s="592"/>
      <c r="H1443"/>
      <c r="M1443" s="336"/>
      <c r="N1443" s="23"/>
      <c r="O1443" s="142" t="s">
        <v>8642</v>
      </c>
      <c r="P1443" s="1059">
        <v>15</v>
      </c>
      <c r="Q1443" s="184">
        <v>40</v>
      </c>
      <c r="R1443" s="1066">
        <f>COUNTIF(PoderesDeCriatura_Adquiridos,Tablas!O1443)</f>
        <v>0</v>
      </c>
      <c r="S1443" s="184"/>
      <c r="T1443" s="1057"/>
      <c r="U1443" s="269"/>
    </row>
    <row r="1444" spans="1:21" ht="12.75" customHeight="1" x14ac:dyDescent="0.2">
      <c r="A1444" s="237">
        <v>1444</v>
      </c>
      <c r="B1444" s="5838"/>
      <c r="C1444" s="592"/>
      <c r="H1444"/>
      <c r="M1444" s="336"/>
      <c r="N1444" s="23"/>
      <c r="O1444" s="142" t="s">
        <v>8643</v>
      </c>
      <c r="P1444" s="1059">
        <v>20</v>
      </c>
      <c r="Q1444" s="184">
        <v>50</v>
      </c>
      <c r="R1444" s="1066">
        <f>COUNTIF(PoderesDeCriatura_Adquiridos,Tablas!O1444)</f>
        <v>0</v>
      </c>
      <c r="S1444" s="184"/>
      <c r="T1444" s="1057"/>
      <c r="U1444" s="269"/>
    </row>
    <row r="1445" spans="1:21" ht="12.75" customHeight="1" x14ac:dyDescent="0.2">
      <c r="A1445" s="237">
        <v>1445</v>
      </c>
      <c r="B1445" s="5838"/>
      <c r="C1445" s="592"/>
      <c r="H1445"/>
      <c r="M1445" s="336"/>
      <c r="N1445" s="23"/>
      <c r="O1445" s="142" t="s">
        <v>8644</v>
      </c>
      <c r="P1445" s="1059">
        <v>20</v>
      </c>
      <c r="Q1445" s="184">
        <v>75</v>
      </c>
      <c r="R1445" s="1066">
        <f>COUNTIF(PoderesDeCriatura_Adquiridos,Tablas!O1445)</f>
        <v>0</v>
      </c>
      <c r="S1445" s="184"/>
      <c r="T1445" s="1057"/>
      <c r="U1445" s="269"/>
    </row>
    <row r="1446" spans="1:21" ht="12.75" customHeight="1" x14ac:dyDescent="0.2">
      <c r="A1446" s="237">
        <v>1446</v>
      </c>
      <c r="B1446" s="5838"/>
      <c r="C1446" s="592"/>
      <c r="H1446"/>
      <c r="M1446" s="336"/>
      <c r="N1446" s="23"/>
      <c r="O1446" s="142" t="s">
        <v>8645</v>
      </c>
      <c r="P1446" s="1059">
        <v>25</v>
      </c>
      <c r="Q1446" s="184">
        <v>100</v>
      </c>
      <c r="R1446" s="1066">
        <f>COUNTIF(PoderesDeCriatura_Adquiridos,Tablas!O1446)</f>
        <v>0</v>
      </c>
      <c r="S1446" s="184"/>
      <c r="T1446" s="1057"/>
      <c r="U1446" s="269"/>
    </row>
    <row r="1447" spans="1:21" ht="12.75" customHeight="1" x14ac:dyDescent="0.2">
      <c r="A1447" s="237">
        <v>1447</v>
      </c>
      <c r="B1447" s="5838"/>
      <c r="C1447" s="592"/>
      <c r="H1447"/>
      <c r="M1447" s="336"/>
      <c r="N1447" s="23"/>
      <c r="O1447" s="142" t="s">
        <v>8646</v>
      </c>
      <c r="P1447" s="1059">
        <v>30</v>
      </c>
      <c r="Q1447" s="184">
        <v>125</v>
      </c>
      <c r="R1447" s="1066">
        <f>COUNTIF(PoderesDeCriatura_Adquiridos,Tablas!O1447)</f>
        <v>0</v>
      </c>
      <c r="S1447" s="184"/>
      <c r="T1447" s="1057"/>
      <c r="U1447" s="269"/>
    </row>
    <row r="1448" spans="1:21" ht="12.75" customHeight="1" x14ac:dyDescent="0.2">
      <c r="A1448" s="237">
        <v>1448</v>
      </c>
      <c r="B1448" s="5838"/>
      <c r="C1448" s="592"/>
      <c r="H1448"/>
      <c r="M1448" s="336"/>
      <c r="N1448" s="23"/>
      <c r="O1448" s="142" t="s">
        <v>8647</v>
      </c>
      <c r="P1448" s="1059">
        <v>35</v>
      </c>
      <c r="Q1448" s="184">
        <v>150</v>
      </c>
      <c r="R1448" s="1066">
        <f>COUNTIF(PoderesDeCriatura_Adquiridos,Tablas!O1448)</f>
        <v>0</v>
      </c>
      <c r="S1448" s="184"/>
      <c r="T1448" s="1057"/>
      <c r="U1448" s="269"/>
    </row>
    <row r="1449" spans="1:21" ht="12.75" customHeight="1" x14ac:dyDescent="0.2">
      <c r="A1449" s="237">
        <v>1449</v>
      </c>
      <c r="B1449" s="5838"/>
      <c r="C1449" s="592"/>
      <c r="H1449"/>
      <c r="M1449" s="336"/>
      <c r="N1449" s="23"/>
      <c r="O1449" s="142" t="s">
        <v>8648</v>
      </c>
      <c r="P1449" s="1059">
        <v>15</v>
      </c>
      <c r="Q1449" s="184">
        <v>60</v>
      </c>
      <c r="R1449" s="1066">
        <f>COUNTIF(PoderesDeCriatura_Adquiridos,Tablas!O1449)</f>
        <v>0</v>
      </c>
      <c r="S1449" s="184"/>
      <c r="T1449" s="1057"/>
      <c r="U1449" s="269"/>
    </row>
    <row r="1450" spans="1:21" ht="12.75" customHeight="1" x14ac:dyDescent="0.2">
      <c r="A1450" s="237">
        <v>1450</v>
      </c>
      <c r="B1450" s="5838"/>
      <c r="C1450" s="592"/>
      <c r="H1450"/>
      <c r="M1450" s="336"/>
      <c r="N1450" s="23"/>
      <c r="O1450" s="142" t="s">
        <v>8649</v>
      </c>
      <c r="P1450" s="1059">
        <v>20</v>
      </c>
      <c r="Q1450" s="184">
        <v>80</v>
      </c>
      <c r="R1450" s="1066">
        <f>COUNTIF(PoderesDeCriatura_Adquiridos,Tablas!O1450)</f>
        <v>0</v>
      </c>
      <c r="S1450" s="184"/>
      <c r="T1450" s="1057"/>
      <c r="U1450" s="269"/>
    </row>
    <row r="1451" spans="1:21" ht="12.75" customHeight="1" x14ac:dyDescent="0.2">
      <c r="A1451" s="237">
        <v>1451</v>
      </c>
      <c r="B1451" s="5838"/>
      <c r="C1451" s="592"/>
      <c r="H1451"/>
      <c r="M1451" s="336"/>
      <c r="N1451" s="23"/>
      <c r="O1451" s="142" t="s">
        <v>8650</v>
      </c>
      <c r="P1451" s="1059">
        <v>25</v>
      </c>
      <c r="Q1451" s="184">
        <v>120</v>
      </c>
      <c r="R1451" s="1066">
        <f>COUNTIF(PoderesDeCriatura_Adquiridos,Tablas!O1451)</f>
        <v>0</v>
      </c>
      <c r="S1451" s="184"/>
      <c r="T1451" s="1057"/>
      <c r="U1451" s="269"/>
    </row>
    <row r="1452" spans="1:21" ht="12.75" customHeight="1" x14ac:dyDescent="0.2">
      <c r="A1452" s="237">
        <v>1452</v>
      </c>
      <c r="B1452" s="5838"/>
      <c r="C1452" s="592"/>
      <c r="H1452"/>
      <c r="M1452" s="336"/>
      <c r="N1452" s="23"/>
      <c r="O1452" s="142" t="s">
        <v>8651</v>
      </c>
      <c r="P1452" s="1059">
        <v>30</v>
      </c>
      <c r="Q1452" s="184">
        <v>140</v>
      </c>
      <c r="R1452" s="1066">
        <f>COUNTIF(PoderesDeCriatura_Adquiridos,Tablas!O1452)</f>
        <v>0</v>
      </c>
      <c r="S1452" s="184"/>
      <c r="T1452" s="1057"/>
      <c r="U1452" s="269"/>
    </row>
    <row r="1453" spans="1:21" ht="12.75" customHeight="1" x14ac:dyDescent="0.2">
      <c r="A1453" s="237">
        <v>1453</v>
      </c>
      <c r="B1453" s="5838"/>
      <c r="C1453" s="592"/>
      <c r="H1453"/>
      <c r="M1453" s="336"/>
      <c r="N1453" s="23"/>
      <c r="O1453" s="142" t="s">
        <v>8031</v>
      </c>
      <c r="P1453" s="1059">
        <v>15</v>
      </c>
      <c r="Q1453" s="184">
        <v>-30</v>
      </c>
      <c r="R1453" s="1066">
        <f>COUNTIF(PoderesDeCriatura_Adquiridos,Tablas!O1453)</f>
        <v>0</v>
      </c>
      <c r="S1453" s="184"/>
      <c r="T1453" s="1057"/>
      <c r="U1453" s="269"/>
    </row>
    <row r="1454" spans="1:21" ht="12.75" customHeight="1" x14ac:dyDescent="0.2">
      <c r="A1454" s="237">
        <v>1454</v>
      </c>
      <c r="B1454" s="5838"/>
      <c r="C1454" s="592"/>
      <c r="H1454"/>
      <c r="M1454" s="336"/>
      <c r="N1454" s="23"/>
      <c r="O1454" s="142" t="s">
        <v>8032</v>
      </c>
      <c r="P1454" s="1059">
        <v>15</v>
      </c>
      <c r="Q1454" s="184">
        <v>-20</v>
      </c>
      <c r="R1454" s="1066">
        <f>COUNTIF(PoderesDeCriatura_Adquiridos,Tablas!O1454)</f>
        <v>0</v>
      </c>
      <c r="S1454" s="184"/>
      <c r="T1454" s="1057"/>
      <c r="U1454" s="269"/>
    </row>
    <row r="1455" spans="1:21" ht="12.75" customHeight="1" x14ac:dyDescent="0.2">
      <c r="A1455" s="237">
        <v>1455</v>
      </c>
      <c r="B1455" s="5838"/>
      <c r="C1455" s="592"/>
      <c r="H1455"/>
      <c r="M1455" s="336"/>
      <c r="N1455" s="23"/>
      <c r="O1455" s="142" t="s">
        <v>8033</v>
      </c>
      <c r="P1455" s="1059">
        <v>15</v>
      </c>
      <c r="Q1455" s="184">
        <v>-10</v>
      </c>
      <c r="R1455" s="1066">
        <f>COUNTIF(PoderesDeCriatura_Adquiridos,Tablas!O1455)</f>
        <v>0</v>
      </c>
      <c r="S1455" s="184"/>
      <c r="T1455" s="1057"/>
      <c r="U1455" s="269"/>
    </row>
    <row r="1456" spans="1:21" ht="12.75" customHeight="1" x14ac:dyDescent="0.2">
      <c r="A1456" s="237">
        <v>1456</v>
      </c>
      <c r="B1456" s="5838"/>
      <c r="C1456" s="592"/>
      <c r="H1456"/>
      <c r="M1456" s="336"/>
      <c r="N1456" s="23"/>
      <c r="O1456" s="142" t="s">
        <v>8034</v>
      </c>
      <c r="P1456" s="1059">
        <v>15</v>
      </c>
      <c r="Q1456" s="184">
        <v>-10</v>
      </c>
      <c r="R1456" s="1066">
        <f>COUNTIF(PoderesDeCriatura_Adquiridos,Tablas!O1456)</f>
        <v>0</v>
      </c>
      <c r="S1456" s="184"/>
      <c r="T1456" s="1057"/>
      <c r="U1456" s="269"/>
    </row>
    <row r="1457" spans="1:21" ht="12.75" customHeight="1" x14ac:dyDescent="0.2">
      <c r="A1457" s="237">
        <v>1457</v>
      </c>
      <c r="B1457" s="5838"/>
      <c r="C1457" s="592"/>
      <c r="H1457"/>
      <c r="M1457" s="336"/>
      <c r="N1457" s="23"/>
      <c r="O1457" s="142" t="s">
        <v>8035</v>
      </c>
      <c r="P1457" s="1059">
        <v>15</v>
      </c>
      <c r="Q1457" s="184">
        <v>-20</v>
      </c>
      <c r="R1457" s="1066">
        <f>COUNTIF(PoderesDeCriatura_Adquiridos,Tablas!O1457)</f>
        <v>0</v>
      </c>
      <c r="S1457" s="184"/>
      <c r="T1457" s="1057"/>
      <c r="U1457" s="269"/>
    </row>
    <row r="1458" spans="1:21" ht="12.75" customHeight="1" x14ac:dyDescent="0.2">
      <c r="A1458" s="237">
        <v>1458</v>
      </c>
      <c r="B1458" s="5838"/>
      <c r="C1458" s="592"/>
      <c r="H1458"/>
      <c r="M1458" s="336"/>
      <c r="N1458" s="23"/>
      <c r="O1458" s="142" t="s">
        <v>8036</v>
      </c>
      <c r="P1458" s="1059">
        <v>15</v>
      </c>
      <c r="Q1458" s="184">
        <v>-10</v>
      </c>
      <c r="R1458" s="1066">
        <f>COUNTIF(PoderesDeCriatura_Adquiridos,Tablas!O1458)</f>
        <v>0</v>
      </c>
      <c r="S1458" s="184"/>
      <c r="T1458" s="1057"/>
      <c r="U1458" s="269"/>
    </row>
    <row r="1459" spans="1:21" ht="12.75" customHeight="1" x14ac:dyDescent="0.2">
      <c r="A1459" s="237">
        <v>1459</v>
      </c>
      <c r="B1459" s="5838"/>
      <c r="C1459" s="592"/>
      <c r="H1459"/>
      <c r="M1459" s="336"/>
      <c r="N1459" s="23"/>
      <c r="O1459" s="142" t="s">
        <v>8037</v>
      </c>
      <c r="P1459" s="1059">
        <v>20</v>
      </c>
      <c r="Q1459" s="184">
        <v>-10</v>
      </c>
      <c r="R1459" s="1066">
        <f>COUNTIF(PoderesDeCriatura_Adquiridos,Tablas!O1459)</f>
        <v>0</v>
      </c>
      <c r="S1459" s="184"/>
      <c r="T1459" s="1057"/>
      <c r="U1459" s="269"/>
    </row>
    <row r="1460" spans="1:21" ht="12.75" customHeight="1" x14ac:dyDescent="0.2">
      <c r="A1460" s="237">
        <v>1460</v>
      </c>
      <c r="B1460" s="5838"/>
      <c r="C1460" s="592"/>
      <c r="H1460"/>
      <c r="M1460" s="336"/>
      <c r="N1460" s="23"/>
      <c r="O1460" s="142" t="s">
        <v>8038</v>
      </c>
      <c r="P1460" s="1059">
        <v>25</v>
      </c>
      <c r="Q1460" s="184">
        <v>-10</v>
      </c>
      <c r="R1460" s="1066">
        <f>COUNTIF(PoderesDeCriatura_Adquiridos,Tablas!O1460)</f>
        <v>0</v>
      </c>
      <c r="S1460" s="184"/>
      <c r="T1460" s="1057"/>
      <c r="U1460" s="269"/>
    </row>
    <row r="1461" spans="1:21" ht="12.75" customHeight="1" x14ac:dyDescent="0.2">
      <c r="A1461" s="237">
        <v>1461</v>
      </c>
      <c r="B1461" s="5838"/>
      <c r="C1461" s="592"/>
      <c r="H1461"/>
      <c r="M1461" s="336"/>
      <c r="N1461" s="23"/>
      <c r="O1461" s="142" t="s">
        <v>8537</v>
      </c>
      <c r="P1461" s="1059">
        <v>20</v>
      </c>
      <c r="Q1461" s="184">
        <v>-10</v>
      </c>
      <c r="R1461" s="1066">
        <f>COUNTIF(PoderesDeCriatura_Adquiridos,Tablas!O1461)</f>
        <v>0</v>
      </c>
      <c r="S1461" s="184"/>
      <c r="T1461" s="1057"/>
      <c r="U1461" s="269"/>
    </row>
    <row r="1462" spans="1:21" ht="12.75" customHeight="1" x14ac:dyDescent="0.2">
      <c r="A1462" s="237">
        <v>1462</v>
      </c>
      <c r="B1462" s="5838"/>
      <c r="C1462" s="592"/>
      <c r="H1462"/>
      <c r="M1462" s="336"/>
      <c r="N1462" s="23"/>
      <c r="O1462" s="142" t="s">
        <v>10198</v>
      </c>
      <c r="P1462" s="1059">
        <v>20</v>
      </c>
      <c r="Q1462" s="184">
        <v>-10</v>
      </c>
      <c r="R1462" s="1066">
        <f>COUNTIF(PoderesDeCriatura_Adquiridos,Tablas!O1462)</f>
        <v>0</v>
      </c>
      <c r="S1462" s="184"/>
      <c r="T1462" s="1057"/>
      <c r="U1462" s="269"/>
    </row>
    <row r="1463" spans="1:21" ht="12.75" customHeight="1" x14ac:dyDescent="0.2">
      <c r="A1463" s="237">
        <v>1463</v>
      </c>
      <c r="B1463" s="5838"/>
      <c r="C1463" s="592"/>
      <c r="H1463"/>
      <c r="M1463" s="336"/>
      <c r="N1463" s="23"/>
      <c r="O1463" s="1" t="s">
        <v>8039</v>
      </c>
      <c r="P1463" s="1059">
        <v>20</v>
      </c>
      <c r="Q1463" s="184">
        <v>-20</v>
      </c>
      <c r="R1463" s="1066">
        <f>COUNTIF(PoderesDeCriatura_Adquiridos,Tablas!O1463)</f>
        <v>0</v>
      </c>
      <c r="S1463" s="184"/>
      <c r="T1463" s="1057"/>
      <c r="U1463" s="269"/>
    </row>
    <row r="1464" spans="1:21" ht="12.75" customHeight="1" x14ac:dyDescent="0.2">
      <c r="A1464" s="237">
        <v>1464</v>
      </c>
      <c r="B1464" s="5838"/>
      <c r="C1464" s="592"/>
      <c r="H1464"/>
      <c r="M1464" s="336"/>
      <c r="N1464" s="23"/>
      <c r="O1464" s="142" t="s">
        <v>8040</v>
      </c>
      <c r="P1464" s="1059">
        <v>20</v>
      </c>
      <c r="Q1464" s="184">
        <v>-15</v>
      </c>
      <c r="R1464" s="1066">
        <f>COUNTIF(PoderesDeCriatura_Adquiridos,Tablas!O1464)</f>
        <v>0</v>
      </c>
      <c r="S1464" s="184"/>
      <c r="T1464" s="1057"/>
      <c r="U1464" s="269"/>
    </row>
    <row r="1465" spans="1:21" ht="12.75" customHeight="1" x14ac:dyDescent="0.2">
      <c r="A1465" s="237">
        <v>1465</v>
      </c>
      <c r="B1465" s="5838"/>
      <c r="C1465" s="592"/>
      <c r="H1465"/>
      <c r="M1465" s="336"/>
      <c r="N1465" s="23"/>
      <c r="O1465" s="142" t="s">
        <v>8041</v>
      </c>
      <c r="P1465" s="1059">
        <v>20</v>
      </c>
      <c r="Q1465" s="184">
        <v>-10</v>
      </c>
      <c r="R1465" s="1066">
        <f>COUNTIF(PoderesDeCriatura_Adquiridos,Tablas!O1465)</f>
        <v>0</v>
      </c>
      <c r="S1465" s="184"/>
      <c r="T1465" s="1057"/>
      <c r="U1465" s="269"/>
    </row>
    <row r="1466" spans="1:21" ht="12.75" customHeight="1" x14ac:dyDescent="0.2">
      <c r="A1466" s="237">
        <v>1466</v>
      </c>
      <c r="B1466" s="5838"/>
      <c r="C1466" s="592"/>
      <c r="H1466"/>
      <c r="M1466" s="336"/>
      <c r="N1466" s="23"/>
      <c r="O1466" s="142" t="s">
        <v>8042</v>
      </c>
      <c r="P1466" s="1059">
        <v>20</v>
      </c>
      <c r="Q1466" s="184">
        <v>-30</v>
      </c>
      <c r="R1466" s="1066">
        <f>COUNTIF(PoderesDeCriatura_Adquiridos,Tablas!O1466)</f>
        <v>0</v>
      </c>
      <c r="S1466" s="184"/>
      <c r="T1466" s="1057"/>
      <c r="U1466" s="269"/>
    </row>
    <row r="1467" spans="1:21" ht="12.75" customHeight="1" x14ac:dyDescent="0.2">
      <c r="A1467" s="237">
        <v>1467</v>
      </c>
      <c r="B1467" s="5838"/>
      <c r="C1467" s="592"/>
      <c r="H1467"/>
      <c r="M1467" s="336"/>
      <c r="N1467" s="23"/>
      <c r="O1467" s="142" t="s">
        <v>8043</v>
      </c>
      <c r="P1467" s="1059">
        <v>20</v>
      </c>
      <c r="Q1467" s="184">
        <v>-10</v>
      </c>
      <c r="R1467" s="1066">
        <f>COUNTIF(PoderesDeCriatura_Adquiridos,Tablas!O1467)</f>
        <v>0</v>
      </c>
      <c r="S1467" s="184"/>
      <c r="T1467" s="1057"/>
      <c r="U1467" s="269"/>
    </row>
    <row r="1468" spans="1:21" ht="12.75" customHeight="1" x14ac:dyDescent="0.2">
      <c r="A1468" s="237">
        <v>1468</v>
      </c>
      <c r="B1468" s="5838"/>
      <c r="C1468" s="592"/>
      <c r="H1468"/>
      <c r="M1468" s="336"/>
      <c r="N1468" s="23"/>
      <c r="O1468" s="142" t="s">
        <v>8044</v>
      </c>
      <c r="P1468" s="1059">
        <v>20</v>
      </c>
      <c r="Q1468" s="184">
        <v>-15</v>
      </c>
      <c r="R1468" s="1066">
        <f>COUNTIF(PoderesDeCriatura_Adquiridos,Tablas!O1468)</f>
        <v>0</v>
      </c>
      <c r="S1468" s="184"/>
      <c r="T1468" s="1057"/>
      <c r="U1468" s="269"/>
    </row>
    <row r="1469" spans="1:21" ht="12.75" customHeight="1" x14ac:dyDescent="0.2">
      <c r="A1469" s="237">
        <v>1469</v>
      </c>
      <c r="B1469" s="5838"/>
      <c r="C1469" s="592"/>
      <c r="H1469"/>
      <c r="M1469" s="336"/>
      <c r="N1469" s="23"/>
      <c r="O1469" s="142" t="s">
        <v>8045</v>
      </c>
      <c r="P1469" s="1059">
        <v>20</v>
      </c>
      <c r="Q1469" s="184">
        <v>-20</v>
      </c>
      <c r="R1469" s="1066">
        <f>COUNTIF(PoderesDeCriatura_Adquiridos,Tablas!O1469)</f>
        <v>0</v>
      </c>
      <c r="S1469" s="184"/>
      <c r="T1469" s="1057"/>
      <c r="U1469" s="269"/>
    </row>
    <row r="1470" spans="1:21" ht="12.75" customHeight="1" x14ac:dyDescent="0.2">
      <c r="A1470" s="237">
        <v>1470</v>
      </c>
      <c r="B1470" s="5838"/>
      <c r="C1470" s="592"/>
      <c r="H1470"/>
      <c r="M1470" s="336"/>
      <c r="N1470" s="23"/>
      <c r="O1470" s="142" t="s">
        <v>8046</v>
      </c>
      <c r="P1470" s="1059">
        <v>20</v>
      </c>
      <c r="Q1470" s="184">
        <v>-25</v>
      </c>
      <c r="R1470" s="1066">
        <f>COUNTIF(PoderesDeCriatura_Adquiridos,Tablas!O1470)</f>
        <v>0</v>
      </c>
      <c r="S1470" s="184"/>
      <c r="T1470" s="1057"/>
      <c r="U1470" s="269"/>
    </row>
    <row r="1471" spans="1:21" ht="12.75" customHeight="1" x14ac:dyDescent="0.2">
      <c r="A1471" s="237">
        <v>1471</v>
      </c>
      <c r="B1471" s="5838"/>
      <c r="C1471" s="592"/>
      <c r="H1471"/>
      <c r="M1471" s="336"/>
      <c r="N1471" s="23"/>
      <c r="O1471" s="142" t="s">
        <v>8047</v>
      </c>
      <c r="P1471" s="1059">
        <f>IF(General!T65="Xavi",10,0)</f>
        <v>0</v>
      </c>
      <c r="Q1471" s="184">
        <f>IF(General!T65="Xavi",10,5)</f>
        <v>5</v>
      </c>
      <c r="R1471" s="1066">
        <f>COUNTIF(PoderesDeCriatura_Adquiridos,Tablas!O1471)</f>
        <v>0</v>
      </c>
      <c r="S1471" s="184"/>
      <c r="T1471" s="1057"/>
      <c r="U1471" s="269"/>
    </row>
    <row r="1472" spans="1:21" ht="12.75" customHeight="1" x14ac:dyDescent="0.2">
      <c r="A1472" s="237">
        <v>1472</v>
      </c>
      <c r="B1472" s="5838"/>
      <c r="C1472" s="592"/>
      <c r="H1472"/>
      <c r="M1472" s="336"/>
      <c r="N1472" s="23"/>
      <c r="O1472" s="142" t="s">
        <v>8048</v>
      </c>
      <c r="P1472" s="1059">
        <f>IF(General!T65="Xavi",20,0)</f>
        <v>0</v>
      </c>
      <c r="Q1472" s="184">
        <f>IF(General!T65="Xavi",20,10)</f>
        <v>10</v>
      </c>
      <c r="R1472" s="1066">
        <f>COUNTIF(PoderesDeCriatura_Adquiridos,Tablas!O1472)</f>
        <v>0</v>
      </c>
      <c r="S1472" s="184"/>
      <c r="T1472" s="1057"/>
      <c r="U1472" s="269"/>
    </row>
    <row r="1473" spans="1:21" ht="12.75" customHeight="1" x14ac:dyDescent="0.2">
      <c r="A1473" s="237">
        <v>1473</v>
      </c>
      <c r="B1473" s="5838"/>
      <c r="C1473" s="592"/>
      <c r="H1473"/>
      <c r="M1473" s="336"/>
      <c r="N1473" s="23"/>
      <c r="O1473" s="142" t="s">
        <v>8049</v>
      </c>
      <c r="P1473" s="1059">
        <f>IF(General!T65="Xavi",20,5)</f>
        <v>5</v>
      </c>
      <c r="Q1473" s="184">
        <f>IF(General!T65="Xavi",30,15)</f>
        <v>15</v>
      </c>
      <c r="R1473" s="1066">
        <f>COUNTIF(PoderesDeCriatura_Adquiridos,Tablas!O1473)</f>
        <v>0</v>
      </c>
      <c r="S1473" s="184"/>
      <c r="T1473" s="1057"/>
    </row>
    <row r="1474" spans="1:21" ht="12.75" customHeight="1" x14ac:dyDescent="0.2">
      <c r="A1474" s="237">
        <v>1474</v>
      </c>
      <c r="B1474" s="5838"/>
      <c r="C1474" s="592"/>
      <c r="H1474"/>
      <c r="M1474" s="336"/>
      <c r="N1474" s="23"/>
      <c r="O1474" s="142" t="s">
        <v>8050</v>
      </c>
      <c r="P1474" s="1059">
        <f>IF(General!T65="Xavi",25,5)</f>
        <v>5</v>
      </c>
      <c r="Q1474" s="184">
        <f>IF(General!T65="Xavi",40,20)</f>
        <v>20</v>
      </c>
      <c r="R1474" s="1066">
        <f>COUNTIF(PoderesDeCriatura_Adquiridos,Tablas!O1474)</f>
        <v>0</v>
      </c>
      <c r="S1474" s="184"/>
      <c r="T1474" s="1057"/>
    </row>
    <row r="1475" spans="1:21" ht="12.75" customHeight="1" x14ac:dyDescent="0.2">
      <c r="A1475" s="237">
        <v>1475</v>
      </c>
      <c r="B1475" s="5838"/>
      <c r="C1475" s="592"/>
      <c r="H1475"/>
      <c r="M1475" s="336"/>
      <c r="N1475" s="23"/>
      <c r="O1475" s="142" t="s">
        <v>8051</v>
      </c>
      <c r="P1475" s="1059">
        <f>IF(General!T65="Xavi",25,10)</f>
        <v>10</v>
      </c>
      <c r="Q1475" s="184">
        <f>IF(General!T65="Xavi",50,25)</f>
        <v>25</v>
      </c>
      <c r="R1475" s="1066">
        <f>COUNTIF(PoderesDeCriatura_Adquiridos,Tablas!O1475)</f>
        <v>0</v>
      </c>
      <c r="S1475" s="184"/>
      <c r="T1475" s="1057"/>
    </row>
    <row r="1476" spans="1:21" ht="12.75" customHeight="1" x14ac:dyDescent="0.2">
      <c r="A1476" s="237">
        <v>1476</v>
      </c>
      <c r="B1476" s="5838"/>
      <c r="C1476" s="592"/>
      <c r="H1476"/>
      <c r="M1476" s="336"/>
      <c r="N1476" s="23"/>
      <c r="O1476" s="142" t="s">
        <v>8052</v>
      </c>
      <c r="P1476" s="1059">
        <f>IF(General!T65="Xavi",30,10)</f>
        <v>10</v>
      </c>
      <c r="Q1476" s="184">
        <f>IF(General!T65="Xavi",60,30)</f>
        <v>30</v>
      </c>
      <c r="R1476" s="1066">
        <f>COUNTIF(PoderesDeCriatura_Adquiridos,Tablas!O1476)</f>
        <v>0</v>
      </c>
      <c r="S1476" s="184"/>
      <c r="T1476" s="1057"/>
    </row>
    <row r="1477" spans="1:21" ht="12.75" customHeight="1" x14ac:dyDescent="0.2">
      <c r="A1477" s="237">
        <v>1477</v>
      </c>
      <c r="B1477" s="5838"/>
      <c r="C1477" s="592"/>
      <c r="H1477"/>
      <c r="M1477" s="336"/>
      <c r="N1477" s="23"/>
      <c r="O1477" s="142" t="s">
        <v>8053</v>
      </c>
      <c r="P1477" s="1059">
        <f>IF(General!T65="Xavi",30,10)</f>
        <v>10</v>
      </c>
      <c r="Q1477" s="184">
        <f>IF(General!T65="Xavi",80,40)</f>
        <v>40</v>
      </c>
      <c r="R1477" s="1066">
        <f>COUNTIF(PoderesDeCriatura_Adquiridos,Tablas!O1477)</f>
        <v>0</v>
      </c>
      <c r="S1477" s="184"/>
      <c r="T1477" s="1057"/>
    </row>
    <row r="1478" spans="1:21" ht="12.75" customHeight="1" x14ac:dyDescent="0.2">
      <c r="A1478" s="237">
        <v>1478</v>
      </c>
      <c r="B1478" s="5838"/>
      <c r="C1478" s="592"/>
      <c r="H1478"/>
      <c r="M1478" s="336"/>
      <c r="N1478" s="23"/>
      <c r="O1478" s="142" t="s">
        <v>1324</v>
      </c>
      <c r="P1478" s="1059"/>
      <c r="Q1478" s="184"/>
      <c r="R1478" s="1066"/>
      <c r="S1478" s="184"/>
      <c r="T1478" s="1057"/>
    </row>
    <row r="1479" spans="1:21" ht="12.75" customHeight="1" x14ac:dyDescent="0.2">
      <c r="A1479" s="237">
        <v>1479</v>
      </c>
      <c r="B1479" s="5838"/>
      <c r="C1479" s="592"/>
      <c r="H1479"/>
      <c r="M1479" s="336"/>
      <c r="N1479" s="23"/>
      <c r="O1479" s="142" t="s">
        <v>8054</v>
      </c>
      <c r="P1479" s="1059">
        <v>0</v>
      </c>
      <c r="Q1479" s="184">
        <v>10</v>
      </c>
      <c r="R1479" s="1066">
        <f>COUNTIF(PoderesDeCriatura_Adquiridos,Tablas!O1479)</f>
        <v>0</v>
      </c>
      <c r="S1479" s="184">
        <f t="array" ref="S1479">IF(R1490&gt;0,0,MAX($R$1479:$R$1489*VALUE(RIGHT($O$1479:$O$1489,2))))</f>
        <v>0</v>
      </c>
      <c r="T1479" s="1057" t="s">
        <v>1555</v>
      </c>
    </row>
    <row r="1480" spans="1:21" ht="12.75" customHeight="1" x14ac:dyDescent="0.2">
      <c r="A1480" s="237">
        <v>1480</v>
      </c>
      <c r="B1480" s="5838"/>
      <c r="C1480" s="592"/>
      <c r="H1480"/>
      <c r="M1480" s="336"/>
      <c r="N1480" s="23"/>
      <c r="O1480" s="142" t="s">
        <v>8055</v>
      </c>
      <c r="P1480" s="1059">
        <v>0</v>
      </c>
      <c r="Q1480" s="184">
        <v>20</v>
      </c>
      <c r="R1480" s="1066">
        <f>COUNTIF(PoderesDeCriatura_Adquiridos,Tablas!O1480)</f>
        <v>0</v>
      </c>
      <c r="S1480" s="184">
        <f t="array" ref="S1480">IF(R1491&gt;0,0,MAX($R$1479:$R$1489*VALUE(RIGHT($O$1479:$O$1489,2))))</f>
        <v>0</v>
      </c>
      <c r="T1480" s="1057" t="s">
        <v>1501</v>
      </c>
    </row>
    <row r="1481" spans="1:21" ht="12.75" customHeight="1" x14ac:dyDescent="0.2">
      <c r="A1481" s="237">
        <v>1481</v>
      </c>
      <c r="B1481" s="5838"/>
      <c r="C1481" s="592"/>
      <c r="H1481"/>
      <c r="M1481" s="336"/>
      <c r="N1481" s="23"/>
      <c r="O1481" s="142" t="s">
        <v>8056</v>
      </c>
      <c r="P1481" s="1059">
        <v>0</v>
      </c>
      <c r="Q1481" s="184">
        <v>30</v>
      </c>
      <c r="R1481" s="1066">
        <f>COUNTIF(PoderesDeCriatura_Adquiridos,Tablas!O1481)</f>
        <v>0</v>
      </c>
      <c r="S1481" s="184">
        <f t="array" ref="S1481">IF(R1492&gt;0,0,MAX($R$1479:$R$1489*VALUE(RIGHT($O$1479:$O$1489,2))))</f>
        <v>0</v>
      </c>
      <c r="T1481" s="1057" t="s">
        <v>1556</v>
      </c>
    </row>
    <row r="1482" spans="1:21" ht="12.75" customHeight="1" x14ac:dyDescent="0.2">
      <c r="A1482" s="237">
        <v>1482</v>
      </c>
      <c r="B1482" s="5838"/>
      <c r="C1482" s="592"/>
      <c r="H1482"/>
      <c r="M1482" s="336"/>
      <c r="N1482" s="23"/>
      <c r="O1482" s="142" t="s">
        <v>8057</v>
      </c>
      <c r="P1482" s="1059">
        <v>5</v>
      </c>
      <c r="Q1482" s="184">
        <v>40</v>
      </c>
      <c r="R1482" s="1066">
        <f>COUNTIF(PoderesDeCriatura_Adquiridos,Tablas!O1482)</f>
        <v>0</v>
      </c>
      <c r="S1482" s="184">
        <f t="array" ref="S1482">IF(R1493&gt;0,0,MAX($R$1479:$R$1489*VALUE(RIGHT($O$1479:$O$1489,2))))</f>
        <v>0</v>
      </c>
      <c r="T1482" s="1057" t="s">
        <v>1557</v>
      </c>
    </row>
    <row r="1483" spans="1:21" ht="12.75" customHeight="1" x14ac:dyDescent="0.2">
      <c r="A1483" s="237">
        <v>1483</v>
      </c>
      <c r="B1483" s="5838"/>
      <c r="C1483" s="592"/>
      <c r="H1483"/>
      <c r="M1483" s="336"/>
      <c r="N1483" s="23"/>
      <c r="O1483" s="142" t="s">
        <v>8058</v>
      </c>
      <c r="P1483" s="1059">
        <v>10</v>
      </c>
      <c r="Q1483" s="184">
        <v>50</v>
      </c>
      <c r="R1483" s="1066">
        <f>COUNTIF(PoderesDeCriatura_Adquiridos,Tablas!O1483)</f>
        <v>0</v>
      </c>
      <c r="S1483" s="184">
        <f t="array" ref="S1483">IF(R1494&gt;0,0,MAX($R$1479:$R$1489*VALUE(RIGHT($O$1479:$O$1489,2))))</f>
        <v>0</v>
      </c>
      <c r="T1483" s="1057" t="s">
        <v>1558</v>
      </c>
    </row>
    <row r="1484" spans="1:21" ht="12.75" customHeight="1" x14ac:dyDescent="0.2">
      <c r="A1484" s="237">
        <v>1484</v>
      </c>
      <c r="B1484" s="5838"/>
      <c r="C1484" s="592"/>
      <c r="H1484"/>
      <c r="M1484" s="336"/>
      <c r="N1484" s="23"/>
      <c r="O1484" s="142" t="s">
        <v>8059</v>
      </c>
      <c r="P1484" s="1059">
        <v>15</v>
      </c>
      <c r="Q1484" s="184">
        <v>60</v>
      </c>
      <c r="R1484" s="1066">
        <f>COUNTIF(PoderesDeCriatura_Adquiridos,Tablas!O1484)</f>
        <v>0</v>
      </c>
      <c r="S1484" s="184">
        <f t="array" ref="S1484">IF(R1495&gt;0,0,MAX($R$1479:$R$1489*VALUE(RIGHT($O$1479:$O$1489,2))))</f>
        <v>0</v>
      </c>
      <c r="T1484" s="1057" t="s">
        <v>1559</v>
      </c>
    </row>
    <row r="1485" spans="1:21" ht="12.75" customHeight="1" x14ac:dyDescent="0.2">
      <c r="A1485" s="237">
        <v>1485</v>
      </c>
      <c r="B1485" s="5838"/>
      <c r="C1485" s="592"/>
      <c r="H1485"/>
      <c r="M1485" s="336"/>
      <c r="N1485" s="23"/>
      <c r="O1485" s="142" t="s">
        <v>8060</v>
      </c>
      <c r="P1485" s="1059">
        <v>20</v>
      </c>
      <c r="Q1485" s="184">
        <v>80</v>
      </c>
      <c r="R1485" s="1066">
        <f>COUNTIF(PoderesDeCriatura_Adquiridos,Tablas!O1485)</f>
        <v>0</v>
      </c>
      <c r="S1485" s="184">
        <f t="array" ref="S1485">MAX($R$1497:$R$1504*VALUE(RIGHT($O$1497:$O$1504,2)))</f>
        <v>0</v>
      </c>
      <c r="T1485" s="1057" t="s">
        <v>1560</v>
      </c>
      <c r="U1485" s="269"/>
    </row>
    <row r="1486" spans="1:21" ht="12.75" customHeight="1" x14ac:dyDescent="0.2">
      <c r="A1486" s="237">
        <v>1486</v>
      </c>
      <c r="B1486" s="5838"/>
      <c r="C1486" s="592"/>
      <c r="H1486"/>
      <c r="M1486" s="336"/>
      <c r="N1486" s="23"/>
      <c r="O1486" s="142" t="s">
        <v>8061</v>
      </c>
      <c r="P1486" s="1059">
        <v>25</v>
      </c>
      <c r="Q1486" s="184">
        <v>100</v>
      </c>
      <c r="R1486" s="1066">
        <f>COUNTIF(PoderesDeCriatura_Adquiridos,Tablas!O1486)</f>
        <v>0</v>
      </c>
      <c r="S1486" s="184"/>
      <c r="T1486" s="1057"/>
      <c r="U1486" s="269"/>
    </row>
    <row r="1487" spans="1:21" ht="12.75" customHeight="1" x14ac:dyDescent="0.2">
      <c r="A1487" s="237">
        <v>1487</v>
      </c>
      <c r="B1487" s="5838"/>
      <c r="C1487" s="592"/>
      <c r="H1487"/>
      <c r="M1487" s="336"/>
      <c r="N1487" s="23"/>
      <c r="O1487" s="142" t="s">
        <v>8062</v>
      </c>
      <c r="P1487" s="1059">
        <v>30</v>
      </c>
      <c r="Q1487" s="184">
        <v>120</v>
      </c>
      <c r="R1487" s="1066">
        <f>COUNTIF(PoderesDeCriatura_Adquiridos,Tablas!O1487)</f>
        <v>0</v>
      </c>
      <c r="S1487" s="184"/>
      <c r="T1487" s="1057"/>
      <c r="U1487" s="269"/>
    </row>
    <row r="1488" spans="1:21" ht="12.75" customHeight="1" x14ac:dyDescent="0.2">
      <c r="A1488" s="237">
        <v>1488</v>
      </c>
      <c r="B1488" s="5838"/>
      <c r="C1488" s="592"/>
      <c r="H1488"/>
      <c r="M1488" s="336"/>
      <c r="N1488" s="23"/>
      <c r="O1488" s="142" t="s">
        <v>8063</v>
      </c>
      <c r="P1488" s="1059">
        <v>35</v>
      </c>
      <c r="Q1488" s="184">
        <v>140</v>
      </c>
      <c r="R1488" s="1066">
        <f>COUNTIF(PoderesDeCriatura_Adquiridos,Tablas!O1488)</f>
        <v>0</v>
      </c>
      <c r="S1488" s="184"/>
      <c r="T1488" s="1057"/>
      <c r="U1488" s="269"/>
    </row>
    <row r="1489" spans="1:21" ht="12.75" customHeight="1" x14ac:dyDescent="0.2">
      <c r="A1489" s="237">
        <v>1489</v>
      </c>
      <c r="B1489" s="5838"/>
      <c r="C1489" s="592"/>
      <c r="H1489"/>
      <c r="M1489" s="336"/>
      <c r="N1489" s="23"/>
      <c r="O1489" s="142" t="s">
        <v>8064</v>
      </c>
      <c r="P1489" s="1059">
        <v>40</v>
      </c>
      <c r="Q1489" s="184">
        <v>180</v>
      </c>
      <c r="R1489" s="1066">
        <f>COUNTIF(PoderesDeCriatura_Adquiridos,Tablas!O1489)</f>
        <v>0</v>
      </c>
      <c r="S1489" s="184"/>
      <c r="T1489" s="1057"/>
      <c r="U1489" s="269"/>
    </row>
    <row r="1490" spans="1:21" ht="12.75" customHeight="1" x14ac:dyDescent="0.2">
      <c r="A1490" s="237">
        <v>1490</v>
      </c>
      <c r="B1490" s="5838"/>
      <c r="C1490" s="592"/>
      <c r="H1490"/>
      <c r="M1490" s="336"/>
      <c r="N1490" s="23"/>
      <c r="O1490" s="142" t="s">
        <v>8065</v>
      </c>
      <c r="P1490" s="1059">
        <v>0</v>
      </c>
      <c r="Q1490" s="184">
        <v>-10</v>
      </c>
      <c r="R1490" s="1066">
        <f>COUNTIF(PoderesDeCriatura_Adquiridos,Tablas!O1490)</f>
        <v>0</v>
      </c>
      <c r="S1490" s="184"/>
      <c r="T1490" s="1057"/>
      <c r="U1490" s="269"/>
    </row>
    <row r="1491" spans="1:21" ht="12.75" customHeight="1" x14ac:dyDescent="0.2">
      <c r="A1491" s="237">
        <v>1491</v>
      </c>
      <c r="B1491" s="5838"/>
      <c r="C1491" s="592"/>
      <c r="H1491"/>
      <c r="M1491" s="336"/>
      <c r="N1491" s="23"/>
      <c r="O1491" s="142" t="s">
        <v>8066</v>
      </c>
      <c r="P1491" s="1059">
        <v>0</v>
      </c>
      <c r="Q1491" s="184">
        <v>-10</v>
      </c>
      <c r="R1491" s="1066">
        <f>COUNTIF(PoderesDeCriatura_Adquiridos,Tablas!O1491)</f>
        <v>0</v>
      </c>
      <c r="S1491" s="184"/>
      <c r="T1491" s="1057"/>
      <c r="U1491" s="269"/>
    </row>
    <row r="1492" spans="1:21" ht="12.75" customHeight="1" x14ac:dyDescent="0.2">
      <c r="A1492" s="237">
        <v>1492</v>
      </c>
      <c r="B1492" s="5838"/>
      <c r="C1492" s="592"/>
      <c r="H1492"/>
      <c r="M1492" s="336"/>
      <c r="N1492" s="23"/>
      <c r="O1492" s="142" t="s">
        <v>8067</v>
      </c>
      <c r="P1492" s="1059">
        <v>0</v>
      </c>
      <c r="Q1492" s="184">
        <v>-10</v>
      </c>
      <c r="R1492" s="1066">
        <f>COUNTIF(PoderesDeCriatura_Adquiridos,Tablas!O1492)</f>
        <v>0</v>
      </c>
      <c r="S1492" s="184"/>
      <c r="T1492" s="1057"/>
      <c r="U1492" s="269"/>
    </row>
    <row r="1493" spans="1:21" ht="12.75" customHeight="1" x14ac:dyDescent="0.2">
      <c r="A1493" s="237">
        <v>1493</v>
      </c>
      <c r="B1493" s="5838"/>
      <c r="C1493" s="592"/>
      <c r="H1493"/>
      <c r="M1493" s="336"/>
      <c r="N1493" s="23"/>
      <c r="O1493" s="142" t="s">
        <v>8068</v>
      </c>
      <c r="P1493" s="1059">
        <v>0</v>
      </c>
      <c r="Q1493" s="184">
        <v>-10</v>
      </c>
      <c r="R1493" s="1066">
        <f>COUNTIF(PoderesDeCriatura_Adquiridos,Tablas!O1493)</f>
        <v>0</v>
      </c>
      <c r="S1493" s="184"/>
      <c r="T1493" s="1057"/>
      <c r="U1493" s="269"/>
    </row>
    <row r="1494" spans="1:21" ht="12.75" customHeight="1" x14ac:dyDescent="0.2">
      <c r="A1494" s="237">
        <v>1494</v>
      </c>
      <c r="B1494" s="5838"/>
      <c r="C1494" s="592"/>
      <c r="H1494"/>
      <c r="M1494" s="336"/>
      <c r="N1494" s="23"/>
      <c r="O1494" s="142" t="s">
        <v>8069</v>
      </c>
      <c r="P1494" s="1059">
        <v>0</v>
      </c>
      <c r="Q1494" s="184">
        <v>-10</v>
      </c>
      <c r="R1494" s="1066">
        <f>COUNTIF(PoderesDeCriatura_Adquiridos,Tablas!O1494)</f>
        <v>0</v>
      </c>
      <c r="S1494" s="184"/>
      <c r="T1494" s="1057"/>
      <c r="U1494" s="269"/>
    </row>
    <row r="1495" spans="1:21" ht="12.75" customHeight="1" x14ac:dyDescent="0.2">
      <c r="A1495" s="237">
        <v>1495</v>
      </c>
      <c r="B1495" s="5838"/>
      <c r="C1495" s="592"/>
      <c r="H1495"/>
      <c r="M1495" s="336"/>
      <c r="N1495" s="23"/>
      <c r="O1495" s="142" t="s">
        <v>8070</v>
      </c>
      <c r="P1495" s="1059">
        <v>0</v>
      </c>
      <c r="Q1495" s="184">
        <v>-10</v>
      </c>
      <c r="R1495" s="1066">
        <f>COUNTIF(PoderesDeCriatura_Adquiridos,Tablas!O1495)</f>
        <v>0</v>
      </c>
      <c r="S1495" s="184"/>
      <c r="T1495" s="1057"/>
      <c r="U1495" s="269"/>
    </row>
    <row r="1496" spans="1:21" ht="12.75" customHeight="1" x14ac:dyDescent="0.2">
      <c r="A1496" s="237">
        <v>1496</v>
      </c>
      <c r="B1496" s="5838"/>
      <c r="C1496" s="592"/>
      <c r="H1496"/>
      <c r="M1496" s="336"/>
      <c r="N1496" s="23"/>
      <c r="O1496" s="142" t="s">
        <v>8071</v>
      </c>
      <c r="P1496" s="1059">
        <v>0</v>
      </c>
      <c r="Q1496" s="184">
        <v>-10</v>
      </c>
      <c r="R1496" s="1066">
        <f>COUNTIF(PoderesDeCriatura_Adquiridos,Tablas!O1496)</f>
        <v>0</v>
      </c>
      <c r="S1496" s="184"/>
      <c r="T1496" s="1057"/>
      <c r="U1496" s="269"/>
    </row>
    <row r="1497" spans="1:21" ht="12.75" customHeight="1" x14ac:dyDescent="0.2">
      <c r="A1497" s="237">
        <v>1497</v>
      </c>
      <c r="B1497" s="5838"/>
      <c r="C1497" s="592"/>
      <c r="H1497"/>
      <c r="M1497" s="336"/>
      <c r="N1497" s="23"/>
      <c r="O1497" s="142" t="s">
        <v>8072</v>
      </c>
      <c r="P1497" s="1059">
        <v>5</v>
      </c>
      <c r="Q1497" s="184">
        <v>10</v>
      </c>
      <c r="R1497" s="1066">
        <f>COUNTIF(PoderesDeCriatura_Adquiridos,Tablas!O1497)</f>
        <v>0</v>
      </c>
      <c r="S1497" s="184"/>
      <c r="T1497" s="1057"/>
      <c r="U1497" s="269"/>
    </row>
    <row r="1498" spans="1:21" ht="12.75" customHeight="1" x14ac:dyDescent="0.2">
      <c r="A1498" s="237">
        <v>1498</v>
      </c>
      <c r="B1498" s="5838"/>
      <c r="C1498" s="592"/>
      <c r="H1498"/>
      <c r="M1498" s="336"/>
      <c r="N1498" s="23"/>
      <c r="O1498" s="142" t="s">
        <v>8073</v>
      </c>
      <c r="P1498" s="1059">
        <v>10</v>
      </c>
      <c r="Q1498" s="184">
        <v>20</v>
      </c>
      <c r="R1498" s="1066">
        <f>COUNTIF(PoderesDeCriatura_Adquiridos,Tablas!O1498)</f>
        <v>0</v>
      </c>
      <c r="S1498" s="184"/>
      <c r="T1498" s="1057"/>
      <c r="U1498" s="269"/>
    </row>
    <row r="1499" spans="1:21" ht="12.75" customHeight="1" x14ac:dyDescent="0.2">
      <c r="A1499" s="237">
        <v>1499</v>
      </c>
      <c r="B1499" s="5838"/>
      <c r="C1499" s="592"/>
      <c r="H1499"/>
      <c r="M1499" s="336"/>
      <c r="N1499" s="23"/>
      <c r="O1499" s="142" t="s">
        <v>8074</v>
      </c>
      <c r="P1499" s="1059">
        <v>15</v>
      </c>
      <c r="Q1499" s="184">
        <v>30</v>
      </c>
      <c r="R1499" s="1066">
        <f>COUNTIF(PoderesDeCriatura_Adquiridos,Tablas!O1499)</f>
        <v>0</v>
      </c>
      <c r="S1499" s="184"/>
      <c r="T1499" s="1057"/>
      <c r="U1499" s="269"/>
    </row>
    <row r="1500" spans="1:21" ht="12.75" customHeight="1" x14ac:dyDescent="0.2">
      <c r="A1500" s="237">
        <v>1500</v>
      </c>
      <c r="B1500" s="5838"/>
      <c r="C1500" s="592"/>
      <c r="H1500"/>
      <c r="M1500" s="336"/>
      <c r="N1500" s="23"/>
      <c r="O1500" s="142" t="s">
        <v>8075</v>
      </c>
      <c r="P1500" s="1059">
        <v>20</v>
      </c>
      <c r="Q1500" s="184">
        <v>40</v>
      </c>
      <c r="R1500" s="1066">
        <f>COUNTIF(PoderesDeCriatura_Adquiridos,Tablas!O1500)</f>
        <v>0</v>
      </c>
      <c r="S1500" s="184"/>
      <c r="T1500" s="1057"/>
      <c r="U1500" s="269"/>
    </row>
    <row r="1501" spans="1:21" ht="12.75" customHeight="1" x14ac:dyDescent="0.2">
      <c r="A1501" s="237">
        <v>1501</v>
      </c>
      <c r="B1501" s="5838"/>
      <c r="C1501" s="592"/>
      <c r="H1501"/>
      <c r="M1501" s="336"/>
      <c r="N1501" s="23"/>
      <c r="O1501" s="142" t="s">
        <v>8076</v>
      </c>
      <c r="P1501" s="1059">
        <v>25</v>
      </c>
      <c r="Q1501" s="184">
        <v>50</v>
      </c>
      <c r="R1501" s="1066">
        <f>COUNTIF(PoderesDeCriatura_Adquiridos,Tablas!O1501)</f>
        <v>0</v>
      </c>
      <c r="S1501" s="184"/>
      <c r="T1501" s="1057"/>
      <c r="U1501" s="269"/>
    </row>
    <row r="1502" spans="1:21" ht="12.75" customHeight="1" x14ac:dyDescent="0.2">
      <c r="A1502" s="237">
        <v>1502</v>
      </c>
      <c r="B1502" s="5838"/>
      <c r="C1502" s="592"/>
      <c r="H1502"/>
      <c r="M1502" s="336"/>
      <c r="N1502" s="23"/>
      <c r="O1502" s="142" t="s">
        <v>8077</v>
      </c>
      <c r="P1502" s="1059">
        <v>30</v>
      </c>
      <c r="Q1502" s="184">
        <v>60</v>
      </c>
      <c r="R1502" s="1066">
        <f>COUNTIF(PoderesDeCriatura_Adquiridos,Tablas!O1502)</f>
        <v>0</v>
      </c>
      <c r="S1502" s="184"/>
      <c r="T1502" s="1057"/>
      <c r="U1502" s="269"/>
    </row>
    <row r="1503" spans="1:21" ht="12.75" customHeight="1" x14ac:dyDescent="0.2">
      <c r="A1503" s="237">
        <v>1503</v>
      </c>
      <c r="B1503" s="5838"/>
      <c r="C1503" s="592"/>
      <c r="H1503"/>
      <c r="M1503" s="336"/>
      <c r="N1503" s="23"/>
      <c r="O1503" s="142" t="s">
        <v>8078</v>
      </c>
      <c r="P1503" s="1059">
        <v>35</v>
      </c>
      <c r="Q1503" s="184">
        <v>70</v>
      </c>
      <c r="R1503" s="1066">
        <f>COUNTIF(PoderesDeCriatura_Adquiridos,Tablas!O1503)</f>
        <v>0</v>
      </c>
      <c r="S1503" s="184"/>
      <c r="T1503" s="1057"/>
      <c r="U1503" s="269"/>
    </row>
    <row r="1504" spans="1:21" ht="12.75" customHeight="1" x14ac:dyDescent="0.2">
      <c r="A1504" s="237">
        <v>1504</v>
      </c>
      <c r="B1504" s="5838"/>
      <c r="C1504" s="592"/>
      <c r="H1504"/>
      <c r="M1504" s="336"/>
      <c r="N1504" s="23"/>
      <c r="O1504" s="142" t="s">
        <v>8079</v>
      </c>
      <c r="P1504" s="1059">
        <v>40</v>
      </c>
      <c r="Q1504" s="184">
        <v>80</v>
      </c>
      <c r="R1504" s="1066">
        <f>COUNTIF(PoderesDeCriatura_Adquiridos,Tablas!O1504)</f>
        <v>0</v>
      </c>
      <c r="S1504" s="184"/>
      <c r="T1504" s="1057"/>
      <c r="U1504" s="269"/>
    </row>
    <row r="1505" spans="1:41" ht="12.75" customHeight="1" x14ac:dyDescent="0.2">
      <c r="A1505" s="237">
        <v>1505</v>
      </c>
      <c r="B1505" s="5838"/>
      <c r="C1505" s="592"/>
      <c r="H1505"/>
      <c r="M1505" s="336"/>
      <c r="N1505" s="23"/>
      <c r="O1505" s="142" t="s">
        <v>1325</v>
      </c>
      <c r="P1505" s="1059"/>
      <c r="Q1505" s="184"/>
      <c r="R1505" s="1066"/>
      <c r="S1505" s="184"/>
      <c r="T1505" s="1057"/>
      <c r="U1505" s="269"/>
    </row>
    <row r="1506" spans="1:41" ht="12.75" customHeight="1" x14ac:dyDescent="0.2">
      <c r="A1506" s="237">
        <v>1506</v>
      </c>
      <c r="B1506" s="5838"/>
      <c r="C1506" s="592"/>
      <c r="H1506"/>
      <c r="M1506" s="336"/>
      <c r="N1506" s="23"/>
      <c r="O1506" s="142" t="s">
        <v>8080</v>
      </c>
      <c r="P1506" s="1059">
        <v>30</v>
      </c>
      <c r="Q1506" s="184">
        <v>30</v>
      </c>
      <c r="R1506" s="1066">
        <f>COUNTIF(PoderesDeCriatura_Adquiridos,Tablas!O1506)</f>
        <v>0</v>
      </c>
      <c r="S1506" s="184"/>
      <c r="T1506" s="1057"/>
      <c r="U1506" s="269"/>
    </row>
    <row r="1507" spans="1:41" ht="12.75" customHeight="1" x14ac:dyDescent="0.2">
      <c r="A1507" s="237">
        <v>1507</v>
      </c>
      <c r="B1507" s="5838"/>
      <c r="C1507" s="592"/>
      <c r="H1507"/>
      <c r="M1507" s="336"/>
      <c r="N1507" s="23"/>
      <c r="O1507" s="142" t="s">
        <v>8081</v>
      </c>
      <c r="P1507" s="1059">
        <v>20</v>
      </c>
      <c r="Q1507" s="184">
        <v>20</v>
      </c>
      <c r="R1507" s="1066">
        <f>COUNTIF(PoderesDeCriatura_Adquiridos,Tablas!O1507)</f>
        <v>0</v>
      </c>
      <c r="S1507" s="184"/>
      <c r="T1507" s="1057"/>
      <c r="U1507" s="269"/>
    </row>
    <row r="1508" spans="1:41" ht="12.75" customHeight="1" x14ac:dyDescent="0.2">
      <c r="A1508" s="237">
        <v>1508</v>
      </c>
      <c r="B1508" s="5838"/>
      <c r="C1508" s="592"/>
      <c r="H1508"/>
      <c r="M1508" s="336"/>
      <c r="N1508" s="23"/>
      <c r="O1508" s="142" t="s">
        <v>8082</v>
      </c>
      <c r="P1508" s="1059">
        <v>30</v>
      </c>
      <c r="Q1508" s="184">
        <v>60</v>
      </c>
      <c r="R1508" s="1066">
        <f>COUNTIF(PoderesDeCriatura_Adquiridos,Tablas!O1508)</f>
        <v>0</v>
      </c>
      <c r="S1508" s="184"/>
      <c r="T1508" s="1057"/>
      <c r="U1508" s="269"/>
    </row>
    <row r="1509" spans="1:41" ht="12.75" customHeight="1" x14ac:dyDescent="0.2">
      <c r="A1509" s="237">
        <v>1509</v>
      </c>
      <c r="B1509" s="5838"/>
      <c r="C1509" s="592"/>
      <c r="H1509"/>
      <c r="M1509" s="336"/>
      <c r="N1509" s="23"/>
      <c r="O1509" s="142" t="s">
        <v>0</v>
      </c>
      <c r="P1509" s="1059"/>
      <c r="Q1509" s="184"/>
      <c r="R1509" s="1066"/>
      <c r="S1509" s="184"/>
      <c r="T1509" s="1057"/>
      <c r="U1509" s="269"/>
    </row>
    <row r="1510" spans="1:41" ht="12.75" customHeight="1" x14ac:dyDescent="0.2">
      <c r="A1510" s="237">
        <v>1510</v>
      </c>
      <c r="B1510" s="5838"/>
      <c r="C1510" s="592"/>
      <c r="H1510"/>
      <c r="M1510" s="336"/>
      <c r="N1510" s="23"/>
      <c r="O1510" s="142" t="s">
        <v>8083</v>
      </c>
      <c r="P1510" s="1059">
        <v>20</v>
      </c>
      <c r="Q1510" s="184">
        <v>80</v>
      </c>
      <c r="R1510" s="1066">
        <f>COUNTIF(PoderesDeCriatura_Adquiridos,Tablas!O1510)</f>
        <v>0</v>
      </c>
      <c r="S1510" s="184"/>
      <c r="T1510" s="1057"/>
      <c r="U1510" s="269"/>
    </row>
    <row r="1511" spans="1:41" ht="12.75" customHeight="1" x14ac:dyDescent="0.2">
      <c r="A1511" s="237">
        <v>1511</v>
      </c>
      <c r="B1511" s="5838"/>
      <c r="C1511" s="592"/>
      <c r="H1511"/>
      <c r="M1511" s="336"/>
      <c r="N1511" s="23"/>
      <c r="O1511" s="142" t="s">
        <v>8084</v>
      </c>
      <c r="P1511" s="1059">
        <v>20</v>
      </c>
      <c r="Q1511" s="184">
        <v>100</v>
      </c>
      <c r="R1511" s="1066">
        <f>COUNTIF(PoderesDeCriatura_Adquiridos,Tablas!O1511)</f>
        <v>0</v>
      </c>
      <c r="S1511" s="184"/>
      <c r="T1511" s="1057"/>
      <c r="U1511" s="269"/>
    </row>
    <row r="1512" spans="1:41" ht="12.75" customHeight="1" x14ac:dyDescent="0.2">
      <c r="A1512" s="237">
        <v>1512</v>
      </c>
      <c r="B1512" s="5838"/>
      <c r="C1512" s="592"/>
      <c r="H1512"/>
      <c r="M1512" s="336"/>
      <c r="N1512" s="23"/>
      <c r="O1512" s="142" t="s">
        <v>8085</v>
      </c>
      <c r="P1512" s="1059">
        <v>20</v>
      </c>
      <c r="Q1512" s="184">
        <f>IF(TipoDeCriatura="No muerto, Espectro",25,100)</f>
        <v>100</v>
      </c>
      <c r="R1512" s="1066">
        <f>COUNTIF(PoderesDeCriatura_Adquiridos,Tablas!O1512)</f>
        <v>0</v>
      </c>
      <c r="S1512" s="184"/>
      <c r="T1512" s="1057"/>
      <c r="U1512" s="269"/>
    </row>
    <row r="1513" spans="1:41" ht="12.75" customHeight="1" x14ac:dyDescent="0.2">
      <c r="A1513" s="237">
        <v>1513</v>
      </c>
      <c r="B1513" s="5838"/>
      <c r="C1513" s="592"/>
      <c r="H1513"/>
      <c r="M1513" s="336"/>
      <c r="N1513" s="23"/>
      <c r="O1513" s="142" t="s">
        <v>8086</v>
      </c>
      <c r="P1513" s="1059">
        <v>20</v>
      </c>
      <c r="Q1513" s="184">
        <v>10</v>
      </c>
      <c r="R1513" s="1066">
        <f>COUNTIF(PoderesDeCriatura_Adquiridos,Tablas!O1513)</f>
        <v>0</v>
      </c>
      <c r="S1513" s="184"/>
      <c r="T1513" s="1057"/>
      <c r="U1513" s="269"/>
    </row>
    <row r="1514" spans="1:41" ht="12.75" customHeight="1" x14ac:dyDescent="0.2">
      <c r="A1514" s="237">
        <v>1514</v>
      </c>
      <c r="B1514" s="5838"/>
      <c r="C1514" s="2986"/>
      <c r="H1514"/>
      <c r="M1514" s="336"/>
      <c r="N1514" s="23"/>
      <c r="O1514" s="142" t="s">
        <v>10298</v>
      </c>
      <c r="P1514" s="6277">
        <v>30</v>
      </c>
      <c r="Q1514" s="184">
        <v>20</v>
      </c>
      <c r="R1514" s="1066">
        <f>COUNTIF(PoderesDeCriatura_Adquiridos,Tablas!O1514)</f>
        <v>0</v>
      </c>
      <c r="S1514" s="184"/>
      <c r="T1514" s="1057"/>
      <c r="U1514" s="269"/>
      <c r="Y1514" s="2986"/>
      <c r="Z1514" s="2986"/>
      <c r="AA1514" s="2986"/>
      <c r="AB1514" s="2986"/>
      <c r="AC1514" s="2986"/>
      <c r="AD1514" s="2986"/>
      <c r="AE1514" s="2986"/>
      <c r="AF1514" s="2986"/>
      <c r="AG1514" s="2986"/>
      <c r="AH1514" s="2986"/>
      <c r="AI1514" s="2986"/>
      <c r="AJ1514" s="2986"/>
      <c r="AK1514" s="2986"/>
      <c r="AL1514" s="2986"/>
      <c r="AM1514" s="2986"/>
      <c r="AN1514" s="2986"/>
      <c r="AO1514" s="2986"/>
    </row>
    <row r="1515" spans="1:41" ht="12.75" customHeight="1" x14ac:dyDescent="0.2">
      <c r="A1515" s="237">
        <v>1515</v>
      </c>
      <c r="B1515" s="5838"/>
      <c r="C1515" s="592"/>
      <c r="H1515"/>
      <c r="M1515" s="336"/>
      <c r="N1515" s="23"/>
      <c r="O1515" s="142" t="s">
        <v>8087</v>
      </c>
      <c r="P1515" s="1059">
        <v>20</v>
      </c>
      <c r="Q1515" s="184">
        <v>-20</v>
      </c>
      <c r="R1515" s="1066">
        <f>COUNTIF(PoderesDeCriatura_Adquiridos,Tablas!O1515)</f>
        <v>0</v>
      </c>
      <c r="S1515" s="184"/>
      <c r="T1515" s="1057"/>
      <c r="U1515" s="269"/>
    </row>
    <row r="1516" spans="1:41" ht="12.75" customHeight="1" x14ac:dyDescent="0.2">
      <c r="A1516" s="237">
        <v>1516</v>
      </c>
      <c r="B1516" s="5838"/>
      <c r="C1516" s="592"/>
      <c r="H1516"/>
      <c r="M1516" s="336"/>
      <c r="N1516" s="23"/>
      <c r="O1516" s="142" t="s">
        <v>8088</v>
      </c>
      <c r="P1516" s="1054">
        <v>0</v>
      </c>
      <c r="Q1516" s="94">
        <v>0</v>
      </c>
      <c r="R1516" s="1066">
        <f>COUNTIF(PoderesDeCriatura_Adquiridos,Tablas!O1516)</f>
        <v>0</v>
      </c>
      <c r="S1516" s="184"/>
      <c r="T1516" s="1057"/>
      <c r="U1516" s="269"/>
    </row>
    <row r="1517" spans="1:41" ht="12.75" customHeight="1" x14ac:dyDescent="0.2">
      <c r="A1517" s="237">
        <v>1517</v>
      </c>
      <c r="B1517" s="5838"/>
      <c r="C1517" s="592"/>
      <c r="H1517"/>
      <c r="M1517" s="336"/>
      <c r="N1517" s="23"/>
      <c r="O1517" s="142" t="s">
        <v>8089</v>
      </c>
      <c r="P1517" s="1054">
        <v>10</v>
      </c>
      <c r="Q1517" s="94">
        <f>5+IF(OR(TipoDeCriatura="Entre mundos, Elemental",TipoDeCriatura="Ánima, Elemental"),5,0)</f>
        <v>5</v>
      </c>
      <c r="R1517" s="1066">
        <f>COUNTIF(PoderesDeCriatura_Adquiridos,Tablas!O1517)</f>
        <v>0</v>
      </c>
      <c r="S1517" s="184"/>
      <c r="T1517" s="1057"/>
      <c r="U1517" s="269"/>
    </row>
    <row r="1518" spans="1:41" ht="12.75" customHeight="1" x14ac:dyDescent="0.2">
      <c r="A1518" s="237">
        <v>1518</v>
      </c>
      <c r="B1518" s="5838"/>
      <c r="C1518" s="592"/>
      <c r="H1518"/>
      <c r="M1518" s="336"/>
      <c r="N1518" s="23"/>
      <c r="O1518" s="142" t="s">
        <v>8090</v>
      </c>
      <c r="P1518" s="1054">
        <v>30</v>
      </c>
      <c r="Q1518" s="94">
        <f>100+IF(OR(TipoDeCriatura="Entre mundos, Elemental",TipoDeCriatura="Ánima, Elemental"),10,0)</f>
        <v>100</v>
      </c>
      <c r="R1518" s="1066">
        <f>COUNTIF(PoderesDeCriatura_Adquiridos,Tablas!O1518)</f>
        <v>0</v>
      </c>
      <c r="S1518" s="184"/>
      <c r="T1518" s="1057"/>
      <c r="U1518" s="269"/>
    </row>
    <row r="1519" spans="1:41" ht="12.75" customHeight="1" x14ac:dyDescent="0.2">
      <c r="A1519" s="237">
        <v>1519</v>
      </c>
      <c r="B1519" s="5838"/>
      <c r="C1519" s="592"/>
      <c r="H1519"/>
      <c r="M1519" s="336"/>
      <c r="N1519" s="23"/>
      <c r="O1519" s="142" t="s">
        <v>8091</v>
      </c>
      <c r="P1519" s="1059">
        <v>10</v>
      </c>
      <c r="Q1519" s="184">
        <v>-30</v>
      </c>
      <c r="R1519" s="1066">
        <f>COUNTIF(PoderesDeCriatura_Adquiridos,Tablas!O1519)</f>
        <v>0</v>
      </c>
      <c r="S1519" s="184"/>
      <c r="T1519" s="1057"/>
      <c r="U1519" s="269"/>
    </row>
    <row r="1520" spans="1:41" ht="12.75" customHeight="1" x14ac:dyDescent="0.2">
      <c r="A1520" s="237">
        <v>1520</v>
      </c>
      <c r="B1520" s="5838"/>
      <c r="C1520" s="592"/>
      <c r="H1520"/>
      <c r="M1520" s="336"/>
      <c r="N1520" s="23"/>
      <c r="O1520" s="142" t="s">
        <v>8092</v>
      </c>
      <c r="P1520" s="1059">
        <v>10</v>
      </c>
      <c r="Q1520" s="184">
        <v>-10</v>
      </c>
      <c r="R1520" s="1066">
        <f>COUNTIF(PoderesDeCriatura_Adquiridos,Tablas!O1520)</f>
        <v>0</v>
      </c>
      <c r="S1520" s="184"/>
      <c r="T1520" s="1057"/>
      <c r="U1520" s="269"/>
    </row>
    <row r="1521" spans="1:21" ht="12.75" customHeight="1" x14ac:dyDescent="0.2">
      <c r="A1521" s="237">
        <v>1521</v>
      </c>
      <c r="B1521" s="5838"/>
      <c r="C1521" s="592"/>
      <c r="H1521"/>
      <c r="M1521" s="336"/>
      <c r="N1521" s="23"/>
      <c r="O1521" s="142" t="s">
        <v>8093</v>
      </c>
      <c r="P1521" s="1059">
        <v>10</v>
      </c>
      <c r="Q1521" s="184">
        <v>-20</v>
      </c>
      <c r="R1521" s="1066">
        <f>COUNTIF(PoderesDeCriatura_Adquiridos,Tablas!O1521)</f>
        <v>0</v>
      </c>
      <c r="S1521" s="184"/>
      <c r="T1521" s="1057"/>
      <c r="U1521" s="269"/>
    </row>
    <row r="1522" spans="1:21" ht="12.75" customHeight="1" x14ac:dyDescent="0.2">
      <c r="A1522" s="237">
        <v>1522</v>
      </c>
      <c r="B1522" s="5838"/>
      <c r="C1522" s="592"/>
      <c r="H1522"/>
      <c r="M1522" s="336"/>
      <c r="N1522" s="23"/>
      <c r="O1522" s="142" t="s">
        <v>8094</v>
      </c>
      <c r="P1522" s="1059">
        <v>10</v>
      </c>
      <c r="Q1522" s="184">
        <v>-30</v>
      </c>
      <c r="R1522" s="1066">
        <f>COUNTIF(PoderesDeCriatura_Adquiridos,Tablas!O1522)</f>
        <v>0</v>
      </c>
      <c r="S1522" s="184"/>
      <c r="T1522" s="1057"/>
      <c r="U1522" s="269"/>
    </row>
    <row r="1523" spans="1:21" ht="12.75" customHeight="1" x14ac:dyDescent="0.2">
      <c r="A1523" s="237">
        <v>1523</v>
      </c>
      <c r="B1523" s="5838"/>
      <c r="C1523" s="592"/>
      <c r="H1523"/>
      <c r="M1523" s="336"/>
      <c r="N1523" s="23"/>
      <c r="O1523" s="142" t="s">
        <v>8095</v>
      </c>
      <c r="P1523" s="1059">
        <v>10</v>
      </c>
      <c r="Q1523" s="184">
        <v>-40</v>
      </c>
      <c r="R1523" s="1066">
        <f>COUNTIF(PoderesDeCriatura_Adquiridos,Tablas!O1523)</f>
        <v>0</v>
      </c>
      <c r="S1523" s="184"/>
      <c r="T1523" s="1057"/>
      <c r="U1523" s="269"/>
    </row>
    <row r="1524" spans="1:21" ht="12.75" customHeight="1" x14ac:dyDescent="0.2">
      <c r="A1524" s="237">
        <v>1524</v>
      </c>
      <c r="B1524" s="5838"/>
      <c r="C1524" s="592"/>
      <c r="H1524"/>
      <c r="M1524" s="336"/>
      <c r="N1524" s="23"/>
      <c r="O1524" s="142" t="s">
        <v>8096</v>
      </c>
      <c r="P1524" s="1059">
        <v>10</v>
      </c>
      <c r="Q1524" s="184">
        <v>-50</v>
      </c>
      <c r="R1524" s="1066">
        <f>COUNTIF(PoderesDeCriatura_Adquiridos,Tablas!O1524)</f>
        <v>0</v>
      </c>
      <c r="S1524" s="184"/>
      <c r="T1524" s="1057"/>
      <c r="U1524" s="269"/>
    </row>
    <row r="1525" spans="1:21" ht="12.75" customHeight="1" x14ac:dyDescent="0.2">
      <c r="A1525" s="237">
        <v>1525</v>
      </c>
      <c r="B1525" s="5838"/>
      <c r="C1525" s="592"/>
      <c r="H1525"/>
      <c r="M1525" s="336"/>
      <c r="N1525" s="23"/>
      <c r="O1525" s="142" t="s">
        <v>8097</v>
      </c>
      <c r="P1525" s="1054">
        <v>0</v>
      </c>
      <c r="Q1525" s="94">
        <v>0</v>
      </c>
      <c r="R1525" s="1066">
        <f>COUNTIF(PoderesDeCriatura_Adquiridos,Tablas!O1525)</f>
        <v>0</v>
      </c>
      <c r="S1525" s="184"/>
      <c r="T1525" s="1057"/>
      <c r="U1525" s="269"/>
    </row>
    <row r="1526" spans="1:21" ht="12.75" customHeight="1" x14ac:dyDescent="0.2">
      <c r="A1526" s="237">
        <v>1526</v>
      </c>
      <c r="B1526" s="5838"/>
      <c r="C1526" s="592"/>
      <c r="H1526"/>
      <c r="M1526" s="336"/>
      <c r="N1526" s="23"/>
      <c r="O1526" s="142" t="s">
        <v>8098</v>
      </c>
      <c r="P1526" s="1054">
        <v>10</v>
      </c>
      <c r="Q1526" s="94">
        <f>5+IF(OR(TipoDeCriatura="Entre mundos, Elemental",TipoDeCriatura="Ánima, Elemental"),5,0)</f>
        <v>5</v>
      </c>
      <c r="R1526" s="1066">
        <f>COUNTIF(PoderesDeCriatura_Adquiridos,Tablas!O1526)</f>
        <v>0</v>
      </c>
      <c r="S1526" s="184"/>
      <c r="T1526" s="1057"/>
      <c r="U1526" s="269"/>
    </row>
    <row r="1527" spans="1:21" ht="12.75" customHeight="1" x14ac:dyDescent="0.2">
      <c r="A1527" s="237">
        <v>1527</v>
      </c>
      <c r="B1527" s="5838"/>
      <c r="C1527" s="592"/>
      <c r="H1527"/>
      <c r="M1527" s="336"/>
      <c r="N1527" s="23"/>
      <c r="O1527" s="142" t="s">
        <v>8099</v>
      </c>
      <c r="P1527" s="1054">
        <v>25</v>
      </c>
      <c r="Q1527" s="94">
        <f>80+IF(OR(TipoDeCriatura="Entre mundos, Elemental",TipoDeCriatura="Ánima, Elemental"),10,0)</f>
        <v>80</v>
      </c>
      <c r="R1527" s="1066">
        <f>COUNTIF(PoderesDeCriatura_Adquiridos,Tablas!O1527)</f>
        <v>0</v>
      </c>
      <c r="S1527" s="184"/>
      <c r="T1527" s="1057"/>
      <c r="U1527" s="269"/>
    </row>
    <row r="1528" spans="1:21" ht="12.75" customHeight="1" x14ac:dyDescent="0.2">
      <c r="A1528" s="237">
        <v>1528</v>
      </c>
      <c r="B1528" s="5838"/>
      <c r="C1528" s="592"/>
      <c r="H1528"/>
      <c r="M1528" s="336"/>
      <c r="N1528" s="23"/>
      <c r="O1528" s="142" t="s">
        <v>8100</v>
      </c>
      <c r="P1528" s="1059">
        <v>10</v>
      </c>
      <c r="Q1528" s="184">
        <v>-30</v>
      </c>
      <c r="R1528" s="1066">
        <f>COUNTIF(PoderesDeCriatura_Adquiridos,Tablas!O1528)</f>
        <v>0</v>
      </c>
      <c r="S1528" s="184"/>
      <c r="T1528" s="1057"/>
      <c r="U1528" s="269"/>
    </row>
    <row r="1529" spans="1:21" ht="12.75" customHeight="1" x14ac:dyDescent="0.2">
      <c r="A1529" s="237">
        <v>1529</v>
      </c>
      <c r="B1529" s="5838"/>
      <c r="C1529" s="592"/>
      <c r="H1529"/>
      <c r="M1529" s="336"/>
      <c r="N1529" s="23"/>
      <c r="O1529" s="142" t="s">
        <v>8101</v>
      </c>
      <c r="P1529" s="1059">
        <v>10</v>
      </c>
      <c r="Q1529" s="184">
        <v>-10</v>
      </c>
      <c r="R1529" s="1066">
        <f>COUNTIF(PoderesDeCriatura_Adquiridos,Tablas!O1529)</f>
        <v>0</v>
      </c>
      <c r="S1529" s="184"/>
      <c r="T1529" s="1057"/>
      <c r="U1529" s="269"/>
    </row>
    <row r="1530" spans="1:21" ht="12.75" customHeight="1" x14ac:dyDescent="0.2">
      <c r="A1530" s="237">
        <v>1530</v>
      </c>
      <c r="B1530" s="5838"/>
      <c r="C1530" s="592"/>
      <c r="H1530"/>
      <c r="M1530" s="336"/>
      <c r="N1530" s="23"/>
      <c r="O1530" s="142" t="s">
        <v>8102</v>
      </c>
      <c r="P1530" s="1059">
        <v>10</v>
      </c>
      <c r="Q1530" s="184">
        <v>-20</v>
      </c>
      <c r="R1530" s="1066">
        <f>COUNTIF(PoderesDeCriatura_Adquiridos,Tablas!O1530)</f>
        <v>0</v>
      </c>
      <c r="S1530" s="184"/>
      <c r="T1530" s="1057"/>
      <c r="U1530" s="269"/>
    </row>
    <row r="1531" spans="1:21" ht="12.75" customHeight="1" x14ac:dyDescent="0.2">
      <c r="A1531" s="237">
        <v>1531</v>
      </c>
      <c r="B1531" s="5838"/>
      <c r="C1531" s="592"/>
      <c r="H1531"/>
      <c r="M1531" s="336"/>
      <c r="N1531" s="23"/>
      <c r="O1531" s="142" t="s">
        <v>8103</v>
      </c>
      <c r="P1531" s="1059">
        <v>10</v>
      </c>
      <c r="Q1531" s="184">
        <v>-30</v>
      </c>
      <c r="R1531" s="1066">
        <f>COUNTIF(PoderesDeCriatura_Adquiridos,Tablas!O1531)</f>
        <v>0</v>
      </c>
      <c r="S1531" s="184"/>
      <c r="T1531" s="1057"/>
      <c r="U1531" s="269"/>
    </row>
    <row r="1532" spans="1:21" ht="12.75" customHeight="1" x14ac:dyDescent="0.2">
      <c r="A1532" s="237">
        <v>1532</v>
      </c>
      <c r="B1532" s="5838"/>
      <c r="C1532" s="592"/>
      <c r="H1532"/>
      <c r="M1532" s="336"/>
      <c r="N1532" s="23"/>
      <c r="O1532" s="142" t="s">
        <v>8104</v>
      </c>
      <c r="P1532" s="1059">
        <v>10</v>
      </c>
      <c r="Q1532" s="184">
        <v>-40</v>
      </c>
      <c r="R1532" s="1066">
        <f>COUNTIF(PoderesDeCriatura_Adquiridos,Tablas!O1532)</f>
        <v>0</v>
      </c>
      <c r="S1532" s="184"/>
      <c r="T1532" s="1057"/>
      <c r="U1532" s="269"/>
    </row>
    <row r="1533" spans="1:21" ht="12.75" customHeight="1" x14ac:dyDescent="0.2">
      <c r="A1533" s="237">
        <v>1533</v>
      </c>
      <c r="B1533" s="5838"/>
      <c r="C1533" s="592"/>
      <c r="H1533"/>
      <c r="M1533" s="336"/>
      <c r="N1533" s="23"/>
      <c r="O1533" s="142" t="s">
        <v>8105</v>
      </c>
      <c r="P1533" s="1059">
        <v>10</v>
      </c>
      <c r="Q1533" s="184">
        <v>-50</v>
      </c>
      <c r="R1533" s="1066">
        <f>COUNTIF(PoderesDeCriatura_Adquiridos,Tablas!O1533)</f>
        <v>0</v>
      </c>
      <c r="S1533" s="184"/>
      <c r="T1533" s="1057"/>
      <c r="U1533" s="269"/>
    </row>
    <row r="1534" spans="1:21" ht="12.75" customHeight="1" x14ac:dyDescent="0.2">
      <c r="A1534" s="237">
        <v>1534</v>
      </c>
      <c r="B1534" s="5838"/>
      <c r="C1534" s="592"/>
      <c r="H1534"/>
      <c r="M1534" s="336"/>
      <c r="N1534" s="23"/>
      <c r="O1534" s="142" t="s">
        <v>8106</v>
      </c>
      <c r="P1534" s="1059">
        <v>15</v>
      </c>
      <c r="Q1534" s="184">
        <v>40</v>
      </c>
      <c r="R1534" s="1066">
        <f>COUNTIF(PoderesDeCriatura_Adquiridos,Tablas!O1534)</f>
        <v>0</v>
      </c>
      <c r="S1534" s="184"/>
      <c r="T1534" s="1057"/>
      <c r="U1534" s="269"/>
    </row>
    <row r="1535" spans="1:21" ht="12.75" customHeight="1" x14ac:dyDescent="0.2">
      <c r="A1535" s="237">
        <v>1535</v>
      </c>
      <c r="B1535" s="5838"/>
      <c r="C1535" s="592"/>
      <c r="H1535"/>
      <c r="M1535" s="336"/>
      <c r="N1535" s="23"/>
      <c r="O1535" s="142" t="s">
        <v>8107</v>
      </c>
      <c r="P1535" s="1059">
        <v>20</v>
      </c>
      <c r="Q1535" s="184">
        <v>60</v>
      </c>
      <c r="R1535" s="1066">
        <f>COUNTIF(PoderesDeCriatura_Adquiridos,Tablas!O1535)</f>
        <v>0</v>
      </c>
      <c r="S1535" s="184"/>
      <c r="T1535" s="1057"/>
      <c r="U1535" s="269"/>
    </row>
    <row r="1536" spans="1:21" ht="12.75" customHeight="1" x14ac:dyDescent="0.2">
      <c r="A1536" s="237">
        <v>1536</v>
      </c>
      <c r="B1536" s="5838"/>
      <c r="C1536" s="592"/>
      <c r="H1536"/>
      <c r="M1536" s="336"/>
      <c r="N1536" s="23"/>
      <c r="O1536" s="142" t="s">
        <v>8108</v>
      </c>
      <c r="P1536" s="1059">
        <v>25</v>
      </c>
      <c r="Q1536" s="184">
        <v>100</v>
      </c>
      <c r="R1536" s="1066">
        <f>COUNTIF(PoderesDeCriatura_Adquiridos,Tablas!O1536)</f>
        <v>0</v>
      </c>
      <c r="S1536" s="184"/>
      <c r="T1536" s="1057"/>
      <c r="U1536" s="269"/>
    </row>
    <row r="1537" spans="1:21" ht="12.75" customHeight="1" x14ac:dyDescent="0.2">
      <c r="A1537" s="237">
        <v>1537</v>
      </c>
      <c r="B1537" s="5838"/>
      <c r="C1537" s="592"/>
      <c r="H1537"/>
      <c r="M1537" s="336"/>
      <c r="N1537" s="23"/>
      <c r="O1537" s="142" t="s">
        <v>8109</v>
      </c>
      <c r="P1537" s="1059">
        <v>20</v>
      </c>
      <c r="Q1537" s="184">
        <v>-20</v>
      </c>
      <c r="R1537" s="1066">
        <f>COUNTIF(PoderesDeCriatura_Adquiridos,Tablas!O1537)</f>
        <v>0</v>
      </c>
      <c r="S1537" s="184"/>
      <c r="T1537" s="1057"/>
      <c r="U1537" s="269"/>
    </row>
    <row r="1538" spans="1:21" ht="12.75" customHeight="1" x14ac:dyDescent="0.2">
      <c r="A1538" s="237">
        <v>1538</v>
      </c>
      <c r="B1538" s="5838"/>
      <c r="C1538" s="592"/>
      <c r="H1538"/>
      <c r="M1538" s="336"/>
      <c r="N1538" s="23"/>
      <c r="O1538" s="142" t="s">
        <v>8110</v>
      </c>
      <c r="P1538" s="1059">
        <v>10</v>
      </c>
      <c r="Q1538" s="184">
        <v>10</v>
      </c>
      <c r="R1538" s="1066">
        <f>COUNTIF(PoderesDeCriatura_Adquiridos,Tablas!O1538)</f>
        <v>0</v>
      </c>
      <c r="S1538" s="184"/>
      <c r="T1538" s="1057"/>
      <c r="U1538" s="269"/>
    </row>
    <row r="1539" spans="1:21" ht="12.75" customHeight="1" x14ac:dyDescent="0.2">
      <c r="A1539" s="237">
        <v>1539</v>
      </c>
      <c r="B1539" s="5838"/>
      <c r="C1539" s="592"/>
      <c r="H1539"/>
      <c r="M1539" s="336"/>
      <c r="N1539" s="23"/>
      <c r="O1539" s="142" t="s">
        <v>8111</v>
      </c>
      <c r="P1539" s="1059">
        <v>20</v>
      </c>
      <c r="Q1539" s="184">
        <v>20</v>
      </c>
      <c r="R1539" s="1066">
        <f>COUNTIF(PoderesDeCriatura_Adquiridos,Tablas!O1539)</f>
        <v>0</v>
      </c>
      <c r="S1539" s="184"/>
      <c r="T1539" s="1057"/>
      <c r="U1539" s="269"/>
    </row>
    <row r="1540" spans="1:21" ht="12.75" customHeight="1" x14ac:dyDescent="0.2">
      <c r="A1540" s="237">
        <v>1540</v>
      </c>
      <c r="B1540" s="5838"/>
      <c r="C1540" s="592"/>
      <c r="H1540"/>
      <c r="M1540" s="336"/>
      <c r="N1540" s="23"/>
      <c r="O1540" s="142" t="s">
        <v>8112</v>
      </c>
      <c r="P1540" s="1059">
        <v>20</v>
      </c>
      <c r="Q1540" s="184">
        <v>40</v>
      </c>
      <c r="R1540" s="1066">
        <f>COUNTIF(PoderesDeCriatura_Adquiridos,Tablas!O1540)</f>
        <v>0</v>
      </c>
      <c r="S1540" s="184"/>
      <c r="T1540" s="1057"/>
      <c r="U1540" s="269"/>
    </row>
    <row r="1541" spans="1:21" ht="12.75" customHeight="1" x14ac:dyDescent="0.2">
      <c r="A1541" s="237">
        <v>1541</v>
      </c>
      <c r="B1541" s="5838"/>
      <c r="C1541" s="592"/>
      <c r="H1541"/>
      <c r="M1541" s="336"/>
      <c r="N1541" s="23"/>
      <c r="O1541" s="142" t="s">
        <v>8113</v>
      </c>
      <c r="P1541" s="1059">
        <v>25</v>
      </c>
      <c r="Q1541" s="184">
        <v>80</v>
      </c>
      <c r="R1541" s="1066">
        <f>COUNTIF(PoderesDeCriatura_Adquiridos,Tablas!O1541)</f>
        <v>0</v>
      </c>
      <c r="S1541" s="184"/>
      <c r="T1541" s="1057"/>
      <c r="U1541" s="269"/>
    </row>
    <row r="1542" spans="1:21" ht="12.75" customHeight="1" x14ac:dyDescent="0.2">
      <c r="A1542" s="237">
        <v>1542</v>
      </c>
      <c r="B1542" s="5838"/>
      <c r="C1542" s="592"/>
      <c r="H1542"/>
      <c r="M1542" s="336"/>
      <c r="N1542" s="23"/>
      <c r="O1542" s="142" t="s">
        <v>8114</v>
      </c>
      <c r="P1542" s="1059">
        <v>10</v>
      </c>
      <c r="Q1542" s="184">
        <v>50</v>
      </c>
      <c r="R1542" s="1066">
        <f>COUNTIF(PoderesDeCriatura_Adquiridos,Tablas!O1542)</f>
        <v>0</v>
      </c>
      <c r="S1542" s="184"/>
      <c r="T1542" s="1057"/>
      <c r="U1542" s="269"/>
    </row>
    <row r="1543" spans="1:21" ht="12.75" customHeight="1" x14ac:dyDescent="0.2">
      <c r="A1543" s="237">
        <v>1543</v>
      </c>
      <c r="B1543" s="5838"/>
      <c r="C1543" s="592"/>
      <c r="H1543"/>
      <c r="M1543" s="336"/>
      <c r="N1543" s="23"/>
      <c r="O1543" s="142" t="s">
        <v>8115</v>
      </c>
      <c r="P1543" s="1059">
        <v>20</v>
      </c>
      <c r="Q1543" s="184">
        <v>80</v>
      </c>
      <c r="R1543" s="1066">
        <f>COUNTIF(PoderesDeCriatura_Adquiridos,Tablas!O1543)</f>
        <v>0</v>
      </c>
      <c r="S1543" s="184"/>
      <c r="T1543" s="1057"/>
      <c r="U1543" s="269"/>
    </row>
    <row r="1544" spans="1:21" ht="12.75" customHeight="1" x14ac:dyDescent="0.2">
      <c r="A1544" s="237">
        <v>1544</v>
      </c>
      <c r="B1544" s="5838"/>
      <c r="C1544" s="592"/>
      <c r="H1544"/>
      <c r="M1544" s="336"/>
      <c r="N1544" s="23"/>
      <c r="O1544" s="142" t="s">
        <v>8116</v>
      </c>
      <c r="P1544" s="1059">
        <v>25</v>
      </c>
      <c r="Q1544" s="184">
        <v>100</v>
      </c>
      <c r="R1544" s="1066">
        <f>COUNTIF(PoderesDeCriatura_Adquiridos,Tablas!O1544)</f>
        <v>0</v>
      </c>
      <c r="S1544" s="184"/>
      <c r="T1544" s="1057"/>
      <c r="U1544" s="269"/>
    </row>
    <row r="1545" spans="1:21" ht="12.75" customHeight="1" x14ac:dyDescent="0.2">
      <c r="A1545" s="237">
        <v>1545</v>
      </c>
      <c r="B1545" s="5838"/>
      <c r="C1545" s="592"/>
      <c r="H1545"/>
      <c r="M1545" s="336"/>
      <c r="N1545" s="23"/>
      <c r="O1545" s="142" t="s">
        <v>8117</v>
      </c>
      <c r="P1545" s="1059">
        <v>30</v>
      </c>
      <c r="Q1545" s="184">
        <v>150</v>
      </c>
      <c r="R1545" s="1066">
        <f>COUNTIF(PoderesDeCriatura_Adquiridos,Tablas!O1545)</f>
        <v>0</v>
      </c>
      <c r="S1545" s="184"/>
      <c r="T1545" s="1057"/>
      <c r="U1545" s="269"/>
    </row>
    <row r="1546" spans="1:21" ht="12.75" customHeight="1" x14ac:dyDescent="0.2">
      <c r="A1546" s="237">
        <v>1546</v>
      </c>
      <c r="B1546" s="5838"/>
      <c r="C1546" s="592"/>
      <c r="H1546"/>
      <c r="M1546" s="336"/>
      <c r="N1546" s="23"/>
      <c r="O1546" s="142" t="s">
        <v>8118</v>
      </c>
      <c r="P1546" s="1059">
        <v>10</v>
      </c>
      <c r="Q1546" s="184">
        <v>50</v>
      </c>
      <c r="R1546" s="1066">
        <f>COUNTIF(PoderesDeCriatura_Adquiridos,Tablas!O1546)</f>
        <v>0</v>
      </c>
      <c r="S1546" s="184"/>
      <c r="T1546" s="1057"/>
      <c r="U1546" s="269"/>
    </row>
    <row r="1547" spans="1:21" ht="12.75" customHeight="1" x14ac:dyDescent="0.2">
      <c r="A1547" s="237">
        <v>1547</v>
      </c>
      <c r="B1547" s="5838"/>
      <c r="C1547" s="592"/>
      <c r="H1547"/>
      <c r="M1547" s="336"/>
      <c r="N1547" s="23"/>
      <c r="O1547" s="142" t="s">
        <v>8119</v>
      </c>
      <c r="P1547" s="1059">
        <v>20</v>
      </c>
      <c r="Q1547" s="184">
        <v>-30</v>
      </c>
      <c r="R1547" s="1066">
        <f>COUNTIF(PoderesDeCriatura_Adquiridos,Tablas!O1547)</f>
        <v>0</v>
      </c>
      <c r="S1547" s="184"/>
      <c r="T1547" s="1057"/>
      <c r="U1547" s="269"/>
    </row>
    <row r="1548" spans="1:21" ht="12.75" customHeight="1" x14ac:dyDescent="0.2">
      <c r="A1548" s="237">
        <v>1548</v>
      </c>
      <c r="B1548" s="5838"/>
      <c r="C1548" s="592"/>
      <c r="H1548"/>
      <c r="M1548" s="336"/>
      <c r="N1548" s="23"/>
      <c r="O1548" s="142" t="s">
        <v>8120</v>
      </c>
      <c r="P1548" s="1054">
        <v>20</v>
      </c>
      <c r="Q1548" s="94">
        <v>40</v>
      </c>
      <c r="R1548" s="1066">
        <f>COUNTIF(PoderesDeCriatura_Adquiridos,Tablas!O1548)</f>
        <v>0</v>
      </c>
      <c r="S1548" s="184"/>
      <c r="T1548" s="1057"/>
      <c r="U1548" s="269"/>
    </row>
    <row r="1549" spans="1:21" ht="12.75" customHeight="1" x14ac:dyDescent="0.2">
      <c r="A1549" s="237">
        <v>1549</v>
      </c>
      <c r="B1549" s="5838"/>
      <c r="C1549" s="592"/>
      <c r="H1549"/>
      <c r="M1549" s="336"/>
      <c r="N1549" s="23"/>
      <c r="O1549" s="142" t="s">
        <v>8121</v>
      </c>
      <c r="P1549" s="1054">
        <v>20</v>
      </c>
      <c r="Q1549" s="94">
        <v>60</v>
      </c>
      <c r="R1549" s="1066">
        <f>COUNTIF(PoderesDeCriatura_Adquiridos,Tablas!O1549)</f>
        <v>0</v>
      </c>
      <c r="S1549" s="184"/>
      <c r="T1549" s="1057"/>
      <c r="U1549" s="269"/>
    </row>
    <row r="1550" spans="1:21" ht="12.75" customHeight="1" x14ac:dyDescent="0.2">
      <c r="A1550" s="237">
        <v>1550</v>
      </c>
      <c r="B1550" s="5838"/>
      <c r="C1550" s="592"/>
      <c r="H1550"/>
      <c r="M1550" s="336"/>
      <c r="N1550" s="23"/>
      <c r="O1550" s="142" t="s">
        <v>8122</v>
      </c>
      <c r="P1550" s="1054">
        <v>25</v>
      </c>
      <c r="Q1550" s="94">
        <v>80</v>
      </c>
      <c r="R1550" s="1066">
        <f>COUNTIF(PoderesDeCriatura_Adquiridos,Tablas!O1550)</f>
        <v>0</v>
      </c>
      <c r="S1550" s="184"/>
      <c r="T1550" s="1057"/>
      <c r="U1550" s="269"/>
    </row>
    <row r="1551" spans="1:21" ht="12.75" customHeight="1" x14ac:dyDescent="0.2">
      <c r="A1551" s="237">
        <v>1551</v>
      </c>
      <c r="B1551" s="5838"/>
      <c r="C1551" s="592"/>
      <c r="H1551"/>
      <c r="M1551" s="336"/>
      <c r="N1551" s="23"/>
      <c r="O1551" s="142" t="s">
        <v>8123</v>
      </c>
      <c r="P1551" s="1054">
        <v>25</v>
      </c>
      <c r="Q1551" s="94">
        <v>100</v>
      </c>
      <c r="R1551" s="1066">
        <f>COUNTIF(PoderesDeCriatura_Adquiridos,Tablas!O1551)</f>
        <v>0</v>
      </c>
      <c r="S1551" s="184"/>
      <c r="T1551" s="1057"/>
      <c r="U1551" s="269"/>
    </row>
    <row r="1552" spans="1:21" ht="12.75" customHeight="1" x14ac:dyDescent="0.2">
      <c r="A1552" s="237">
        <v>1552</v>
      </c>
      <c r="B1552" s="5838"/>
      <c r="C1552" s="592"/>
      <c r="H1552"/>
      <c r="M1552" s="336"/>
      <c r="N1552" s="23"/>
      <c r="O1552" s="142" t="s">
        <v>8124</v>
      </c>
      <c r="P1552" s="1054">
        <v>30</v>
      </c>
      <c r="Q1552" s="94">
        <v>120</v>
      </c>
      <c r="R1552" s="1066">
        <f>COUNTIF(PoderesDeCriatura_Adquiridos,Tablas!O1552)</f>
        <v>0</v>
      </c>
      <c r="S1552" s="184"/>
      <c r="T1552" s="1057"/>
      <c r="U1552" s="269"/>
    </row>
    <row r="1553" spans="1:21" ht="12.75" customHeight="1" x14ac:dyDescent="0.2">
      <c r="A1553" s="237">
        <v>1553</v>
      </c>
      <c r="B1553" s="5838"/>
      <c r="C1553" s="592"/>
      <c r="H1553"/>
      <c r="M1553" s="336"/>
      <c r="N1553" s="23"/>
      <c r="O1553" s="142" t="s">
        <v>8125</v>
      </c>
      <c r="P1553" s="1054">
        <v>35</v>
      </c>
      <c r="Q1553" s="94">
        <v>140</v>
      </c>
      <c r="R1553" s="1066">
        <f>COUNTIF(PoderesDeCriatura_Adquiridos,Tablas!O1553)</f>
        <v>0</v>
      </c>
      <c r="S1553" s="184"/>
      <c r="T1553" s="1057"/>
      <c r="U1553" s="269"/>
    </row>
    <row r="1554" spans="1:21" ht="12.75" customHeight="1" x14ac:dyDescent="0.2">
      <c r="A1554" s="237">
        <v>1554</v>
      </c>
      <c r="B1554" s="5838"/>
      <c r="C1554" s="592"/>
      <c r="H1554"/>
      <c r="M1554" s="336"/>
      <c r="N1554" s="23"/>
      <c r="O1554" s="142" t="s">
        <v>8126</v>
      </c>
      <c r="P1554" s="1054">
        <v>20</v>
      </c>
      <c r="Q1554" s="94">
        <f>20+IF(OR(TipoDeCriatura="Entre mundos, Elemental",TipoDeCriatura="Ánima, Elemental"),10,0)</f>
        <v>20</v>
      </c>
      <c r="R1554" s="1066">
        <f>COUNTIF(PoderesDeCriatura_Adquiridos,Tablas!O1554)</f>
        <v>0</v>
      </c>
      <c r="S1554" s="184"/>
      <c r="T1554" s="1057"/>
      <c r="U1554" s="269"/>
    </row>
    <row r="1555" spans="1:21" ht="12.75" customHeight="1" x14ac:dyDescent="0.2">
      <c r="A1555" s="237">
        <v>1555</v>
      </c>
      <c r="B1555" s="5838"/>
      <c r="C1555" s="592"/>
      <c r="H1555"/>
      <c r="M1555" s="336"/>
      <c r="N1555" s="23"/>
      <c r="O1555" s="142" t="s">
        <v>8127</v>
      </c>
      <c r="P1555" s="1054">
        <v>20</v>
      </c>
      <c r="Q1555" s="94">
        <f>30+IF(OR(TipoDeCriatura="Entre mundos, Elemental",TipoDeCriatura="Ánima, Elemental"),10,0)</f>
        <v>30</v>
      </c>
      <c r="R1555" s="1066">
        <f>COUNTIF(PoderesDeCriatura_Adquiridos,Tablas!O1555)</f>
        <v>0</v>
      </c>
      <c r="S1555" s="184"/>
      <c r="T1555" s="1057"/>
      <c r="U1555" s="269"/>
    </row>
    <row r="1556" spans="1:21" ht="12.75" customHeight="1" x14ac:dyDescent="0.2">
      <c r="A1556" s="237">
        <v>1556</v>
      </c>
      <c r="B1556" s="5838"/>
      <c r="C1556" s="592"/>
      <c r="H1556"/>
      <c r="M1556" s="336"/>
      <c r="N1556" s="23"/>
      <c r="O1556" s="142" t="s">
        <v>8128</v>
      </c>
      <c r="P1556" s="1054">
        <v>25</v>
      </c>
      <c r="Q1556" s="94">
        <f>40+IF(OR(TipoDeCriatura="Entre mundos, Elemental",TipoDeCriatura="Ánima, Elemental"),10,0)</f>
        <v>40</v>
      </c>
      <c r="R1556" s="1066">
        <f>COUNTIF(PoderesDeCriatura_Adquiridos,Tablas!O1556)</f>
        <v>0</v>
      </c>
      <c r="S1556" s="184"/>
      <c r="T1556" s="1057"/>
      <c r="U1556" s="269"/>
    </row>
    <row r="1557" spans="1:21" ht="12.75" customHeight="1" x14ac:dyDescent="0.2">
      <c r="A1557" s="237">
        <v>1557</v>
      </c>
      <c r="B1557" s="5838"/>
      <c r="C1557" s="592"/>
      <c r="H1557"/>
      <c r="M1557" s="336"/>
      <c r="N1557" s="23"/>
      <c r="O1557" s="142" t="s">
        <v>8129</v>
      </c>
      <c r="P1557" s="1054">
        <v>25</v>
      </c>
      <c r="Q1557" s="94">
        <f>50+IF(OR(TipoDeCriatura="Entre mundos, Elemental",TipoDeCriatura="Ánima, Elemental"),10,0)</f>
        <v>50</v>
      </c>
      <c r="R1557" s="1066">
        <f>COUNTIF(PoderesDeCriatura_Adquiridos,Tablas!O1557)</f>
        <v>0</v>
      </c>
      <c r="S1557" s="184"/>
      <c r="T1557" s="1057"/>
      <c r="U1557" s="269"/>
    </row>
    <row r="1558" spans="1:21" ht="12.75" customHeight="1" x14ac:dyDescent="0.2">
      <c r="A1558" s="237">
        <v>1558</v>
      </c>
      <c r="B1558" s="5838"/>
      <c r="C1558" s="592"/>
      <c r="H1558"/>
      <c r="M1558" s="336"/>
      <c r="N1558" s="23"/>
      <c r="O1558" s="142" t="s">
        <v>8130</v>
      </c>
      <c r="P1558" s="1054">
        <v>30</v>
      </c>
      <c r="Q1558" s="94">
        <f>60+IF(OR(TipoDeCriatura="Entre mundos, Elemental",TipoDeCriatura="Ánima, Elemental"),10,0)</f>
        <v>60</v>
      </c>
      <c r="R1558" s="1066">
        <f>COUNTIF(PoderesDeCriatura_Adquiridos,Tablas!O1558)</f>
        <v>0</v>
      </c>
      <c r="S1558" s="184"/>
      <c r="T1558" s="1057"/>
      <c r="U1558" s="269"/>
    </row>
    <row r="1559" spans="1:21" ht="12.75" customHeight="1" x14ac:dyDescent="0.2">
      <c r="A1559" s="237">
        <v>1559</v>
      </c>
      <c r="B1559" s="5838"/>
      <c r="C1559" s="592"/>
      <c r="H1559"/>
      <c r="M1559" s="336"/>
      <c r="N1559" s="23"/>
      <c r="O1559" s="142" t="s">
        <v>8131</v>
      </c>
      <c r="P1559" s="1059">
        <v>35</v>
      </c>
      <c r="Q1559" s="94">
        <f>80+IF(OR(TipoDeCriatura="Entre mundos, Elemental",TipoDeCriatura="Ánima, Elemental"),10,0)</f>
        <v>80</v>
      </c>
      <c r="R1559" s="1066">
        <f>COUNTIF(PoderesDeCriatura_Adquiridos,Tablas!O1559)</f>
        <v>0</v>
      </c>
      <c r="S1559" s="184"/>
      <c r="T1559" s="1057"/>
      <c r="U1559" s="269"/>
    </row>
    <row r="1560" spans="1:21" ht="12.75" customHeight="1" x14ac:dyDescent="0.2">
      <c r="A1560" s="237">
        <v>1560</v>
      </c>
      <c r="B1560" s="5838"/>
      <c r="C1560" s="592"/>
      <c r="H1560"/>
      <c r="M1560" s="336"/>
      <c r="N1560" s="23"/>
      <c r="O1560" s="142" t="s">
        <v>8132</v>
      </c>
      <c r="P1560" s="1054">
        <v>20</v>
      </c>
      <c r="Q1560" s="94">
        <f>60+IF(OR(TipoDeCriatura="Entre mundos, Elemental",TipoDeCriatura="Ánima, Elemental"),10,0)</f>
        <v>60</v>
      </c>
      <c r="R1560" s="1066">
        <f>COUNTIF(PoderesDeCriatura_Adquiridos,Tablas!O1560)</f>
        <v>0</v>
      </c>
      <c r="S1560" s="184"/>
      <c r="T1560" s="1057"/>
      <c r="U1560" s="269"/>
    </row>
    <row r="1561" spans="1:21" ht="12.75" customHeight="1" x14ac:dyDescent="0.2">
      <c r="A1561" s="237">
        <v>1561</v>
      </c>
      <c r="B1561" s="5838"/>
      <c r="C1561" s="592"/>
      <c r="H1561"/>
      <c r="M1561" s="336"/>
      <c r="N1561" s="23"/>
      <c r="O1561" s="142" t="s">
        <v>8133</v>
      </c>
      <c r="P1561" s="1054">
        <v>30</v>
      </c>
      <c r="Q1561" s="94">
        <f>80+IF(OR(TipoDeCriatura="Entre mundos, Elemental",TipoDeCriatura="Ánima, Elemental"),10,0)</f>
        <v>80</v>
      </c>
      <c r="R1561" s="1066">
        <f>COUNTIF(PoderesDeCriatura_Adquiridos,Tablas!O1561)</f>
        <v>0</v>
      </c>
      <c r="S1561" s="184"/>
      <c r="T1561" s="1057"/>
      <c r="U1561" s="269"/>
    </row>
    <row r="1562" spans="1:21" ht="12.75" customHeight="1" x14ac:dyDescent="0.2">
      <c r="A1562" s="237">
        <v>1562</v>
      </c>
      <c r="B1562" s="5838"/>
      <c r="C1562" s="592"/>
      <c r="H1562"/>
      <c r="M1562" s="336"/>
      <c r="N1562" s="23"/>
      <c r="O1562" s="142" t="s">
        <v>8134</v>
      </c>
      <c r="P1562" s="1054">
        <v>20</v>
      </c>
      <c r="Q1562" s="94">
        <f>60+IF(OR(TipoDeCriatura="Entre mundos, Elemental",TipoDeCriatura="Ánima, Elemental"),10,0)</f>
        <v>60</v>
      </c>
      <c r="R1562" s="1066">
        <f>COUNTIF(PoderesDeCriatura_Adquiridos,Tablas!O1562)</f>
        <v>0</v>
      </c>
      <c r="S1562" s="184"/>
      <c r="T1562" s="1057"/>
      <c r="U1562" s="269"/>
    </row>
    <row r="1563" spans="1:21" ht="12.75" customHeight="1" x14ac:dyDescent="0.2">
      <c r="A1563" s="237">
        <v>1563</v>
      </c>
      <c r="B1563" s="5838"/>
      <c r="C1563" s="592"/>
      <c r="H1563"/>
      <c r="M1563" s="336"/>
      <c r="N1563" s="23"/>
      <c r="O1563" s="142" t="s">
        <v>8135</v>
      </c>
      <c r="P1563" s="1054">
        <v>25</v>
      </c>
      <c r="Q1563" s="94">
        <f>80+IF(OR(TipoDeCriatura="Entre mundos, Elemental",TipoDeCriatura="Ánima, Elemental"),10,0)</f>
        <v>80</v>
      </c>
      <c r="R1563" s="1066">
        <f>COUNTIF(PoderesDeCriatura_Adquiridos,Tablas!O1563)</f>
        <v>0</v>
      </c>
      <c r="S1563" s="184"/>
      <c r="T1563" s="1057"/>
      <c r="U1563" s="269"/>
    </row>
    <row r="1564" spans="1:21" ht="12.75" customHeight="1" x14ac:dyDescent="0.2">
      <c r="A1564" s="237">
        <v>1564</v>
      </c>
      <c r="B1564" s="5838"/>
      <c r="C1564" s="592"/>
      <c r="H1564"/>
      <c r="M1564" s="336"/>
      <c r="N1564" s="23"/>
      <c r="O1564" s="142" t="s">
        <v>8136</v>
      </c>
      <c r="P1564" s="1054">
        <v>20</v>
      </c>
      <c r="Q1564" s="94">
        <f>100+IF(OR(TipoDeCriatura="Entre mundos, Elemental",TipoDeCriatura="Ánima, Elemental"),10,0)</f>
        <v>100</v>
      </c>
      <c r="R1564" s="1066">
        <f>COUNTIF(PoderesDeCriatura_Adquiridos,Tablas!O1564)</f>
        <v>0</v>
      </c>
      <c r="S1564" s="184"/>
      <c r="T1564" s="1057"/>
      <c r="U1564" s="269"/>
    </row>
    <row r="1565" spans="1:21" ht="12.75" customHeight="1" x14ac:dyDescent="0.2">
      <c r="A1565" s="237">
        <v>1565</v>
      </c>
      <c r="B1565" s="5838"/>
      <c r="C1565" s="592"/>
      <c r="H1565"/>
      <c r="M1565" s="336"/>
      <c r="N1565" s="23"/>
      <c r="O1565" s="142" t="s">
        <v>8137</v>
      </c>
      <c r="P1565" s="1054">
        <v>20</v>
      </c>
      <c r="Q1565" s="94">
        <f>80+IF(OR(TipoDeCriatura="Entre mundos, Elemental",TipoDeCriatura="Ánima, Elemental"),10,0)</f>
        <v>80</v>
      </c>
      <c r="R1565" s="1066">
        <f>COUNTIF(PoderesDeCriatura_Adquiridos,Tablas!O1565)</f>
        <v>0</v>
      </c>
      <c r="S1565" s="184"/>
      <c r="T1565" s="1057"/>
      <c r="U1565" s="269"/>
    </row>
    <row r="1566" spans="1:21" ht="12.75" customHeight="1" x14ac:dyDescent="0.2">
      <c r="A1566" s="237">
        <v>1566</v>
      </c>
      <c r="B1566" s="5838"/>
      <c r="C1566" s="592"/>
      <c r="H1566"/>
      <c r="M1566" s="336"/>
      <c r="N1566" s="23"/>
      <c r="O1566" s="142" t="s">
        <v>8138</v>
      </c>
      <c r="P1566" s="1054">
        <v>30</v>
      </c>
      <c r="Q1566" s="94">
        <f>120+IF(OR(TipoDeCriatura="Entre mundos, Elemental",TipoDeCriatura="Ánima, Elemental"),10,0)</f>
        <v>120</v>
      </c>
      <c r="R1566" s="1066">
        <f>COUNTIF(PoderesDeCriatura_Adquiridos,Tablas!O1566)</f>
        <v>0</v>
      </c>
      <c r="S1566" s="184"/>
      <c r="T1566" s="1057"/>
      <c r="U1566" s="269"/>
    </row>
    <row r="1567" spans="1:21" ht="12.75" customHeight="1" x14ac:dyDescent="0.2">
      <c r="A1567" s="237">
        <v>1567</v>
      </c>
      <c r="B1567" s="5838"/>
      <c r="C1567" s="592"/>
      <c r="H1567"/>
      <c r="M1567" s="336"/>
      <c r="N1567" s="23"/>
      <c r="O1567" s="142" t="s">
        <v>8139</v>
      </c>
      <c r="P1567" s="1054">
        <v>20</v>
      </c>
      <c r="Q1567" s="94">
        <f>60+IF(OR(TipoDeCriatura="Entre mundos, Elemental",TipoDeCriatura="Ánima, Elemental"),10,0)</f>
        <v>60</v>
      </c>
      <c r="R1567" s="1066">
        <f>COUNTIF(PoderesDeCriatura_Adquiridos,Tablas!O1567)</f>
        <v>0</v>
      </c>
      <c r="S1567" s="184"/>
      <c r="T1567" s="1057"/>
      <c r="U1567" s="269"/>
    </row>
    <row r="1568" spans="1:21" ht="12.75" customHeight="1" x14ac:dyDescent="0.2">
      <c r="A1568" s="237">
        <v>1568</v>
      </c>
      <c r="B1568" s="5838"/>
      <c r="C1568" s="592"/>
      <c r="H1568"/>
      <c r="M1568" s="336"/>
      <c r="N1568" s="23"/>
      <c r="O1568" s="142" t="s">
        <v>8140</v>
      </c>
      <c r="P1568" s="1054">
        <v>20</v>
      </c>
      <c r="Q1568" s="94">
        <f>80+IF(OR(TipoDeCriatura="Entre mundos, Elemental",TipoDeCriatura="Ánima, Elemental"),10,0)</f>
        <v>80</v>
      </c>
      <c r="R1568" s="1066">
        <f>COUNTIF(PoderesDeCriatura_Adquiridos,Tablas!O1568)</f>
        <v>0</v>
      </c>
      <c r="S1568" s="184"/>
      <c r="T1568" s="1057"/>
      <c r="U1568" s="269"/>
    </row>
    <row r="1569" spans="1:21" ht="12.75" customHeight="1" x14ac:dyDescent="0.2">
      <c r="A1569" s="237">
        <v>1569</v>
      </c>
      <c r="B1569" s="5838"/>
      <c r="C1569" s="592"/>
      <c r="H1569"/>
      <c r="M1569" s="336"/>
      <c r="N1569" s="23"/>
      <c r="O1569" s="142" t="s">
        <v>8141</v>
      </c>
      <c r="P1569" s="1054">
        <v>20</v>
      </c>
      <c r="Q1569" s="94">
        <f>40+IF(OR(TipoDeCriatura="Entre mundos, Elemental",TipoDeCriatura="Ánima, Elemental"),10,0)</f>
        <v>40</v>
      </c>
      <c r="R1569" s="1066">
        <f>COUNTIF(PoderesDeCriatura_Adquiridos,Tablas!O1569)</f>
        <v>0</v>
      </c>
      <c r="S1569" s="184"/>
      <c r="T1569" s="1057"/>
      <c r="U1569" s="269"/>
    </row>
    <row r="1570" spans="1:21" ht="12.75" customHeight="1" x14ac:dyDescent="0.2">
      <c r="A1570" s="237">
        <v>1570</v>
      </c>
      <c r="B1570" s="5838"/>
      <c r="C1570" s="592"/>
      <c r="H1570"/>
      <c r="M1570" s="336"/>
      <c r="N1570" s="23"/>
      <c r="O1570" s="142" t="s">
        <v>8142</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838"/>
      <c r="C1571" s="592"/>
      <c r="H1571"/>
      <c r="M1571" s="336"/>
      <c r="N1571" s="23"/>
      <c r="O1571" s="142" t="s">
        <v>8143</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838"/>
      <c r="C1572" s="592"/>
      <c r="H1572"/>
      <c r="M1572" s="336"/>
      <c r="N1572" s="23"/>
      <c r="O1572" s="142" t="s">
        <v>8144</v>
      </c>
      <c r="P1572" s="1054">
        <v>20</v>
      </c>
      <c r="Q1572" s="94">
        <f>60+IF(OR(TipoDeCriatura="Entre mundos, Elemental",TipoDeCriatura="Ánima, Elemental"),10,0)</f>
        <v>60</v>
      </c>
      <c r="R1572" s="1066">
        <f>COUNTIF(PoderesDeCriatura_Adquiridos,Tablas!O1572)</f>
        <v>0</v>
      </c>
      <c r="S1572" s="184"/>
      <c r="T1572" s="1057"/>
      <c r="U1572" s="269"/>
    </row>
    <row r="1573" spans="1:21" ht="12.75" customHeight="1" x14ac:dyDescent="0.2">
      <c r="A1573" s="237">
        <v>1573</v>
      </c>
      <c r="B1573" s="5838"/>
      <c r="C1573" s="592"/>
      <c r="H1573"/>
      <c r="M1573" s="336"/>
      <c r="N1573" s="23"/>
      <c r="O1573" s="142" t="s">
        <v>8145</v>
      </c>
      <c r="P1573" s="1054">
        <v>30</v>
      </c>
      <c r="Q1573" s="94">
        <f>100+IF(OR(TipoDeCriatura="Entre mundos, Elemental",TipoDeCriatura="Ánima, Elemental"),10,0)</f>
        <v>100</v>
      </c>
      <c r="R1573" s="1066">
        <f>COUNTIF(PoderesDeCriatura_Adquiridos,Tablas!O1573)</f>
        <v>0</v>
      </c>
      <c r="S1573" s="184"/>
      <c r="T1573" s="1057"/>
      <c r="U1573" s="269"/>
    </row>
    <row r="1574" spans="1:21" ht="12.75" customHeight="1" x14ac:dyDescent="0.2">
      <c r="A1574" s="237">
        <v>1574</v>
      </c>
      <c r="B1574" s="5838"/>
      <c r="C1574" s="592"/>
      <c r="H1574"/>
      <c r="M1574" s="336"/>
      <c r="N1574" s="23"/>
      <c r="O1574" s="142" t="s">
        <v>8146</v>
      </c>
      <c r="P1574" s="1054">
        <v>20</v>
      </c>
      <c r="Q1574" s="94">
        <f>120+IF(OR(TipoDeCriatura="Entre mundos, Elemental",TipoDeCriatura="Ánima, Elemental"),10,0)</f>
        <v>120</v>
      </c>
      <c r="R1574" s="1066">
        <f>COUNTIF(PoderesDeCriatura_Adquiridos,Tablas!O1574)</f>
        <v>0</v>
      </c>
      <c r="S1574" s="184"/>
      <c r="T1574" s="1057"/>
      <c r="U1574" s="269"/>
    </row>
    <row r="1575" spans="1:21" ht="12.75" customHeight="1" x14ac:dyDescent="0.2">
      <c r="A1575" s="237">
        <v>1575</v>
      </c>
      <c r="B1575" s="5838"/>
      <c r="C1575" s="592"/>
      <c r="H1575"/>
      <c r="M1575" s="336"/>
      <c r="N1575" s="23"/>
      <c r="O1575" s="142" t="s">
        <v>8147</v>
      </c>
      <c r="P1575" s="1054">
        <v>30</v>
      </c>
      <c r="Q1575" s="94">
        <f>140+IF(OR(TipoDeCriatura="Entre mundos, Elemental",TipoDeCriatura="Ánima, Elemental"),10,0)</f>
        <v>140</v>
      </c>
      <c r="R1575" s="1066">
        <f>COUNTIF(PoderesDeCriatura_Adquiridos,Tablas!O1575)</f>
        <v>0</v>
      </c>
      <c r="S1575" s="184"/>
      <c r="T1575" s="1057"/>
      <c r="U1575" s="269"/>
    </row>
    <row r="1576" spans="1:21" ht="12.75" customHeight="1" x14ac:dyDescent="0.2">
      <c r="A1576" s="237">
        <v>1576</v>
      </c>
      <c r="B1576" s="5838"/>
      <c r="C1576" s="592"/>
      <c r="H1576"/>
      <c r="M1576" s="336"/>
      <c r="N1576" s="23"/>
      <c r="O1576" s="142" t="s">
        <v>8148</v>
      </c>
      <c r="P1576" s="1054">
        <v>35</v>
      </c>
      <c r="Q1576" s="94">
        <f>160+IF(OR(TipoDeCriatura="Entre mundos, Elemental",TipoDeCriatura="Ánima, Elemental"),10,0)</f>
        <v>160</v>
      </c>
      <c r="R1576" s="1066">
        <f>COUNTIF(PoderesDeCriatura_Adquiridos,Tablas!O1576)</f>
        <v>0</v>
      </c>
      <c r="S1576" s="184"/>
      <c r="T1576" s="1057"/>
      <c r="U1576" s="269"/>
    </row>
    <row r="1577" spans="1:21" ht="12.75" customHeight="1" x14ac:dyDescent="0.2">
      <c r="A1577" s="237">
        <v>1577</v>
      </c>
      <c r="B1577" s="5838"/>
      <c r="C1577" s="592"/>
      <c r="H1577"/>
      <c r="M1577" s="336"/>
      <c r="N1577" s="23"/>
      <c r="O1577" s="142" t="s">
        <v>8149</v>
      </c>
      <c r="P1577" s="1054">
        <v>20</v>
      </c>
      <c r="Q1577" s="94">
        <f>40+IF(OR(TipoDeCriatura="Entre mundos, Elemental",TipoDeCriatura="Ánima, Elemental"),10,0)</f>
        <v>40</v>
      </c>
      <c r="R1577" s="1066">
        <f>COUNTIF(PoderesDeCriatura_Adquiridos,Tablas!O1577)</f>
        <v>0</v>
      </c>
      <c r="S1577" s="184"/>
      <c r="T1577" s="1057"/>
      <c r="U1577" s="269"/>
    </row>
    <row r="1578" spans="1:21" ht="12.75" customHeight="1" x14ac:dyDescent="0.2">
      <c r="A1578" s="237">
        <v>1578</v>
      </c>
      <c r="B1578" s="5838"/>
      <c r="C1578" s="592"/>
      <c r="H1578"/>
      <c r="M1578" s="336"/>
      <c r="N1578" s="23"/>
      <c r="O1578" s="142" t="s">
        <v>8150</v>
      </c>
      <c r="P1578" s="1054">
        <v>25</v>
      </c>
      <c r="Q1578" s="94">
        <f>80+IF(OR(TipoDeCriatura="Entre mundos, Elemental",TipoDeCriatura="Ánima, Elemental"),10,0)</f>
        <v>80</v>
      </c>
      <c r="R1578" s="1066">
        <f>COUNTIF(PoderesDeCriatura_Adquiridos,Tablas!O1578)</f>
        <v>0</v>
      </c>
      <c r="S1578" s="184"/>
      <c r="T1578" s="1057"/>
      <c r="U1578" s="269"/>
    </row>
    <row r="1579" spans="1:21" ht="12.75" customHeight="1" x14ac:dyDescent="0.2">
      <c r="A1579" s="237">
        <v>1579</v>
      </c>
      <c r="B1579" s="5838"/>
      <c r="C1579" s="592"/>
      <c r="H1579"/>
      <c r="M1579" s="336"/>
      <c r="N1579" s="23"/>
      <c r="O1579" s="142" t="s">
        <v>8151</v>
      </c>
      <c r="P1579" s="1054">
        <v>30</v>
      </c>
      <c r="Q1579" s="94">
        <f>140+IF(OR(TipoDeCriatura="Entre mundos, Elemental",TipoDeCriatura="Ánima, Elemental"),10,0)</f>
        <v>140</v>
      </c>
      <c r="R1579" s="1066">
        <f>COUNTIF(PoderesDeCriatura_Adquiridos,Tablas!O1579)</f>
        <v>0</v>
      </c>
      <c r="S1579" s="184"/>
      <c r="T1579" s="1057"/>
      <c r="U1579" s="269"/>
    </row>
    <row r="1580" spans="1:21" ht="12.75" customHeight="1" x14ac:dyDescent="0.2">
      <c r="A1580" s="237">
        <v>1580</v>
      </c>
      <c r="B1580" s="5838"/>
      <c r="C1580" s="592"/>
      <c r="H1580"/>
      <c r="M1580" s="336"/>
      <c r="N1580" s="23"/>
      <c r="O1580" s="142" t="s">
        <v>8152</v>
      </c>
      <c r="P1580" s="1054">
        <v>20</v>
      </c>
      <c r="Q1580" s="94">
        <f>100+IF(OR(TipoDeCriatura="Entre mundos, Elemental",TipoDeCriatura="Ánima, Elemental"),10,0)</f>
        <v>100</v>
      </c>
      <c r="R1580" s="1066">
        <f>COUNTIF(PoderesDeCriatura_Adquiridos,Tablas!O1580)</f>
        <v>0</v>
      </c>
      <c r="S1580" s="184"/>
      <c r="T1580" s="1057"/>
      <c r="U1580" s="269"/>
    </row>
    <row r="1581" spans="1:21" ht="12.75" customHeight="1" x14ac:dyDescent="0.2">
      <c r="A1581" s="237">
        <v>1581</v>
      </c>
      <c r="B1581" s="5838"/>
      <c r="C1581" s="592"/>
      <c r="H1581"/>
      <c r="M1581" s="336"/>
      <c r="N1581" s="23"/>
      <c r="O1581" s="142" t="s">
        <v>8153</v>
      </c>
      <c r="P1581" s="1054">
        <v>20</v>
      </c>
      <c r="Q1581" s="94">
        <f>10+IF(OR(TipoDeCriatura="Entre mundos, Elemental",TipoDeCriatura="Ánima, Elemental"),10,0)</f>
        <v>10</v>
      </c>
      <c r="R1581" s="1066">
        <f>COUNTIF(PoderesDeCriatura_Adquiridos,Tablas!O1581)</f>
        <v>0</v>
      </c>
      <c r="S1581" s="184"/>
      <c r="T1581" s="1057"/>
      <c r="U1581" s="269"/>
    </row>
    <row r="1582" spans="1:21" ht="12.75" customHeight="1" x14ac:dyDescent="0.2">
      <c r="A1582" s="237">
        <v>1582</v>
      </c>
      <c r="B1582" s="5838"/>
      <c r="C1582" s="592"/>
      <c r="H1582"/>
      <c r="M1582" s="336"/>
      <c r="N1582" s="23"/>
      <c r="O1582" s="142" t="s">
        <v>8154</v>
      </c>
      <c r="P1582" s="1054">
        <v>20</v>
      </c>
      <c r="Q1582" s="94">
        <v>-30</v>
      </c>
      <c r="R1582" s="1066">
        <f>COUNTIF(PoderesDeCriatura_Adquiridos,Tablas!O1582)</f>
        <v>0</v>
      </c>
      <c r="S1582" s="184"/>
      <c r="T1582" s="1057"/>
      <c r="U1582" s="269"/>
    </row>
    <row r="1583" spans="1:21" ht="12.75" customHeight="1" x14ac:dyDescent="0.2">
      <c r="A1583" s="237">
        <v>1583</v>
      </c>
      <c r="B1583" s="5838"/>
      <c r="C1583" s="592"/>
      <c r="H1583"/>
      <c r="M1583" s="336"/>
      <c r="N1583" s="23"/>
      <c r="O1583" s="142" t="s">
        <v>5</v>
      </c>
      <c r="P1583" s="1054"/>
      <c r="Q1583" s="94"/>
      <c r="R1583" s="1066">
        <f>COUNTIF(PoderesDeCriatura_Adquiridos,Tablas!O1583)</f>
        <v>0</v>
      </c>
      <c r="S1583" s="184"/>
      <c r="T1583" s="1057"/>
      <c r="U1583" s="269"/>
    </row>
    <row r="1584" spans="1:21" ht="12.75" customHeight="1" x14ac:dyDescent="0.2">
      <c r="A1584" s="237">
        <v>1584</v>
      </c>
      <c r="B1584" s="5838"/>
      <c r="C1584" s="592"/>
      <c r="H1584"/>
      <c r="M1584" s="336"/>
      <c r="N1584" s="23"/>
      <c r="O1584" s="142" t="s">
        <v>8155</v>
      </c>
      <c r="P1584" s="1059">
        <v>0</v>
      </c>
      <c r="Q1584" s="184">
        <v>10</v>
      </c>
      <c r="R1584" s="1066">
        <f>COUNTIF(PoderesDeCriatura_Adquiridos,Tablas!O1584)</f>
        <v>0</v>
      </c>
      <c r="S1584" s="184"/>
      <c r="T1584" s="1057"/>
      <c r="U1584" s="269"/>
    </row>
    <row r="1585" spans="1:21" ht="12.75" customHeight="1" x14ac:dyDescent="0.2">
      <c r="A1585" s="237">
        <v>1585</v>
      </c>
      <c r="B1585" s="5838"/>
      <c r="C1585" s="592"/>
      <c r="H1585"/>
      <c r="M1585" s="336"/>
      <c r="N1585" s="23"/>
      <c r="O1585" s="142" t="s">
        <v>8156</v>
      </c>
      <c r="P1585" s="1059">
        <v>10</v>
      </c>
      <c r="Q1585" s="184">
        <v>20</v>
      </c>
      <c r="R1585" s="1066">
        <f>COUNTIF(PoderesDeCriatura_Adquiridos,Tablas!O1585)</f>
        <v>0</v>
      </c>
      <c r="S1585" s="184"/>
      <c r="T1585" s="1057"/>
      <c r="U1585" s="269"/>
    </row>
    <row r="1586" spans="1:21" ht="12.75" customHeight="1" x14ac:dyDescent="0.2">
      <c r="A1586" s="237">
        <v>1586</v>
      </c>
      <c r="B1586" s="5838"/>
      <c r="C1586" s="592" t="str">
        <f t="shared" ref="C1586" si="278">C1581&amp;" "&amp;D1581</f>
        <v xml:space="preserve"> </v>
      </c>
      <c r="H1586"/>
      <c r="M1586" s="336"/>
      <c r="N1586" s="23"/>
      <c r="O1586" s="142" t="s">
        <v>8157</v>
      </c>
      <c r="P1586" s="1059">
        <v>10</v>
      </c>
      <c r="Q1586" s="184">
        <v>30</v>
      </c>
      <c r="R1586" s="1066">
        <f>COUNTIF(PoderesDeCriatura_Adquiridos,Tablas!O1586)</f>
        <v>0</v>
      </c>
      <c r="S1586" s="184"/>
      <c r="T1586" s="1057"/>
      <c r="U1586" s="269"/>
    </row>
    <row r="1587" spans="1:21" ht="12.75" customHeight="1" x14ac:dyDescent="0.2">
      <c r="A1587" s="237">
        <v>1587</v>
      </c>
      <c r="B1587" s="5838"/>
      <c r="C1587" s="592"/>
      <c r="H1587"/>
      <c r="M1587" s="336"/>
      <c r="N1587" s="23"/>
      <c r="O1587" s="142" t="s">
        <v>8158</v>
      </c>
      <c r="P1587" s="1059">
        <v>10</v>
      </c>
      <c r="Q1587" s="184">
        <v>10</v>
      </c>
      <c r="R1587" s="1066">
        <f>COUNTIF(PoderesDeCriatura_Adquiridos,Tablas!O1587)</f>
        <v>0</v>
      </c>
      <c r="S1587" s="184"/>
      <c r="T1587" s="1057"/>
      <c r="U1587" s="269"/>
    </row>
    <row r="1588" spans="1:21" ht="12.75" customHeight="1" x14ac:dyDescent="0.2">
      <c r="A1588" s="237">
        <v>1588</v>
      </c>
      <c r="B1588" s="5838"/>
      <c r="C1588" s="592"/>
      <c r="H1588"/>
      <c r="M1588" s="336"/>
      <c r="N1588" s="23"/>
      <c r="O1588" s="142" t="s">
        <v>8159</v>
      </c>
      <c r="P1588" s="1059">
        <v>10</v>
      </c>
      <c r="Q1588" s="184">
        <v>10</v>
      </c>
      <c r="R1588" s="1066">
        <f>COUNTIF(PoderesDeCriatura_Adquiridos,Tablas!O1588)</f>
        <v>0</v>
      </c>
      <c r="S1588" s="184"/>
      <c r="T1588" s="1057"/>
      <c r="U1588" s="269"/>
    </row>
    <row r="1589" spans="1:21" ht="12.75" customHeight="1" x14ac:dyDescent="0.2">
      <c r="A1589" s="237">
        <v>1589</v>
      </c>
      <c r="B1589" s="5838"/>
      <c r="C1589" s="592"/>
      <c r="H1589"/>
      <c r="M1589" s="336"/>
      <c r="N1589" s="23"/>
      <c r="O1589" s="142" t="s">
        <v>8160</v>
      </c>
      <c r="P1589" s="1059">
        <v>10</v>
      </c>
      <c r="Q1589" s="184">
        <v>10</v>
      </c>
      <c r="R1589" s="1066">
        <f>COUNTIF(PoderesDeCriatura_Adquiridos,Tablas!O1589)</f>
        <v>0</v>
      </c>
      <c r="S1589" s="184"/>
      <c r="T1589" s="1057"/>
      <c r="U1589" s="269"/>
    </row>
    <row r="1590" spans="1:21" ht="12.75" customHeight="1" x14ac:dyDescent="0.2">
      <c r="A1590" s="237">
        <v>1590</v>
      </c>
      <c r="B1590" s="5838"/>
      <c r="H1590"/>
      <c r="M1590" s="336"/>
      <c r="N1590" s="23"/>
      <c r="O1590" s="142" t="s">
        <v>8161</v>
      </c>
      <c r="P1590" s="1059">
        <v>20</v>
      </c>
      <c r="Q1590" s="184">
        <v>30</v>
      </c>
      <c r="R1590" s="1066">
        <f>COUNTIF(PoderesDeCriatura_Adquiridos,Tablas!O1590)</f>
        <v>0</v>
      </c>
      <c r="S1590" s="184"/>
      <c r="T1590" s="1057"/>
      <c r="U1590" s="269"/>
    </row>
    <row r="1591" spans="1:21" ht="12.75" customHeight="1" x14ac:dyDescent="0.2">
      <c r="A1591" s="237">
        <v>1591</v>
      </c>
      <c r="B1591" s="5838"/>
      <c r="H1591"/>
      <c r="M1591" s="336"/>
      <c r="N1591" s="23"/>
      <c r="O1591" s="142" t="s">
        <v>8162</v>
      </c>
      <c r="P1591" s="1059">
        <v>0</v>
      </c>
      <c r="Q1591" s="184">
        <v>10</v>
      </c>
      <c r="R1591" s="1066">
        <f>COUNTIF(PoderesDeCriatura_Adquiridos,Tablas!O1591)</f>
        <v>0</v>
      </c>
      <c r="S1591" s="184"/>
      <c r="T1591" s="1057"/>
      <c r="U1591" s="269"/>
    </row>
    <row r="1592" spans="1:21" ht="12.75" customHeight="1" x14ac:dyDescent="0.2">
      <c r="A1592" s="237">
        <v>1592</v>
      </c>
      <c r="B1592" s="5838"/>
      <c r="H1592"/>
      <c r="M1592" s="336"/>
      <c r="N1592" s="23"/>
      <c r="O1592" s="142" t="s">
        <v>8163</v>
      </c>
      <c r="P1592" s="1059">
        <v>10</v>
      </c>
      <c r="Q1592" s="184">
        <v>20</v>
      </c>
      <c r="R1592" s="1066">
        <f>COUNTIF(PoderesDeCriatura_Adquiridos,Tablas!O1592)</f>
        <v>0</v>
      </c>
      <c r="S1592" s="184"/>
      <c r="T1592" s="1057"/>
      <c r="U1592" s="269"/>
    </row>
    <row r="1593" spans="1:21" ht="12.75" customHeight="1" x14ac:dyDescent="0.2">
      <c r="A1593" s="237">
        <v>1593</v>
      </c>
      <c r="B1593" s="5838"/>
      <c r="H1593"/>
      <c r="M1593" s="336"/>
      <c r="N1593" s="23"/>
      <c r="O1593" s="142" t="s">
        <v>8164</v>
      </c>
      <c r="P1593" s="1059">
        <v>10</v>
      </c>
      <c r="Q1593" s="184">
        <v>30</v>
      </c>
      <c r="R1593" s="1066">
        <f>COUNTIF(PoderesDeCriatura_Adquiridos,Tablas!O1593)</f>
        <v>0</v>
      </c>
      <c r="S1593" s="184"/>
      <c r="T1593" s="1057"/>
      <c r="U1593" s="269"/>
    </row>
    <row r="1594" spans="1:21" ht="12.75" customHeight="1" x14ac:dyDescent="0.2">
      <c r="A1594" s="237">
        <v>1594</v>
      </c>
      <c r="B1594" s="5838"/>
      <c r="H1594"/>
      <c r="M1594" s="336"/>
      <c r="N1594" s="23"/>
      <c r="O1594" s="142" t="s">
        <v>8165</v>
      </c>
      <c r="P1594" s="1059">
        <v>10</v>
      </c>
      <c r="Q1594" s="184">
        <v>10</v>
      </c>
      <c r="R1594" s="1066">
        <f>COUNTIF(PoderesDeCriatura_Adquiridos,Tablas!O1594)</f>
        <v>0</v>
      </c>
      <c r="S1594" s="184"/>
      <c r="T1594" s="1057"/>
      <c r="U1594" s="269"/>
    </row>
    <row r="1595" spans="1:21" ht="12.75" customHeight="1" x14ac:dyDescent="0.2">
      <c r="A1595" s="237">
        <v>1595</v>
      </c>
      <c r="B1595" s="5838"/>
      <c r="H1595"/>
      <c r="M1595" s="336"/>
      <c r="N1595" s="23"/>
      <c r="O1595" s="142" t="s">
        <v>8166</v>
      </c>
      <c r="P1595" s="1059">
        <v>10</v>
      </c>
      <c r="Q1595" s="184">
        <v>10</v>
      </c>
      <c r="R1595" s="1066">
        <f>COUNTIF(PoderesDeCriatura_Adquiridos,Tablas!O1595)</f>
        <v>0</v>
      </c>
      <c r="S1595" s="184"/>
      <c r="T1595" s="1057"/>
      <c r="U1595" s="269"/>
    </row>
    <row r="1596" spans="1:21" ht="12.75" customHeight="1" x14ac:dyDescent="0.2">
      <c r="A1596" s="237">
        <v>1596</v>
      </c>
      <c r="B1596" s="5838"/>
      <c r="H1596"/>
      <c r="M1596" s="336"/>
      <c r="N1596" s="23"/>
      <c r="O1596" s="142" t="s">
        <v>8167</v>
      </c>
      <c r="P1596" s="1059">
        <v>10</v>
      </c>
      <c r="Q1596" s="184">
        <v>10</v>
      </c>
      <c r="R1596" s="1066">
        <f>COUNTIF(PoderesDeCriatura_Adquiridos,Tablas!O1596)</f>
        <v>0</v>
      </c>
      <c r="S1596" s="184"/>
      <c r="T1596" s="1057"/>
      <c r="U1596" s="269"/>
    </row>
    <row r="1597" spans="1:21" ht="12.75" customHeight="1" x14ac:dyDescent="0.2">
      <c r="A1597" s="237">
        <v>1597</v>
      </c>
      <c r="B1597" s="5838"/>
      <c r="H1597"/>
      <c r="M1597" s="336"/>
      <c r="N1597" s="23"/>
      <c r="O1597" s="142" t="s">
        <v>8168</v>
      </c>
      <c r="P1597" s="1059">
        <v>20</v>
      </c>
      <c r="Q1597" s="184">
        <v>30</v>
      </c>
      <c r="R1597" s="1066">
        <f>COUNTIF(PoderesDeCriatura_Adquiridos,Tablas!O1597)</f>
        <v>0</v>
      </c>
      <c r="S1597" s="184"/>
      <c r="T1597" s="1057"/>
      <c r="U1597" s="269"/>
    </row>
    <row r="1598" spans="1:21" ht="12.75" customHeight="1" x14ac:dyDescent="0.2">
      <c r="A1598" s="237">
        <v>1598</v>
      </c>
      <c r="B1598" s="5838"/>
      <c r="H1598"/>
      <c r="M1598" s="336"/>
      <c r="N1598" s="23"/>
      <c r="O1598" s="142" t="s">
        <v>8169</v>
      </c>
      <c r="P1598" s="1059">
        <v>10</v>
      </c>
      <c r="Q1598" s="184">
        <f>10+IF(OR(TipoDeCriatura="Entre mundos, Elemental",TipoDeCriatura="Ánima, Elemental"),10,0)</f>
        <v>10</v>
      </c>
      <c r="R1598" s="1066">
        <f>COUNTIF(PoderesDeCriatura_Adquiridos,Tablas!O1598)</f>
        <v>0</v>
      </c>
      <c r="S1598" s="184"/>
      <c r="T1598" s="1057"/>
      <c r="U1598" s="269"/>
    </row>
    <row r="1599" spans="1:21" ht="12.75" customHeight="1" x14ac:dyDescent="0.2">
      <c r="A1599" s="237">
        <v>1599</v>
      </c>
      <c r="B1599" s="5838"/>
      <c r="H1599"/>
      <c r="M1599" s="336"/>
      <c r="N1599" s="23"/>
      <c r="O1599" s="142" t="s">
        <v>8170</v>
      </c>
      <c r="P1599" s="1059">
        <v>10</v>
      </c>
      <c r="Q1599" s="184">
        <f>20+IF(OR(TipoDeCriatura="Entre mundos, Elemental",TipoDeCriatura="Ánima, Elemental"),10,0)</f>
        <v>20</v>
      </c>
      <c r="R1599" s="1066">
        <f>COUNTIF(PoderesDeCriatura_Adquiridos,Tablas!O1599)</f>
        <v>0</v>
      </c>
      <c r="S1599" s="184"/>
      <c r="T1599" s="1057"/>
      <c r="U1599" s="269"/>
    </row>
    <row r="1600" spans="1:21" ht="12.75" customHeight="1" x14ac:dyDescent="0.2">
      <c r="A1600" s="237">
        <v>1600</v>
      </c>
      <c r="B1600" s="5838"/>
      <c r="H1600"/>
      <c r="M1600" s="336"/>
      <c r="N1600" s="23"/>
      <c r="O1600" s="142" t="s">
        <v>8171</v>
      </c>
      <c r="P1600" s="1059">
        <v>15</v>
      </c>
      <c r="Q1600" s="184">
        <v>40</v>
      </c>
      <c r="R1600" s="1066">
        <f>COUNTIF(PoderesDeCriatura_Adquiridos,Tablas!O1600)</f>
        <v>0</v>
      </c>
      <c r="S1600" s="184"/>
      <c r="T1600" s="1057"/>
      <c r="U1600" s="269"/>
    </row>
    <row r="1601" spans="1:21" ht="12.75" customHeight="1" x14ac:dyDescent="0.2">
      <c r="A1601" s="237">
        <v>1601</v>
      </c>
      <c r="B1601" s="5838"/>
      <c r="H1601"/>
      <c r="M1601" s="336"/>
      <c r="N1601" s="23"/>
      <c r="O1601" s="142" t="s">
        <v>8172</v>
      </c>
      <c r="P1601" s="1059">
        <v>20</v>
      </c>
      <c r="Q1601" s="184">
        <v>80</v>
      </c>
      <c r="R1601" s="1066">
        <f>COUNTIF(PoderesDeCriatura_Adquiridos,Tablas!O1601)</f>
        <v>0</v>
      </c>
      <c r="S1601" s="184"/>
      <c r="T1601" s="1057"/>
      <c r="U1601" s="269"/>
    </row>
    <row r="1602" spans="1:21" ht="12.75" customHeight="1" x14ac:dyDescent="0.2">
      <c r="A1602" s="237">
        <v>1602</v>
      </c>
      <c r="B1602" s="5838"/>
      <c r="H1602"/>
      <c r="M1602" s="336"/>
      <c r="N1602" s="23"/>
      <c r="O1602" s="142" t="s">
        <v>8173</v>
      </c>
      <c r="P1602" s="1059">
        <v>25</v>
      </c>
      <c r="Q1602" s="184">
        <v>120</v>
      </c>
      <c r="R1602" s="1066">
        <f>COUNTIF(PoderesDeCriatura_Adquiridos,Tablas!O1602)</f>
        <v>0</v>
      </c>
      <c r="S1602" s="184"/>
      <c r="T1602" s="1057"/>
      <c r="U1602" s="269"/>
    </row>
    <row r="1603" spans="1:21" ht="12.75" customHeight="1" x14ac:dyDescent="0.2">
      <c r="A1603" s="237">
        <v>1603</v>
      </c>
      <c r="B1603" s="5838"/>
      <c r="H1603"/>
      <c r="M1603" s="336"/>
      <c r="N1603" s="23"/>
      <c r="O1603" s="142" t="s">
        <v>8174</v>
      </c>
      <c r="P1603" s="1059">
        <v>10</v>
      </c>
      <c r="Q1603" s="184">
        <f>20+IF(OR(TipoDeCriatura="Entre mundos, Elemental",TipoDeCriatura="Ánima, Elemental"),10,0)</f>
        <v>20</v>
      </c>
      <c r="R1603" s="1066">
        <f>COUNTIF(PoderesDeCriatura_Adquiridos,Tablas!O1603)</f>
        <v>0</v>
      </c>
      <c r="S1603" s="184"/>
      <c r="T1603" s="1057"/>
      <c r="U1603" s="269"/>
    </row>
    <row r="1604" spans="1:21" ht="12.75" customHeight="1" x14ac:dyDescent="0.2">
      <c r="A1604" s="237">
        <v>1604</v>
      </c>
      <c r="B1604" s="5838"/>
      <c r="H1604"/>
      <c r="M1604" s="336"/>
      <c r="N1604" s="23"/>
      <c r="O1604" s="142" t="s">
        <v>8175</v>
      </c>
      <c r="P1604" s="1059">
        <v>20</v>
      </c>
      <c r="Q1604" s="184">
        <f>30+IF(OR(TipoDeCriatura="Entre mundos, Elemental",TipoDeCriatura="Ánima, Elemental"),10,0)</f>
        <v>30</v>
      </c>
      <c r="R1604" s="1066">
        <f>COUNTIF(PoderesDeCriatura_Adquiridos,Tablas!O1604)</f>
        <v>0</v>
      </c>
      <c r="S1604" s="184"/>
      <c r="T1604" s="1057"/>
      <c r="U1604" s="269"/>
    </row>
    <row r="1605" spans="1:21" ht="12.75" customHeight="1" x14ac:dyDescent="0.2">
      <c r="A1605" s="237">
        <v>1605</v>
      </c>
      <c r="B1605" s="5838"/>
      <c r="C1605" s="592"/>
      <c r="H1605"/>
      <c r="M1605" s="336"/>
      <c r="N1605" s="23"/>
      <c r="O1605" s="142" t="s">
        <v>11</v>
      </c>
      <c r="P1605" s="1054"/>
      <c r="Q1605" s="94"/>
      <c r="R1605" s="1066"/>
      <c r="S1605" s="184"/>
      <c r="T1605" s="1057"/>
      <c r="U1605" s="269"/>
    </row>
    <row r="1606" spans="1:21" ht="12.75" customHeight="1" x14ac:dyDescent="0.2">
      <c r="A1606" s="237">
        <v>1606</v>
      </c>
      <c r="B1606" s="5838"/>
      <c r="C1606" s="592"/>
      <c r="H1606"/>
      <c r="M1606" s="336"/>
      <c r="N1606" s="23"/>
      <c r="O1606" s="1" t="s">
        <v>12</v>
      </c>
      <c r="P1606" s="1059">
        <v>5</v>
      </c>
      <c r="Q1606" s="184">
        <v>20</v>
      </c>
      <c r="R1606" s="1066">
        <f>COUNTIF(PoderesDeCriatura_Adquiridos,Tablas!O1606)</f>
        <v>0</v>
      </c>
      <c r="S1606" s="184"/>
      <c r="T1606" s="1057"/>
      <c r="U1606" s="269"/>
    </row>
    <row r="1607" spans="1:21" ht="12.75" customHeight="1" x14ac:dyDescent="0.2">
      <c r="A1607" s="237">
        <v>1607</v>
      </c>
      <c r="B1607" s="5838"/>
      <c r="C1607" s="592"/>
      <c r="H1607"/>
      <c r="M1607" s="336"/>
      <c r="N1607" s="23"/>
      <c r="O1607" s="142" t="s">
        <v>8176</v>
      </c>
      <c r="P1607" s="1059">
        <v>10</v>
      </c>
      <c r="Q1607" s="184">
        <v>10</v>
      </c>
      <c r="R1607" s="1066">
        <f>COUNTIF(PoderesDeCriatura_Adquiridos,Tablas!O1607)</f>
        <v>0</v>
      </c>
      <c r="S1607" s="184"/>
      <c r="T1607" s="1057"/>
      <c r="U1607" s="269"/>
    </row>
    <row r="1608" spans="1:21" ht="12.75" customHeight="1" x14ac:dyDescent="0.2">
      <c r="A1608" s="237">
        <v>1608</v>
      </c>
      <c r="B1608" s="5838"/>
      <c r="C1608" s="592"/>
      <c r="H1608"/>
      <c r="M1608" s="336"/>
      <c r="N1608" s="23"/>
      <c r="O1608" s="142" t="s">
        <v>8177</v>
      </c>
      <c r="P1608" s="1059">
        <v>20</v>
      </c>
      <c r="Q1608" s="184">
        <v>20</v>
      </c>
      <c r="R1608" s="1066">
        <f>COUNTIF(PoderesDeCriatura_Adquiridos,Tablas!O1608)</f>
        <v>0</v>
      </c>
      <c r="S1608" s="184"/>
      <c r="T1608" s="1057"/>
      <c r="U1608" s="269"/>
    </row>
    <row r="1609" spans="1:21" ht="12.75" customHeight="1" x14ac:dyDescent="0.2">
      <c r="A1609" s="237">
        <v>1609</v>
      </c>
      <c r="B1609" s="5838"/>
      <c r="C1609" s="592"/>
      <c r="H1609"/>
      <c r="M1609" s="336"/>
      <c r="N1609" s="23"/>
      <c r="O1609" s="142" t="s">
        <v>8178</v>
      </c>
      <c r="P1609" s="1059">
        <v>25</v>
      </c>
      <c r="Q1609" s="184">
        <v>30</v>
      </c>
      <c r="R1609" s="1066">
        <f>COUNTIF(PoderesDeCriatura_Adquiridos,Tablas!O1609)</f>
        <v>0</v>
      </c>
      <c r="S1609" s="184"/>
      <c r="T1609" s="1057"/>
      <c r="U1609" s="269"/>
    </row>
    <row r="1610" spans="1:21" ht="12.75" customHeight="1" x14ac:dyDescent="0.2">
      <c r="A1610" s="237">
        <v>1610</v>
      </c>
      <c r="B1610" s="5838"/>
      <c r="C1610" s="592"/>
      <c r="H1610"/>
      <c r="M1610" s="336"/>
      <c r="N1610" s="23"/>
      <c r="O1610" s="142" t="s">
        <v>8179</v>
      </c>
      <c r="P1610" s="1059">
        <v>30</v>
      </c>
      <c r="Q1610" s="184">
        <v>40</v>
      </c>
      <c r="R1610" s="1066">
        <f>COUNTIF(PoderesDeCriatura_Adquiridos,Tablas!O1610)</f>
        <v>0</v>
      </c>
      <c r="S1610" s="184"/>
      <c r="T1610" s="1057"/>
      <c r="U1610" s="269"/>
    </row>
    <row r="1611" spans="1:21" ht="12.75" customHeight="1" x14ac:dyDescent="0.2">
      <c r="A1611" s="237">
        <v>1611</v>
      </c>
      <c r="B1611" s="5838"/>
      <c r="C1611" s="592"/>
      <c r="H1611"/>
      <c r="M1611" s="336"/>
      <c r="N1611" s="23"/>
      <c r="O1611" s="142" t="s">
        <v>8180</v>
      </c>
      <c r="P1611" s="1059">
        <v>5</v>
      </c>
      <c r="Q1611" s="184">
        <v>20</v>
      </c>
      <c r="R1611" s="1066">
        <f>COUNTIF(PoderesDeCriatura_Adquiridos,Tablas!O1611)</f>
        <v>0</v>
      </c>
      <c r="S1611" s="184"/>
      <c r="T1611" s="1057"/>
      <c r="U1611" s="269"/>
    </row>
    <row r="1612" spans="1:21" ht="12.75" customHeight="1" x14ac:dyDescent="0.2">
      <c r="A1612" s="237">
        <v>1612</v>
      </c>
      <c r="B1612" s="5838"/>
      <c r="C1612" s="592"/>
      <c r="H1612"/>
      <c r="M1612" s="336"/>
      <c r="N1612" s="23"/>
      <c r="O1612" s="142" t="s">
        <v>8181</v>
      </c>
      <c r="P1612" s="1059">
        <v>10</v>
      </c>
      <c r="Q1612" s="184">
        <v>30</v>
      </c>
      <c r="R1612" s="1066">
        <f>COUNTIF(PoderesDeCriatura_Adquiridos,Tablas!O1612)</f>
        <v>0</v>
      </c>
      <c r="S1612" s="184"/>
      <c r="T1612" s="1057"/>
      <c r="U1612" s="269"/>
    </row>
    <row r="1613" spans="1:21" ht="12.75" customHeight="1" x14ac:dyDescent="0.2">
      <c r="A1613" s="237">
        <v>1613</v>
      </c>
      <c r="B1613" s="5838"/>
      <c r="C1613" s="592"/>
      <c r="H1613"/>
      <c r="M1613" s="336"/>
      <c r="N1613" s="23"/>
      <c r="O1613" s="142" t="s">
        <v>8182</v>
      </c>
      <c r="P1613" s="1059">
        <v>15</v>
      </c>
      <c r="Q1613" s="184">
        <v>40</v>
      </c>
      <c r="R1613" s="1066">
        <f>COUNTIF(PoderesDeCriatura_Adquiridos,Tablas!O1613)</f>
        <v>0</v>
      </c>
      <c r="S1613" s="184"/>
      <c r="T1613" s="1057"/>
      <c r="U1613" s="269"/>
    </row>
    <row r="1614" spans="1:21" ht="12.75" customHeight="1" x14ac:dyDescent="0.2">
      <c r="A1614" s="237">
        <v>1614</v>
      </c>
      <c r="B1614" s="5838"/>
      <c r="C1614" s="592"/>
      <c r="H1614"/>
      <c r="M1614" s="336"/>
      <c r="N1614" s="23"/>
      <c r="O1614" s="142" t="s">
        <v>8183</v>
      </c>
      <c r="P1614" s="1059">
        <v>25</v>
      </c>
      <c r="Q1614" s="184">
        <v>60</v>
      </c>
      <c r="R1614" s="1066">
        <f>COUNTIF(PoderesDeCriatura_Adquiridos,Tablas!O1614)</f>
        <v>0</v>
      </c>
      <c r="S1614" s="184"/>
      <c r="T1614" s="1057"/>
      <c r="U1614" s="269"/>
    </row>
    <row r="1615" spans="1:21" ht="12.75" customHeight="1" x14ac:dyDescent="0.2">
      <c r="A1615" s="237">
        <v>1615</v>
      </c>
      <c r="B1615" s="5838"/>
      <c r="C1615" s="592"/>
      <c r="H1615"/>
      <c r="M1615" s="336"/>
      <c r="N1615" s="23"/>
      <c r="O1615" s="142" t="s">
        <v>8184</v>
      </c>
      <c r="P1615" s="1059">
        <v>30</v>
      </c>
      <c r="Q1615" s="184">
        <v>80</v>
      </c>
      <c r="R1615" s="1066">
        <f>COUNTIF(PoderesDeCriatura_Adquiridos,Tablas!O1615)</f>
        <v>0</v>
      </c>
      <c r="S1615" s="184"/>
      <c r="T1615" s="1057"/>
      <c r="U1615" s="269"/>
    </row>
    <row r="1616" spans="1:21" ht="12.75" customHeight="1" x14ac:dyDescent="0.2">
      <c r="A1616" s="237">
        <v>1616</v>
      </c>
      <c r="B1616" s="5838"/>
      <c r="C1616" s="592"/>
      <c r="H1616"/>
      <c r="M1616" s="336"/>
      <c r="N1616" s="23"/>
      <c r="O1616" s="142" t="s">
        <v>8185</v>
      </c>
      <c r="P1616" s="1059">
        <v>10</v>
      </c>
      <c r="Q1616" s="184">
        <v>50</v>
      </c>
      <c r="R1616" s="1066">
        <f>COUNTIF(PoderesDeCriatura_Adquiridos,Tablas!O1616)</f>
        <v>0</v>
      </c>
      <c r="S1616" s="184"/>
      <c r="T1616" s="1057"/>
      <c r="U1616" s="269"/>
    </row>
    <row r="1617" spans="1:21" ht="12.75" customHeight="1" x14ac:dyDescent="0.2">
      <c r="A1617" s="237">
        <v>1617</v>
      </c>
      <c r="B1617" s="5838"/>
      <c r="C1617" s="592"/>
      <c r="H1617"/>
      <c r="M1617" s="336"/>
      <c r="N1617" s="23"/>
      <c r="O1617" s="142" t="s">
        <v>8186</v>
      </c>
      <c r="P1617" s="1059">
        <v>15</v>
      </c>
      <c r="Q1617" s="184">
        <v>60</v>
      </c>
      <c r="R1617" s="1066">
        <f>COUNTIF(PoderesDeCriatura_Adquiridos,Tablas!O1617)</f>
        <v>0</v>
      </c>
      <c r="S1617" s="184"/>
      <c r="T1617" s="1057"/>
      <c r="U1617" s="269"/>
    </row>
    <row r="1618" spans="1:21" ht="12.75" customHeight="1" x14ac:dyDescent="0.2">
      <c r="A1618" s="237">
        <v>1618</v>
      </c>
      <c r="B1618" s="5838"/>
      <c r="C1618" s="592"/>
      <c r="H1618"/>
      <c r="M1618" s="336"/>
      <c r="N1618" s="23"/>
      <c r="O1618" s="142" t="s">
        <v>8187</v>
      </c>
      <c r="P1618" s="1059">
        <v>20</v>
      </c>
      <c r="Q1618" s="184">
        <v>80</v>
      </c>
      <c r="R1618" s="1066">
        <f>COUNTIF(PoderesDeCriatura_Adquiridos,Tablas!O1618)</f>
        <v>0</v>
      </c>
      <c r="S1618" s="184"/>
      <c r="T1618" s="1057"/>
      <c r="U1618" s="269"/>
    </row>
    <row r="1619" spans="1:21" ht="12.75" customHeight="1" x14ac:dyDescent="0.2">
      <c r="A1619" s="237">
        <v>1619</v>
      </c>
      <c r="B1619" s="5838"/>
      <c r="C1619" s="592"/>
      <c r="H1619"/>
      <c r="M1619" s="336"/>
      <c r="N1619" s="23"/>
      <c r="O1619" s="142" t="s">
        <v>8188</v>
      </c>
      <c r="P1619" s="1054">
        <v>25</v>
      </c>
      <c r="Q1619" s="94">
        <v>100</v>
      </c>
      <c r="R1619" s="1066">
        <f>COUNTIF(PoderesDeCriatura_Adquiridos,Tablas!O1619)</f>
        <v>0</v>
      </c>
      <c r="S1619" s="184"/>
      <c r="T1619" s="1057"/>
      <c r="U1619" s="269"/>
    </row>
    <row r="1620" spans="1:21" ht="12.75" customHeight="1" x14ac:dyDescent="0.2">
      <c r="A1620" s="237">
        <v>1620</v>
      </c>
      <c r="B1620" s="5838"/>
      <c r="C1620" s="592"/>
      <c r="H1620"/>
      <c r="M1620" s="336"/>
      <c r="N1620" s="23"/>
      <c r="O1620" s="142" t="s">
        <v>8189</v>
      </c>
      <c r="P1620" s="1054">
        <v>30</v>
      </c>
      <c r="Q1620" s="94">
        <v>120</v>
      </c>
      <c r="R1620" s="1066">
        <f>COUNTIF(PoderesDeCriatura_Adquiridos,Tablas!O1620)</f>
        <v>0</v>
      </c>
      <c r="S1620" s="184"/>
      <c r="T1620" s="1057"/>
      <c r="U1620" s="269"/>
    </row>
    <row r="1621" spans="1:21" ht="12.75" customHeight="1" x14ac:dyDescent="0.2">
      <c r="A1621" s="237">
        <v>1621</v>
      </c>
      <c r="B1621" s="5838"/>
      <c r="C1621" s="592"/>
      <c r="H1621"/>
      <c r="M1621" s="336"/>
      <c r="N1621" s="23"/>
      <c r="O1621" s="142" t="s">
        <v>8190</v>
      </c>
      <c r="P1621" s="1059">
        <v>0</v>
      </c>
      <c r="Q1621" s="184">
        <v>20</v>
      </c>
      <c r="R1621" s="1066">
        <f>COUNTIF(PoderesDeCriatura_Adquiridos,Tablas!O1621)</f>
        <v>0</v>
      </c>
      <c r="S1621" s="184"/>
      <c r="T1621" s="1057"/>
      <c r="U1621" s="269"/>
    </row>
    <row r="1622" spans="1:21" ht="12.75" customHeight="1" x14ac:dyDescent="0.2">
      <c r="A1622" s="237">
        <v>1622</v>
      </c>
      <c r="B1622" s="5838"/>
      <c r="C1622" s="592"/>
      <c r="H1622"/>
      <c r="M1622" s="336"/>
      <c r="N1622" s="23"/>
      <c r="O1622" s="142" t="s">
        <v>8191</v>
      </c>
      <c r="P1622" s="1059">
        <v>10</v>
      </c>
      <c r="Q1622" s="184">
        <v>40</v>
      </c>
      <c r="R1622" s="1066">
        <f>COUNTIF(PoderesDeCriatura_Adquiridos,Tablas!O1622)</f>
        <v>0</v>
      </c>
      <c r="S1622" s="184"/>
      <c r="T1622" s="1057"/>
      <c r="U1622" s="269"/>
    </row>
    <row r="1623" spans="1:21" ht="12.75" customHeight="1" x14ac:dyDescent="0.2">
      <c r="A1623" s="237">
        <v>1623</v>
      </c>
      <c r="B1623" s="5838"/>
      <c r="C1623" s="592"/>
      <c r="H1623"/>
      <c r="M1623" s="336"/>
      <c r="N1623" s="23"/>
      <c r="O1623" s="142" t="s">
        <v>8192</v>
      </c>
      <c r="P1623" s="1059">
        <v>30</v>
      </c>
      <c r="Q1623" s="184">
        <v>60</v>
      </c>
      <c r="R1623" s="1066">
        <f>COUNTIF(PoderesDeCriatura_Adquiridos,Tablas!O1623)</f>
        <v>0</v>
      </c>
      <c r="S1623" s="184"/>
      <c r="T1623" s="1057"/>
      <c r="U1623" s="269"/>
    </row>
    <row r="1624" spans="1:21" ht="12.75" customHeight="1" x14ac:dyDescent="0.2">
      <c r="A1624" s="237">
        <v>1624</v>
      </c>
      <c r="B1624" s="5838"/>
      <c r="C1624" s="592"/>
      <c r="H1624"/>
      <c r="M1624" s="336"/>
      <c r="N1624" s="23"/>
      <c r="O1624" s="142" t="s">
        <v>8193</v>
      </c>
      <c r="P1624" s="1059">
        <v>10</v>
      </c>
      <c r="Q1624" s="184">
        <v>30</v>
      </c>
      <c r="R1624" s="1066">
        <f>COUNTIF(PoderesDeCriatura_Adquiridos,Tablas!O1624)</f>
        <v>0</v>
      </c>
      <c r="S1624" s="184"/>
      <c r="T1624" s="1057"/>
      <c r="U1624" s="269"/>
    </row>
    <row r="1625" spans="1:21" ht="12.75" customHeight="1" x14ac:dyDescent="0.2">
      <c r="A1625" s="237">
        <v>1625</v>
      </c>
      <c r="B1625" s="5838"/>
      <c r="C1625" s="592"/>
      <c r="H1625"/>
      <c r="M1625" s="336"/>
      <c r="N1625" s="23"/>
      <c r="O1625" s="142" t="s">
        <v>8194</v>
      </c>
      <c r="P1625" s="1059">
        <v>15</v>
      </c>
      <c r="Q1625" s="184">
        <v>40</v>
      </c>
      <c r="R1625" s="1066">
        <f>COUNTIF(PoderesDeCriatura_Adquiridos,Tablas!O1625)</f>
        <v>0</v>
      </c>
      <c r="S1625" s="184"/>
      <c r="T1625" s="1057"/>
      <c r="U1625" s="269"/>
    </row>
    <row r="1626" spans="1:21" ht="12.75" customHeight="1" x14ac:dyDescent="0.2">
      <c r="A1626" s="237">
        <v>1626</v>
      </c>
      <c r="B1626" s="5838"/>
      <c r="C1626" s="592"/>
      <c r="H1626"/>
      <c r="M1626" s="336"/>
      <c r="N1626" s="23"/>
      <c r="O1626" s="142" t="s">
        <v>8195</v>
      </c>
      <c r="P1626" s="1059">
        <v>15</v>
      </c>
      <c r="Q1626" s="184">
        <f>20+IF(OR(TipoDeCriatura="Entre mundos, Elemental",TipoDeCriatura="Ánima, Elemental"),10,0)</f>
        <v>20</v>
      </c>
      <c r="R1626" s="1066">
        <f>COUNTIF(PoderesDeCriatura_Adquiridos,Tablas!O1626)</f>
        <v>0</v>
      </c>
      <c r="S1626" s="184"/>
      <c r="T1626" s="1057"/>
      <c r="U1626" s="269"/>
    </row>
    <row r="1627" spans="1:21" ht="12.75" customHeight="1" x14ac:dyDescent="0.2">
      <c r="A1627" s="237">
        <v>1627</v>
      </c>
      <c r="B1627" s="5838"/>
      <c r="C1627" s="592"/>
      <c r="H1627"/>
      <c r="M1627" s="336"/>
      <c r="N1627" s="23"/>
      <c r="O1627" s="142" t="s">
        <v>8196</v>
      </c>
      <c r="P1627" s="1059">
        <v>30</v>
      </c>
      <c r="Q1627" s="184">
        <f>40+IF(OR(TipoDeCriatura="Entre mundos, Elemental",TipoDeCriatura="Ánima, Elemental"),10,0)</f>
        <v>40</v>
      </c>
      <c r="R1627" s="1066">
        <f>COUNTIF(PoderesDeCriatura_Adquiridos,Tablas!O1627)</f>
        <v>0</v>
      </c>
      <c r="S1627" s="184"/>
      <c r="T1627" s="1057"/>
      <c r="U1627" s="269"/>
    </row>
    <row r="1628" spans="1:21" ht="12.75" customHeight="1" x14ac:dyDescent="0.2">
      <c r="A1628" s="237">
        <v>1628</v>
      </c>
      <c r="B1628" s="5838"/>
      <c r="C1628" s="592"/>
      <c r="H1628"/>
      <c r="M1628" s="336"/>
      <c r="N1628" s="23"/>
      <c r="O1628" s="142" t="s">
        <v>13</v>
      </c>
      <c r="P1628" s="1059">
        <v>5</v>
      </c>
      <c r="Q1628" s="184">
        <v>20</v>
      </c>
      <c r="R1628" s="1066">
        <f>COUNTIF(PoderesDeCriatura_Adquiridos,Tablas!O1628)+U1628</f>
        <v>0</v>
      </c>
      <c r="S1628" s="184"/>
      <c r="T1628" s="1057"/>
      <c r="U1628" s="269">
        <f>SUM(R1629:R1632)</f>
        <v>0</v>
      </c>
    </row>
    <row r="1629" spans="1:21" ht="12.75" customHeight="1" x14ac:dyDescent="0.2">
      <c r="A1629" s="237">
        <v>1629</v>
      </c>
      <c r="B1629" s="5838"/>
      <c r="C1629" s="592"/>
      <c r="H1629"/>
      <c r="M1629" s="336"/>
      <c r="N1629" s="23"/>
      <c r="O1629" s="142" t="s">
        <v>8197</v>
      </c>
      <c r="P1629" s="1059">
        <v>10</v>
      </c>
      <c r="Q1629" s="184">
        <f>20+IF(OR(TipoDeCriatura="Entre mundos, Elemental",TipoDeCriatura="Ánima, Elemental"),10,0)</f>
        <v>20</v>
      </c>
      <c r="R1629" s="1066">
        <f>COUNTIF(PoderesDeCriatura_Adquiridos,Tablas!O1629)</f>
        <v>0</v>
      </c>
      <c r="S1629" s="184"/>
      <c r="T1629" s="1057"/>
      <c r="U1629" s="269"/>
    </row>
    <row r="1630" spans="1:21" ht="12.75" customHeight="1" x14ac:dyDescent="0.2">
      <c r="A1630" s="237">
        <v>1630</v>
      </c>
      <c r="B1630" s="5838"/>
      <c r="C1630" s="592"/>
      <c r="H1630"/>
      <c r="M1630" s="336"/>
      <c r="N1630" s="23"/>
      <c r="O1630" s="142" t="s">
        <v>8198</v>
      </c>
      <c r="P1630" s="1059">
        <v>20</v>
      </c>
      <c r="Q1630" s="184">
        <f>40+IF(OR(TipoDeCriatura="Entre mundos, Elemental",TipoDeCriatura="Ánima, Elemental"),10,0)</f>
        <v>40</v>
      </c>
      <c r="R1630" s="1066">
        <f>COUNTIF(PoderesDeCriatura_Adquiridos,Tablas!O1630)</f>
        <v>0</v>
      </c>
      <c r="S1630" s="184"/>
      <c r="T1630" s="1057"/>
      <c r="U1630" s="269"/>
    </row>
    <row r="1631" spans="1:21" ht="12.75" customHeight="1" x14ac:dyDescent="0.2">
      <c r="A1631" s="237">
        <v>1631</v>
      </c>
      <c r="B1631" s="5838"/>
      <c r="C1631" s="592"/>
      <c r="H1631"/>
      <c r="M1631" s="336"/>
      <c r="N1631" s="23"/>
      <c r="O1631" s="142" t="s">
        <v>8199</v>
      </c>
      <c r="P1631" s="1059">
        <v>10</v>
      </c>
      <c r="Q1631" s="184">
        <f>30+IF(OR(TipoDeCriatura="Entre mundos, Elemental",TipoDeCriatura="Ánima, Elemental"),10,0)</f>
        <v>30</v>
      </c>
      <c r="R1631" s="1066">
        <f>COUNTIF(PoderesDeCriatura_Adquiridos,Tablas!O1631)</f>
        <v>0</v>
      </c>
      <c r="S1631" s="184"/>
      <c r="T1631" s="1057"/>
      <c r="U1631" s="269"/>
    </row>
    <row r="1632" spans="1:21" ht="12.75" customHeight="1" x14ac:dyDescent="0.2">
      <c r="A1632" s="237">
        <v>1632</v>
      </c>
      <c r="B1632" s="5838"/>
      <c r="C1632" s="592"/>
      <c r="H1632"/>
      <c r="M1632" s="336"/>
      <c r="N1632" s="23"/>
      <c r="O1632" s="142" t="s">
        <v>8200</v>
      </c>
      <c r="P1632" s="1059">
        <v>10</v>
      </c>
      <c r="Q1632" s="184">
        <f>20+IF(OR(TipoDeCriatura="Entre mundos, Elemental",TipoDeCriatura="Ánima, Elemental"),10,0)</f>
        <v>20</v>
      </c>
      <c r="R1632" s="1066">
        <f>COUNTIF(PoderesDeCriatura_Adquiridos,Tablas!O1632)</f>
        <v>0</v>
      </c>
      <c r="S1632" s="184"/>
      <c r="T1632" s="1057"/>
      <c r="U1632" s="269"/>
    </row>
    <row r="1633" spans="1:21" ht="12.75" customHeight="1" x14ac:dyDescent="0.2">
      <c r="A1633" s="237">
        <v>1633</v>
      </c>
      <c r="B1633" s="5838"/>
      <c r="C1633" s="592"/>
      <c r="H1633"/>
      <c r="M1633" s="336"/>
      <c r="N1633" s="23"/>
      <c r="O1633" s="1" t="s">
        <v>14</v>
      </c>
      <c r="P1633" s="1059">
        <v>15</v>
      </c>
      <c r="Q1633" s="184">
        <v>50</v>
      </c>
      <c r="R1633" s="1066">
        <f>COUNTIF(PoderesDeCriatura_Adquiridos,Tablas!O1633)</f>
        <v>0</v>
      </c>
      <c r="S1633" s="184"/>
      <c r="T1633" s="1057"/>
      <c r="U1633" s="269"/>
    </row>
    <row r="1634" spans="1:21" ht="12.75" customHeight="1" x14ac:dyDescent="0.2">
      <c r="A1634" s="237">
        <v>1634</v>
      </c>
      <c r="B1634" s="5838"/>
      <c r="C1634" s="592"/>
      <c r="H1634"/>
      <c r="M1634" s="336"/>
      <c r="N1634" s="23"/>
      <c r="O1634" s="142" t="s">
        <v>10168</v>
      </c>
      <c r="P1634" s="1059">
        <v>5</v>
      </c>
      <c r="Q1634" s="184">
        <v>10</v>
      </c>
      <c r="R1634" s="1066">
        <f>COUNTIF(PoderesDeCriatura_Adquiridos,Tablas!O1634)</f>
        <v>0</v>
      </c>
      <c r="S1634" s="184"/>
      <c r="T1634" s="1057"/>
      <c r="U1634" s="269"/>
    </row>
    <row r="1635" spans="1:21" ht="12.75" customHeight="1" x14ac:dyDescent="0.2">
      <c r="A1635" s="237">
        <v>1635</v>
      </c>
      <c r="B1635" s="5838"/>
      <c r="C1635" s="592"/>
      <c r="H1635"/>
      <c r="M1635" s="336"/>
      <c r="N1635" s="23"/>
      <c r="O1635" s="142" t="s">
        <v>10169</v>
      </c>
      <c r="P1635" s="1059">
        <v>10</v>
      </c>
      <c r="Q1635" s="184">
        <v>20</v>
      </c>
      <c r="R1635" s="1066">
        <f>COUNTIF(PoderesDeCriatura_Adquiridos,Tablas!O1635)</f>
        <v>0</v>
      </c>
      <c r="S1635" s="184"/>
      <c r="T1635" s="1057"/>
      <c r="U1635" s="269"/>
    </row>
    <row r="1636" spans="1:21" ht="12.75" customHeight="1" x14ac:dyDescent="0.2">
      <c r="A1636" s="237">
        <v>1636</v>
      </c>
      <c r="B1636" s="5838"/>
      <c r="C1636" s="592"/>
      <c r="H1636"/>
      <c r="M1636" s="336"/>
      <c r="N1636" s="23"/>
      <c r="O1636" s="142" t="s">
        <v>10170</v>
      </c>
      <c r="P1636" s="1059">
        <v>20</v>
      </c>
      <c r="Q1636" s="184">
        <v>30</v>
      </c>
      <c r="R1636" s="1066">
        <f>COUNTIF(PoderesDeCriatura_Adquiridos,Tablas!O1636)</f>
        <v>0</v>
      </c>
      <c r="S1636" s="184"/>
      <c r="T1636" s="1057"/>
      <c r="U1636" s="269"/>
    </row>
    <row r="1637" spans="1:21" ht="12.75" customHeight="1" x14ac:dyDescent="0.2">
      <c r="A1637" s="237">
        <v>1637</v>
      </c>
      <c r="B1637" s="5838"/>
      <c r="C1637" s="592"/>
      <c r="H1637"/>
      <c r="M1637" s="336"/>
      <c r="N1637" s="23"/>
      <c r="O1637" s="142" t="s">
        <v>10171</v>
      </c>
      <c r="P1637" s="1059">
        <v>30</v>
      </c>
      <c r="Q1637" s="184">
        <v>40</v>
      </c>
      <c r="R1637" s="1066">
        <f>COUNTIF(PoderesDeCriatura_Adquiridos,Tablas!O1637)</f>
        <v>0</v>
      </c>
      <c r="S1637" s="184"/>
      <c r="T1637" s="1057"/>
      <c r="U1637" s="269"/>
    </row>
    <row r="1638" spans="1:21" ht="12.75" customHeight="1" x14ac:dyDescent="0.2">
      <c r="A1638" s="237">
        <v>1638</v>
      </c>
      <c r="B1638" s="5838"/>
      <c r="C1638" s="592"/>
      <c r="H1638"/>
      <c r="M1638" s="336"/>
      <c r="N1638" s="23"/>
      <c r="O1638" s="142" t="s">
        <v>10172</v>
      </c>
      <c r="P1638" s="1059">
        <v>20</v>
      </c>
      <c r="Q1638" s="184">
        <f>40+IF(OR(TipoDeCriatura="Entre mundos, Elemental",TipoDeCriatura="Ánima, Elemental"),10,0)</f>
        <v>40</v>
      </c>
      <c r="R1638" s="1066">
        <f>COUNTIF(PoderesDeCriatura_Adquiridos,Tablas!O1638)</f>
        <v>0</v>
      </c>
      <c r="S1638" s="184"/>
      <c r="T1638" s="1057"/>
      <c r="U1638" s="269"/>
    </row>
    <row r="1639" spans="1:21" ht="12.75" customHeight="1" x14ac:dyDescent="0.2">
      <c r="A1639" s="237">
        <v>1639</v>
      </c>
      <c r="B1639" s="5838"/>
      <c r="C1639" s="592"/>
      <c r="H1639"/>
      <c r="M1639" s="336"/>
      <c r="N1639" s="23"/>
      <c r="O1639" s="142" t="s">
        <v>10173</v>
      </c>
      <c r="P1639" s="1059">
        <v>10</v>
      </c>
      <c r="Q1639" s="184">
        <f>20+IF(OR(TipoDeCriatura="Entre mundos, Elemental",TipoDeCriatura="Ánima, Elemental"),10,0)</f>
        <v>20</v>
      </c>
      <c r="R1639" s="1066">
        <f>COUNTIF(PoderesDeCriatura_Adquiridos,Tablas!O1639)</f>
        <v>0</v>
      </c>
      <c r="S1639" s="184"/>
      <c r="T1639" s="1057"/>
      <c r="U1639" s="269"/>
    </row>
    <row r="1640" spans="1:21" ht="12.75" customHeight="1" x14ac:dyDescent="0.2">
      <c r="A1640" s="237">
        <v>1640</v>
      </c>
      <c r="B1640" s="5838"/>
      <c r="C1640" s="592"/>
      <c r="H1640"/>
      <c r="M1640" s="336"/>
      <c r="N1640" s="23"/>
      <c r="O1640" s="142" t="s">
        <v>10174</v>
      </c>
      <c r="P1640" s="1059">
        <v>15</v>
      </c>
      <c r="Q1640" s="184">
        <f>30+IF(OR(TipoDeCriatura="Entre mundos, Elemental",TipoDeCriatura="Ánima, Elemental"),10,0)</f>
        <v>30</v>
      </c>
      <c r="R1640" s="1066">
        <f>COUNTIF(PoderesDeCriatura_Adquiridos,Tablas!O1640)</f>
        <v>0</v>
      </c>
      <c r="S1640" s="184"/>
      <c r="T1640" s="1057"/>
      <c r="U1640" s="269"/>
    </row>
    <row r="1641" spans="1:21" ht="12.75" customHeight="1" x14ac:dyDescent="0.2">
      <c r="A1641" s="237">
        <v>1641</v>
      </c>
      <c r="B1641" s="5838"/>
      <c r="C1641" s="592"/>
      <c r="H1641"/>
      <c r="M1641" s="336"/>
      <c r="N1641" s="23"/>
      <c r="O1641" s="142" t="s">
        <v>10175</v>
      </c>
      <c r="P1641" s="1059">
        <v>5</v>
      </c>
      <c r="Q1641" s="184">
        <f>10+IF(OR(TipoDeCriatura="Entre mundos, Elemental",TipoDeCriatura="Ánima, Elemental"),10,0)</f>
        <v>10</v>
      </c>
      <c r="R1641" s="1066">
        <f>COUNTIF(PoderesDeCriatura_Adquiridos,Tablas!O1641)</f>
        <v>0</v>
      </c>
      <c r="S1641" s="184"/>
      <c r="T1641" s="1057"/>
      <c r="U1641" s="269"/>
    </row>
    <row r="1642" spans="1:21" ht="12.75" customHeight="1" x14ac:dyDescent="0.2">
      <c r="A1642" s="237">
        <v>1642</v>
      </c>
      <c r="B1642" s="5838"/>
      <c r="C1642" s="592"/>
      <c r="H1642"/>
      <c r="M1642" s="336"/>
      <c r="N1642" s="23"/>
      <c r="O1642" s="142" t="s">
        <v>10176</v>
      </c>
      <c r="P1642" s="1059">
        <v>10</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838"/>
      <c r="C1643" s="592"/>
      <c r="H1643"/>
      <c r="M1643" s="336"/>
      <c r="N1643" s="23"/>
      <c r="O1643" s="142" t="s">
        <v>10177</v>
      </c>
      <c r="P1643" s="1059">
        <v>20</v>
      </c>
      <c r="Q1643" s="184">
        <f>40+IF(OR(TipoDeCriatura="Entre mundos, Elemental",TipoDeCriatura="Ánima, Elemental"),10,0)</f>
        <v>40</v>
      </c>
      <c r="R1643" s="1066">
        <f>COUNTIF(PoderesDeCriatura_Adquiridos,Tablas!O1643)</f>
        <v>0</v>
      </c>
      <c r="S1643" s="184"/>
      <c r="T1643" s="1057"/>
      <c r="U1643" s="269"/>
    </row>
    <row r="1644" spans="1:21" ht="12.75" customHeight="1" x14ac:dyDescent="0.2">
      <c r="A1644" s="237">
        <v>1644</v>
      </c>
      <c r="B1644" s="5838"/>
      <c r="C1644" s="592"/>
      <c r="H1644"/>
      <c r="M1644" s="336"/>
      <c r="N1644" s="23"/>
      <c r="O1644" s="142" t="s">
        <v>8201</v>
      </c>
      <c r="P1644" s="1059">
        <v>5</v>
      </c>
      <c r="Q1644" s="184">
        <v>10</v>
      </c>
      <c r="R1644" s="1066">
        <f>COUNTIF(PoderesDeCriatura_Adquiridos,Tablas!O1644)</f>
        <v>0</v>
      </c>
      <c r="S1644" s="184"/>
      <c r="T1644" s="1057"/>
      <c r="U1644" s="269"/>
    </row>
    <row r="1645" spans="1:21" ht="12.75" customHeight="1" x14ac:dyDescent="0.2">
      <c r="A1645" s="237">
        <v>1645</v>
      </c>
      <c r="B1645" s="5838"/>
      <c r="C1645" s="592"/>
      <c r="H1645"/>
      <c r="M1645" s="336"/>
      <c r="N1645" s="23"/>
      <c r="O1645" s="142" t="s">
        <v>8202</v>
      </c>
      <c r="P1645" s="1059">
        <v>10</v>
      </c>
      <c r="Q1645" s="184">
        <v>20</v>
      </c>
      <c r="R1645" s="1066">
        <f>COUNTIF(PoderesDeCriatura_Adquiridos,Tablas!O1645)</f>
        <v>0</v>
      </c>
      <c r="S1645" s="184"/>
      <c r="T1645" s="1057"/>
      <c r="U1645" s="269"/>
    </row>
    <row r="1646" spans="1:21" ht="12.75" customHeight="1" x14ac:dyDescent="0.2">
      <c r="A1646" s="237">
        <v>1646</v>
      </c>
      <c r="B1646" s="5838"/>
      <c r="C1646" s="592"/>
      <c r="H1646"/>
      <c r="M1646" s="336"/>
      <c r="N1646" s="23"/>
      <c r="O1646" s="142" t="s">
        <v>4366</v>
      </c>
      <c r="P1646" s="1059">
        <v>15</v>
      </c>
      <c r="Q1646" s="184">
        <v>40</v>
      </c>
      <c r="R1646" s="1066">
        <f>COUNTIF(PoderesDeCriatura_Adquiridos,Tablas!O1646)</f>
        <v>0</v>
      </c>
      <c r="S1646" s="184"/>
      <c r="T1646" s="1057"/>
      <c r="U1646" s="269"/>
    </row>
    <row r="1647" spans="1:21" ht="12.75" customHeight="1" x14ac:dyDescent="0.2">
      <c r="A1647" s="237">
        <v>1647</v>
      </c>
      <c r="B1647" s="5838"/>
      <c r="C1647" s="592"/>
      <c r="H1647"/>
      <c r="M1647" s="336"/>
      <c r="N1647" s="23"/>
      <c r="O1647" s="142" t="s">
        <v>8203</v>
      </c>
      <c r="P1647" s="1059">
        <v>30</v>
      </c>
      <c r="Q1647" s="184">
        <v>60</v>
      </c>
      <c r="R1647" s="1066">
        <f>COUNTIF(PoderesDeCriatura_Adquiridos,Tablas!O1647)</f>
        <v>0</v>
      </c>
      <c r="S1647" s="184"/>
      <c r="T1647" s="1057"/>
      <c r="U1647" s="269"/>
    </row>
    <row r="1648" spans="1:21" ht="12.75" customHeight="1" x14ac:dyDescent="0.2">
      <c r="A1648" s="237">
        <v>1648</v>
      </c>
      <c r="B1648" s="5838"/>
      <c r="C1648" s="592"/>
      <c r="H1648"/>
      <c r="M1648" s="336"/>
      <c r="N1648" s="23"/>
      <c r="O1648" s="142" t="s">
        <v>8204</v>
      </c>
      <c r="P1648" s="1059">
        <v>35</v>
      </c>
      <c r="Q1648" s="184">
        <v>80</v>
      </c>
      <c r="R1648" s="1066">
        <f>COUNTIF(PoderesDeCriatura_Adquiridos,Tablas!O1648)</f>
        <v>0</v>
      </c>
      <c r="S1648" s="184"/>
      <c r="T1648" s="1057"/>
      <c r="U1648" s="269"/>
    </row>
    <row r="1649" spans="1:21" ht="12.75" customHeight="1" x14ac:dyDescent="0.2">
      <c r="A1649" s="237">
        <v>1649</v>
      </c>
      <c r="B1649" s="5838"/>
      <c r="C1649" s="592"/>
      <c r="H1649"/>
      <c r="M1649" s="336"/>
      <c r="N1649" s="23"/>
      <c r="O1649" s="1" t="s">
        <v>15</v>
      </c>
      <c r="P1649" s="1059">
        <v>30</v>
      </c>
      <c r="Q1649" s="184">
        <v>100</v>
      </c>
      <c r="R1649" s="1066">
        <f>COUNTIF(PoderesDeCriatura_Adquiridos,Tablas!O1649)</f>
        <v>0</v>
      </c>
      <c r="S1649" s="184"/>
      <c r="T1649" s="1057"/>
      <c r="U1649" s="269"/>
    </row>
    <row r="1650" spans="1:21" ht="12.75" customHeight="1" x14ac:dyDescent="0.2">
      <c r="A1650" s="237">
        <v>1650</v>
      </c>
      <c r="B1650" s="5838"/>
      <c r="C1650" s="592"/>
      <c r="H1650"/>
      <c r="M1650" s="336"/>
      <c r="N1650" s="23"/>
      <c r="O1650" s="142" t="s">
        <v>8205</v>
      </c>
      <c r="P1650" s="1059">
        <v>10</v>
      </c>
      <c r="Q1650" s="184">
        <v>10</v>
      </c>
      <c r="R1650" s="1066">
        <f>COUNTIF(PoderesDeCriatura_Adquiridos,Tablas!O1650)</f>
        <v>0</v>
      </c>
      <c r="S1650" s="184"/>
      <c r="T1650" s="1057"/>
      <c r="U1650" s="269"/>
    </row>
    <row r="1651" spans="1:21" ht="12.75" customHeight="1" x14ac:dyDescent="0.2">
      <c r="A1651" s="237">
        <v>1651</v>
      </c>
      <c r="B1651" s="5838"/>
      <c r="C1651" s="592"/>
      <c r="H1651"/>
      <c r="M1651" s="336"/>
      <c r="N1651" s="23"/>
      <c r="O1651" s="142" t="s">
        <v>8206</v>
      </c>
      <c r="P1651" s="1059">
        <v>20</v>
      </c>
      <c r="Q1651" s="184">
        <v>20</v>
      </c>
      <c r="R1651" s="1066">
        <f>COUNTIF(PoderesDeCriatura_Adquiridos,Tablas!O1651)</f>
        <v>0</v>
      </c>
      <c r="S1651" s="184"/>
      <c r="T1651" s="1057"/>
      <c r="U1651" s="269"/>
    </row>
    <row r="1652" spans="1:21" ht="12.75" customHeight="1" x14ac:dyDescent="0.2">
      <c r="A1652" s="237">
        <v>1652</v>
      </c>
      <c r="B1652" s="5838"/>
      <c r="C1652" s="592"/>
      <c r="H1652"/>
      <c r="M1652" s="336"/>
      <c r="N1652" s="23"/>
      <c r="O1652" s="142" t="s">
        <v>8207</v>
      </c>
      <c r="P1652" s="1059">
        <v>15</v>
      </c>
      <c r="Q1652" s="184">
        <v>20</v>
      </c>
      <c r="R1652" s="1066">
        <f>COUNTIF(PoderesDeCriatura_Adquiridos,Tablas!O1652)</f>
        <v>0</v>
      </c>
      <c r="S1652" s="184"/>
      <c r="T1652" s="1057"/>
      <c r="U1652" s="269"/>
    </row>
    <row r="1653" spans="1:21" ht="12.75" customHeight="1" x14ac:dyDescent="0.2">
      <c r="A1653" s="237">
        <v>1653</v>
      </c>
      <c r="B1653" s="5838"/>
      <c r="C1653" s="592"/>
      <c r="H1653"/>
      <c r="M1653" s="336"/>
      <c r="N1653" s="23"/>
      <c r="O1653" s="142" t="s">
        <v>8208</v>
      </c>
      <c r="P1653" s="1059">
        <v>25</v>
      </c>
      <c r="Q1653" s="184">
        <v>40</v>
      </c>
      <c r="R1653" s="1066">
        <f>COUNTIF(PoderesDeCriatura_Adquiridos,Tablas!O1653)</f>
        <v>0</v>
      </c>
      <c r="S1653" s="184"/>
      <c r="T1653" s="1057"/>
      <c r="U1653" s="269"/>
    </row>
    <row r="1654" spans="1:21" ht="12.75" customHeight="1" x14ac:dyDescent="0.2">
      <c r="A1654" s="237">
        <v>1654</v>
      </c>
      <c r="B1654" s="5838"/>
      <c r="C1654" s="592"/>
      <c r="H1654"/>
      <c r="M1654" s="336"/>
      <c r="N1654" s="23"/>
      <c r="O1654" s="142" t="s">
        <v>8209</v>
      </c>
      <c r="P1654" s="1059">
        <v>15</v>
      </c>
      <c r="Q1654" s="184">
        <f>10+IF(OR(TipoDeCriatura="Entre mundos, Elemental",TipoDeCriatura="Ánima, Elemental"),10,0)</f>
        <v>10</v>
      </c>
      <c r="R1654" s="1066">
        <f>COUNTIF(PoderesDeCriatura_Adquiridos,Tablas!O1654)</f>
        <v>0</v>
      </c>
      <c r="S1654" s="184"/>
      <c r="T1654" s="1057"/>
      <c r="U1654" s="269"/>
    </row>
    <row r="1655" spans="1:21" ht="12.75" customHeight="1" x14ac:dyDescent="0.2">
      <c r="A1655" s="237">
        <v>1655</v>
      </c>
      <c r="B1655" s="5838"/>
      <c r="C1655" s="592"/>
      <c r="H1655"/>
      <c r="M1655" s="336"/>
      <c r="N1655" s="23"/>
      <c r="O1655" s="142" t="s">
        <v>8210</v>
      </c>
      <c r="P1655" s="1059">
        <v>20</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838"/>
      <c r="C1656" s="592"/>
      <c r="H1656"/>
      <c r="M1656" s="336"/>
      <c r="N1656" s="23"/>
      <c r="O1656" s="142" t="s">
        <v>8211</v>
      </c>
      <c r="P1656" s="1059">
        <v>30</v>
      </c>
      <c r="Q1656" s="184">
        <f>20+IF(OR(TipoDeCriatura="Entre mundos, Elemental",TipoDeCriatura="Ánima, Elemental"),10,0)</f>
        <v>20</v>
      </c>
      <c r="R1656" s="1066">
        <f>COUNTIF(PoderesDeCriatura_Adquiridos,Tablas!O1656)</f>
        <v>0</v>
      </c>
      <c r="S1656" s="184"/>
      <c r="T1656" s="1057"/>
      <c r="U1656" s="269"/>
    </row>
    <row r="1657" spans="1:21" ht="12.75" customHeight="1" x14ac:dyDescent="0.2">
      <c r="A1657" s="237">
        <v>1657</v>
      </c>
      <c r="B1657" s="5838"/>
      <c r="C1657" s="592"/>
      <c r="H1657"/>
      <c r="M1657" s="336"/>
      <c r="N1657" s="23"/>
      <c r="O1657" s="142" t="s">
        <v>8212</v>
      </c>
      <c r="P1657" s="1059">
        <v>20</v>
      </c>
      <c r="Q1657" s="184">
        <v>120</v>
      </c>
      <c r="R1657" s="1066">
        <f>COUNTIF(PoderesDeCriatura_Adquiridos,Tablas!O1657)</f>
        <v>0</v>
      </c>
      <c r="S1657" s="184"/>
      <c r="T1657" s="1057"/>
      <c r="U1657" s="269"/>
    </row>
    <row r="1658" spans="1:21" ht="12.75" customHeight="1" x14ac:dyDescent="0.2">
      <c r="A1658" s="237">
        <v>1658</v>
      </c>
      <c r="B1658" s="5838"/>
      <c r="C1658" s="592"/>
      <c r="H1658"/>
      <c r="M1658" s="336"/>
      <c r="N1658" s="23"/>
      <c r="O1658" s="142" t="s">
        <v>8213</v>
      </c>
      <c r="P1658" s="1059">
        <v>30</v>
      </c>
      <c r="Q1658" s="184">
        <v>220</v>
      </c>
      <c r="R1658" s="1066">
        <f>COUNTIF(PoderesDeCriatura_Adquiridos,Tablas!O1658)</f>
        <v>0</v>
      </c>
      <c r="S1658" s="184"/>
      <c r="T1658" s="1057"/>
    </row>
    <row r="1659" spans="1:21" ht="12.75" customHeight="1" x14ac:dyDescent="0.2">
      <c r="A1659" s="237">
        <v>1659</v>
      </c>
      <c r="B1659" s="5838"/>
      <c r="C1659" s="592"/>
      <c r="H1659"/>
      <c r="M1659" s="336"/>
      <c r="N1659" s="23"/>
      <c r="O1659" s="142" t="s">
        <v>8214</v>
      </c>
      <c r="P1659" s="1059">
        <v>20</v>
      </c>
      <c r="Q1659" s="184">
        <f>30+IF(OR(TipoDeCriatura="Entre mundos, Elemental",TipoDeCriatura="Ánima, Elemental"),10,0)</f>
        <v>30</v>
      </c>
      <c r="R1659" s="1066">
        <f>COUNTIF(PoderesDeCriatura_Adquiridos,Tablas!O1659)</f>
        <v>0</v>
      </c>
      <c r="S1659" s="184"/>
      <c r="T1659" s="1057"/>
    </row>
    <row r="1660" spans="1:21" ht="12.75" customHeight="1" x14ac:dyDescent="0.2">
      <c r="A1660" s="237">
        <v>1660</v>
      </c>
      <c r="B1660" s="5838"/>
      <c r="C1660" s="592"/>
      <c r="H1660"/>
      <c r="M1660" s="336"/>
      <c r="N1660" s="23"/>
      <c r="O1660" s="142" t="s">
        <v>8215</v>
      </c>
      <c r="P1660" s="1059">
        <v>20</v>
      </c>
      <c r="Q1660" s="184">
        <f>40+IF(OR(TipoDeCriatura="Entre mundos, Elemental",TipoDeCriatura="Ánima, Elemental"),10,0)</f>
        <v>40</v>
      </c>
      <c r="R1660" s="1066">
        <f>COUNTIF(PoderesDeCriatura_Adquiridos,Tablas!O1660)</f>
        <v>0</v>
      </c>
      <c r="S1660" s="184"/>
      <c r="T1660" s="1057"/>
    </row>
    <row r="1661" spans="1:21" ht="12.75" customHeight="1" x14ac:dyDescent="0.2">
      <c r="A1661" s="237">
        <v>1661</v>
      </c>
      <c r="B1661" s="5838"/>
      <c r="C1661" s="592"/>
      <c r="H1661"/>
      <c r="M1661" s="336"/>
      <c r="N1661" s="23"/>
      <c r="O1661" s="142" t="s">
        <v>8216</v>
      </c>
      <c r="P1661" s="1059">
        <v>20</v>
      </c>
      <c r="Q1661" s="184">
        <f>50+IF(OR(TipoDeCriatura="Entre mundos, Elemental",TipoDeCriatura="Ánima, Elemental"),10,0)</f>
        <v>50</v>
      </c>
      <c r="R1661" s="1066">
        <f>COUNTIF(PoderesDeCriatura_Adquiridos,Tablas!O1661)</f>
        <v>0</v>
      </c>
      <c r="S1661" s="184"/>
      <c r="T1661" s="1057"/>
    </row>
    <row r="1662" spans="1:21" ht="12.75" customHeight="1" x14ac:dyDescent="0.2">
      <c r="A1662" s="237">
        <v>1662</v>
      </c>
      <c r="B1662" s="5838"/>
      <c r="C1662" s="592"/>
      <c r="H1662"/>
      <c r="M1662" s="336"/>
      <c r="N1662" s="23"/>
      <c r="O1662" s="142" t="s">
        <v>8217</v>
      </c>
      <c r="P1662" s="1059">
        <v>20</v>
      </c>
      <c r="Q1662" s="184">
        <f>60+IF(OR(TipoDeCriatura="Entre mundos, Elemental",TipoDeCriatura="Ánima, Elemental"),10,0)</f>
        <v>60</v>
      </c>
      <c r="R1662" s="1066">
        <f>COUNTIF(PoderesDeCriatura_Adquiridos,Tablas!O1662)</f>
        <v>0</v>
      </c>
      <c r="S1662" s="184"/>
      <c r="T1662" s="1057"/>
    </row>
    <row r="1663" spans="1:21" ht="12.75" customHeight="1" x14ac:dyDescent="0.2">
      <c r="A1663" s="237">
        <v>1663</v>
      </c>
      <c r="B1663" s="5838"/>
      <c r="C1663" s="592"/>
      <c r="H1663"/>
      <c r="M1663" s="336"/>
      <c r="N1663" s="23"/>
      <c r="O1663" s="142" t="s">
        <v>8218</v>
      </c>
      <c r="P1663" s="1059">
        <v>20</v>
      </c>
      <c r="Q1663" s="184">
        <f>80+IF(OR(TipoDeCriatura="Entre mundos, Elemental",TipoDeCriatura="Ánima, Elemental"),10,0)</f>
        <v>80</v>
      </c>
      <c r="R1663" s="1066">
        <f>COUNTIF(PoderesDeCriatura_Adquiridos,Tablas!O1663)</f>
        <v>0</v>
      </c>
      <c r="S1663" s="184"/>
      <c r="T1663" s="1057"/>
    </row>
    <row r="1664" spans="1:21" ht="12.75" customHeight="1" x14ac:dyDescent="0.2">
      <c r="A1664" s="237">
        <v>1664</v>
      </c>
      <c r="B1664" s="5838"/>
      <c r="C1664" s="592"/>
      <c r="H1664"/>
      <c r="M1664" s="336"/>
      <c r="N1664" s="23"/>
      <c r="O1664" s="1" t="s">
        <v>16</v>
      </c>
      <c r="P1664" s="1059">
        <v>0</v>
      </c>
      <c r="Q1664" s="184">
        <v>20</v>
      </c>
      <c r="R1664" s="1066">
        <f>COUNTIF(PoderesDeCriatura_Adquiridos,Tablas!O1664)</f>
        <v>0</v>
      </c>
      <c r="S1664" s="184"/>
      <c r="T1664" s="1057"/>
    </row>
    <row r="1665" spans="1:20" ht="12.75" customHeight="1" x14ac:dyDescent="0.2">
      <c r="A1665" s="237">
        <v>1665</v>
      </c>
      <c r="B1665" s="5838"/>
      <c r="C1665" s="592"/>
      <c r="H1665"/>
      <c r="M1665" s="336"/>
      <c r="N1665" s="23"/>
      <c r="O1665" s="142" t="s">
        <v>8219</v>
      </c>
      <c r="P1665" s="1059">
        <v>10</v>
      </c>
      <c r="Q1665" s="184">
        <v>30</v>
      </c>
      <c r="R1665" s="1066">
        <f>COUNTIF(PoderesDeCriatura_Adquiridos,Tablas!O1665)</f>
        <v>0</v>
      </c>
      <c r="S1665" s="184"/>
      <c r="T1665" s="1057"/>
    </row>
    <row r="1666" spans="1:20" ht="12.75" customHeight="1" x14ac:dyDescent="0.2">
      <c r="A1666" s="237">
        <v>1666</v>
      </c>
      <c r="B1666" s="5838"/>
      <c r="C1666" s="592"/>
      <c r="H1666"/>
      <c r="M1666" s="336"/>
      <c r="N1666" s="23"/>
      <c r="O1666" s="142" t="s">
        <v>8220</v>
      </c>
      <c r="P1666" s="1059">
        <v>20</v>
      </c>
      <c r="Q1666" s="184">
        <v>50</v>
      </c>
      <c r="R1666" s="1066">
        <f>COUNTIF(PoderesDeCriatura_Adquiridos,Tablas!O1666)</f>
        <v>0</v>
      </c>
      <c r="S1666" s="184"/>
      <c r="T1666" s="1057"/>
    </row>
    <row r="1667" spans="1:20" ht="12.75" customHeight="1" x14ac:dyDescent="0.2">
      <c r="A1667" s="237">
        <v>1667</v>
      </c>
      <c r="B1667" s="5838"/>
      <c r="C1667" s="592"/>
      <c r="H1667"/>
      <c r="M1667" s="336"/>
      <c r="N1667" s="23"/>
      <c r="O1667" s="142" t="s">
        <v>8221</v>
      </c>
      <c r="P1667" s="1059">
        <v>25</v>
      </c>
      <c r="Q1667" s="184">
        <v>80</v>
      </c>
      <c r="R1667" s="1066">
        <f>COUNTIF(PoderesDeCriatura_Adquiridos,Tablas!O1667)</f>
        <v>0</v>
      </c>
      <c r="S1667" s="184"/>
      <c r="T1667" s="1057"/>
    </row>
    <row r="1668" spans="1:20" ht="12.75" customHeight="1" x14ac:dyDescent="0.2">
      <c r="A1668" s="237">
        <v>1668</v>
      </c>
      <c r="B1668" s="5838"/>
      <c r="C1668" s="592"/>
      <c r="H1668"/>
      <c r="M1668" s="336"/>
      <c r="N1668" s="23"/>
      <c r="O1668" s="142" t="s">
        <v>8222</v>
      </c>
      <c r="P1668" s="1059">
        <v>30</v>
      </c>
      <c r="Q1668" s="184">
        <v>110</v>
      </c>
      <c r="R1668" s="1066">
        <f>COUNTIF(PoderesDeCriatura_Adquiridos,Tablas!O1668)</f>
        <v>0</v>
      </c>
      <c r="S1668" s="184"/>
      <c r="T1668" s="1057"/>
    </row>
    <row r="1669" spans="1:20" ht="12.75" customHeight="1" x14ac:dyDescent="0.2">
      <c r="A1669" s="237">
        <v>1669</v>
      </c>
      <c r="B1669" s="5838"/>
      <c r="C1669" s="592"/>
      <c r="H1669"/>
      <c r="M1669" s="336"/>
      <c r="N1669" s="23"/>
      <c r="O1669" s="142" t="s">
        <v>8223</v>
      </c>
      <c r="P1669" s="1059">
        <v>35</v>
      </c>
      <c r="Q1669" s="184">
        <v>140</v>
      </c>
      <c r="R1669" s="1066">
        <f>COUNTIF(PoderesDeCriatura_Adquiridos,Tablas!O1669)</f>
        <v>0</v>
      </c>
      <c r="S1669" s="184"/>
      <c r="T1669" s="1057"/>
    </row>
    <row r="1670" spans="1:20" ht="12.75" customHeight="1" x14ac:dyDescent="0.2">
      <c r="A1670" s="237">
        <v>1670</v>
      </c>
      <c r="B1670" s="5838"/>
      <c r="C1670" s="592"/>
      <c r="H1670"/>
      <c r="M1670" s="336"/>
      <c r="N1670" s="23"/>
      <c r="O1670" s="142" t="s">
        <v>8224</v>
      </c>
      <c r="P1670" s="1059">
        <v>10</v>
      </c>
      <c r="Q1670" s="184">
        <v>-15</v>
      </c>
      <c r="R1670" s="1066">
        <f>COUNTIF(PoderesDeCriatura_Adquiridos,Tablas!O1670)</f>
        <v>0</v>
      </c>
      <c r="S1670" s="184"/>
      <c r="T1670" s="1057"/>
    </row>
    <row r="1671" spans="1:20" ht="12.75" customHeight="1" x14ac:dyDescent="0.2">
      <c r="A1671" s="237">
        <v>1671</v>
      </c>
      <c r="B1671" s="5838"/>
      <c r="C1671" s="592"/>
      <c r="H1671"/>
      <c r="M1671" s="336"/>
      <c r="N1671" s="23"/>
      <c r="O1671" s="1" t="s">
        <v>17</v>
      </c>
      <c r="P1671" s="1059">
        <v>5</v>
      </c>
      <c r="Q1671" s="184">
        <v>20</v>
      </c>
      <c r="R1671" s="1066">
        <f>COUNTIF(PoderesDeCriatura_Adquiridos,Tablas!O1671)</f>
        <v>0</v>
      </c>
      <c r="S1671" s="184"/>
      <c r="T1671" s="1057"/>
    </row>
    <row r="1672" spans="1:20" ht="12.75" customHeight="1" x14ac:dyDescent="0.2">
      <c r="A1672" s="237">
        <v>1672</v>
      </c>
      <c r="B1672" s="5838"/>
      <c r="C1672" s="592"/>
      <c r="H1672"/>
      <c r="M1672" s="336"/>
      <c r="N1672" s="23"/>
      <c r="O1672" s="142" t="s">
        <v>8225</v>
      </c>
      <c r="P1672" s="1059">
        <v>0</v>
      </c>
      <c r="Q1672" s="184">
        <v>10</v>
      </c>
      <c r="R1672" s="1066">
        <f>COUNTIF(PoderesDeCriatura_Adquiridos,Tablas!O1672)</f>
        <v>0</v>
      </c>
      <c r="S1672" s="184"/>
      <c r="T1672" s="1057"/>
    </row>
    <row r="1673" spans="1:20" ht="12.75" customHeight="1" x14ac:dyDescent="0.2">
      <c r="A1673" s="237">
        <v>1673</v>
      </c>
      <c r="B1673" s="5838"/>
      <c r="C1673" s="592"/>
      <c r="H1673"/>
      <c r="M1673" s="336"/>
      <c r="N1673" s="23"/>
      <c r="O1673" s="142" t="s">
        <v>8226</v>
      </c>
      <c r="P1673" s="1059">
        <v>0</v>
      </c>
      <c r="Q1673" s="184">
        <v>20</v>
      </c>
      <c r="R1673" s="1066">
        <f>COUNTIF(PoderesDeCriatura_Adquiridos,Tablas!O1673)</f>
        <v>0</v>
      </c>
      <c r="S1673" s="184"/>
      <c r="T1673" s="1057"/>
    </row>
    <row r="1674" spans="1:20" ht="12.75" customHeight="1" x14ac:dyDescent="0.2">
      <c r="A1674" s="237">
        <v>1674</v>
      </c>
      <c r="B1674" s="5838"/>
      <c r="C1674" s="592"/>
      <c r="H1674"/>
      <c r="M1674" s="336"/>
      <c r="N1674" s="23"/>
      <c r="O1674" s="142" t="s">
        <v>8227</v>
      </c>
      <c r="P1674" s="1059">
        <v>0</v>
      </c>
      <c r="Q1674" s="184">
        <v>30</v>
      </c>
      <c r="R1674" s="1066">
        <f>COUNTIF(PoderesDeCriatura_Adquiridos,Tablas!O1674)</f>
        <v>0</v>
      </c>
      <c r="S1674" s="184"/>
      <c r="T1674" s="1057"/>
    </row>
    <row r="1675" spans="1:20" ht="12.75" customHeight="1" x14ac:dyDescent="0.2">
      <c r="A1675" s="237">
        <v>1675</v>
      </c>
      <c r="B1675" s="5838"/>
      <c r="C1675" s="592"/>
      <c r="H1675"/>
      <c r="M1675" s="336"/>
      <c r="N1675" s="23"/>
      <c r="O1675" s="142" t="s">
        <v>8228</v>
      </c>
      <c r="P1675" s="1059">
        <v>10</v>
      </c>
      <c r="Q1675" s="184">
        <v>20</v>
      </c>
      <c r="R1675" s="1066">
        <f>COUNTIF(PoderesDeCriatura_Adquiridos,Tablas!O1675)</f>
        <v>0</v>
      </c>
      <c r="S1675" s="184"/>
      <c r="T1675" s="1057"/>
    </row>
    <row r="1676" spans="1:20" ht="12.75" customHeight="1" x14ac:dyDescent="0.2">
      <c r="A1676" s="237">
        <v>1676</v>
      </c>
      <c r="B1676" s="5838"/>
      <c r="C1676" s="592"/>
      <c r="H1676"/>
      <c r="M1676" s="336"/>
      <c r="N1676" s="23"/>
      <c r="O1676" s="142" t="s">
        <v>8229</v>
      </c>
      <c r="P1676" s="1059">
        <v>15</v>
      </c>
      <c r="Q1676" s="184">
        <v>40</v>
      </c>
      <c r="R1676" s="1066">
        <f>COUNTIF(PoderesDeCriatura_Adquiridos,Tablas!O1676)</f>
        <v>0</v>
      </c>
      <c r="S1676" s="184"/>
      <c r="T1676" s="1057"/>
    </row>
    <row r="1677" spans="1:20" ht="12.75" customHeight="1" x14ac:dyDescent="0.2">
      <c r="A1677" s="237">
        <v>1677</v>
      </c>
      <c r="B1677" s="5838"/>
      <c r="C1677" s="592"/>
      <c r="H1677"/>
      <c r="M1677" s="336"/>
      <c r="N1677" s="23"/>
      <c r="O1677" s="142" t="s">
        <v>8230</v>
      </c>
      <c r="P1677" s="1059">
        <v>20</v>
      </c>
      <c r="Q1677" s="184">
        <v>60</v>
      </c>
      <c r="R1677" s="1066">
        <f>COUNTIF(PoderesDeCriatura_Adquiridos,Tablas!O1677)</f>
        <v>0</v>
      </c>
      <c r="S1677" s="184"/>
      <c r="T1677" s="1057"/>
    </row>
    <row r="1678" spans="1:20" ht="12.75" customHeight="1" x14ac:dyDescent="0.2">
      <c r="A1678" s="237">
        <v>1678</v>
      </c>
      <c r="B1678" s="5838"/>
      <c r="C1678" s="592"/>
      <c r="H1678"/>
      <c r="M1678" s="336"/>
      <c r="N1678" s="23"/>
      <c r="O1678" s="142" t="s">
        <v>8231</v>
      </c>
      <c r="P1678" s="1059">
        <v>25</v>
      </c>
      <c r="Q1678" s="184">
        <v>80</v>
      </c>
      <c r="R1678" s="1066">
        <f>COUNTIF(PoderesDeCriatura_Adquiridos,Tablas!O1678)</f>
        <v>0</v>
      </c>
      <c r="S1678" s="184"/>
      <c r="T1678" s="1057"/>
    </row>
    <row r="1679" spans="1:20" ht="12.75" customHeight="1" x14ac:dyDescent="0.2">
      <c r="A1679" s="237">
        <v>1679</v>
      </c>
      <c r="B1679" s="5838"/>
      <c r="C1679" s="592"/>
      <c r="H1679"/>
      <c r="M1679" s="336"/>
      <c r="N1679" s="23"/>
      <c r="O1679" s="142" t="s">
        <v>8232</v>
      </c>
      <c r="P1679" s="1059">
        <v>35</v>
      </c>
      <c r="Q1679" s="184">
        <v>120</v>
      </c>
      <c r="R1679" s="1066">
        <f>COUNTIF(PoderesDeCriatura_Adquiridos,Tablas!O1679)</f>
        <v>0</v>
      </c>
      <c r="S1679" s="184"/>
      <c r="T1679" s="1057"/>
    </row>
    <row r="1680" spans="1:20" ht="12.75" customHeight="1" x14ac:dyDescent="0.2">
      <c r="A1680" s="237">
        <v>1680</v>
      </c>
      <c r="B1680" s="5838"/>
      <c r="C1680" s="592"/>
      <c r="H1680"/>
      <c r="M1680" s="336"/>
      <c r="N1680" s="23"/>
      <c r="O1680" s="142" t="s">
        <v>8233</v>
      </c>
      <c r="P1680" s="1059">
        <v>5</v>
      </c>
      <c r="Q1680" s="184">
        <v>10</v>
      </c>
      <c r="R1680" s="1066">
        <f>COUNTIF(PoderesDeCriatura_Adquiridos,Tablas!O1680)</f>
        <v>0</v>
      </c>
      <c r="S1680" s="184"/>
      <c r="T1680" s="1057"/>
    </row>
    <row r="1681" spans="1:20" ht="12.75" customHeight="1" x14ac:dyDescent="0.2">
      <c r="A1681" s="237">
        <v>1681</v>
      </c>
      <c r="B1681" s="5838"/>
      <c r="C1681" s="592"/>
      <c r="H1681"/>
      <c r="M1681" s="336"/>
      <c r="N1681" s="23"/>
      <c r="O1681" s="142" t="s">
        <v>8234</v>
      </c>
      <c r="P1681" s="1059">
        <v>5</v>
      </c>
      <c r="Q1681" s="184">
        <v>20</v>
      </c>
      <c r="R1681" s="1066">
        <f>COUNTIF(PoderesDeCriatura_Adquiridos,Tablas!O1681)</f>
        <v>0</v>
      </c>
      <c r="S1681" s="184"/>
      <c r="T1681" s="1057"/>
    </row>
    <row r="1682" spans="1:20" ht="12.75" customHeight="1" x14ac:dyDescent="0.2">
      <c r="A1682" s="237">
        <v>1682</v>
      </c>
      <c r="B1682" s="5838"/>
      <c r="C1682" s="592"/>
      <c r="H1682"/>
      <c r="M1682" s="336"/>
      <c r="N1682" s="23"/>
      <c r="O1682" s="142" t="s">
        <v>8235</v>
      </c>
      <c r="P1682" s="1059">
        <v>10</v>
      </c>
      <c r="Q1682" s="184">
        <v>30</v>
      </c>
      <c r="R1682" s="1066">
        <f>COUNTIF(PoderesDeCriatura_Adquiridos,Tablas!O1682)</f>
        <v>0</v>
      </c>
      <c r="S1682" s="184"/>
      <c r="T1682" s="1057"/>
    </row>
    <row r="1683" spans="1:20" ht="12.75" customHeight="1" x14ac:dyDescent="0.2">
      <c r="A1683" s="237">
        <v>1683</v>
      </c>
      <c r="B1683" s="5838"/>
      <c r="C1683" s="592"/>
      <c r="H1683"/>
      <c r="M1683" s="336"/>
      <c r="N1683" s="23"/>
      <c r="O1683" s="142" t="s">
        <v>8236</v>
      </c>
      <c r="P1683" s="1059">
        <v>15</v>
      </c>
      <c r="Q1683" s="184">
        <v>40</v>
      </c>
      <c r="R1683" s="1066">
        <f>COUNTIF(PoderesDeCriatura_Adquiridos,Tablas!O1683)</f>
        <v>0</v>
      </c>
      <c r="S1683" s="184"/>
      <c r="T1683" s="1057"/>
    </row>
    <row r="1684" spans="1:20" ht="12.75" customHeight="1" x14ac:dyDescent="0.2">
      <c r="A1684" s="237">
        <v>1684</v>
      </c>
      <c r="B1684" s="5838"/>
      <c r="C1684" s="592"/>
      <c r="H1684"/>
      <c r="M1684" s="336"/>
      <c r="N1684" s="23"/>
      <c r="O1684" s="142" t="s">
        <v>8237</v>
      </c>
      <c r="P1684" s="1059">
        <v>25</v>
      </c>
      <c r="Q1684" s="184">
        <v>50</v>
      </c>
      <c r="R1684" s="1066">
        <f>COUNTIF(PoderesDeCriatura_Adquiridos,Tablas!O1684)</f>
        <v>0</v>
      </c>
      <c r="S1684" s="184"/>
      <c r="T1684" s="1057"/>
    </row>
    <row r="1685" spans="1:20" ht="12.75" customHeight="1" x14ac:dyDescent="0.2">
      <c r="A1685" s="237">
        <v>1685</v>
      </c>
      <c r="B1685" s="5838"/>
      <c r="C1685" s="592"/>
      <c r="H1685"/>
      <c r="M1685" s="336"/>
      <c r="N1685" s="23"/>
      <c r="O1685" s="1" t="s">
        <v>18</v>
      </c>
      <c r="P1685" s="1059"/>
      <c r="Q1685" s="184"/>
      <c r="R1685" s="1066"/>
      <c r="S1685" s="184"/>
      <c r="T1685" s="1057"/>
    </row>
    <row r="1686" spans="1:20" ht="12.75" customHeight="1" x14ac:dyDescent="0.2">
      <c r="A1686" s="237">
        <v>1686</v>
      </c>
      <c r="B1686" s="5838"/>
      <c r="C1686" s="592"/>
      <c r="H1686"/>
      <c r="M1686" s="336"/>
      <c r="N1686" s="23"/>
      <c r="O1686" s="142" t="s">
        <v>8238</v>
      </c>
      <c r="P1686" s="1059">
        <v>5</v>
      </c>
      <c r="Q1686" s="184">
        <v>20</v>
      </c>
      <c r="R1686" s="1066">
        <f>COUNTIF(PoderesDeCriatura_Adquiridos,Tablas!O1686)</f>
        <v>0</v>
      </c>
      <c r="S1686" s="184"/>
      <c r="T1686" s="1057"/>
    </row>
    <row r="1687" spans="1:20" ht="12.75" customHeight="1" x14ac:dyDescent="0.2">
      <c r="A1687" s="237">
        <v>1687</v>
      </c>
      <c r="B1687" s="5838"/>
      <c r="C1687" s="592"/>
      <c r="H1687"/>
      <c r="M1687" s="336"/>
      <c r="N1687" s="23"/>
      <c r="O1687" s="142" t="s">
        <v>8239</v>
      </c>
      <c r="P1687" s="1059">
        <v>20</v>
      </c>
      <c r="Q1687" s="184">
        <v>30</v>
      </c>
      <c r="R1687" s="1066">
        <f>COUNTIF(PoderesDeCriatura_Adquiridos,Tablas!O1687)</f>
        <v>0</v>
      </c>
      <c r="S1687" s="184"/>
      <c r="T1687" s="1057"/>
    </row>
    <row r="1688" spans="1:20" ht="12.75" customHeight="1" x14ac:dyDescent="0.2">
      <c r="A1688" s="237">
        <v>1688</v>
      </c>
      <c r="B1688" s="5838"/>
      <c r="C1688" s="592"/>
      <c r="H1688"/>
      <c r="M1688" s="336"/>
      <c r="N1688" s="23"/>
      <c r="O1688" s="142" t="s">
        <v>8240</v>
      </c>
      <c r="P1688" s="1059">
        <v>15</v>
      </c>
      <c r="Q1688" s="184">
        <v>10</v>
      </c>
      <c r="R1688" s="1066">
        <f>COUNTIF(PoderesDeCriatura_Adquiridos,Tablas!O1688)</f>
        <v>0</v>
      </c>
      <c r="S1688" s="184"/>
      <c r="T1688" s="1057"/>
    </row>
    <row r="1689" spans="1:20" ht="12.75" customHeight="1" x14ac:dyDescent="0.2">
      <c r="A1689" s="237">
        <v>1689</v>
      </c>
      <c r="B1689" s="5838"/>
      <c r="C1689" s="592"/>
      <c r="H1689"/>
      <c r="M1689" s="336"/>
      <c r="N1689" s="23"/>
      <c r="O1689" s="1" t="s">
        <v>22</v>
      </c>
      <c r="P1689" s="1059">
        <v>0</v>
      </c>
      <c r="Q1689" s="184">
        <v>20</v>
      </c>
      <c r="R1689" s="1066">
        <f>COUNTIF(PoderesDeCriatura_Adquiridos,Tablas!O1689)</f>
        <v>0</v>
      </c>
      <c r="S1689" s="184"/>
      <c r="T1689" s="1057"/>
    </row>
    <row r="1690" spans="1:20" ht="12.75" customHeight="1" x14ac:dyDescent="0.2">
      <c r="A1690" s="237">
        <v>1690</v>
      </c>
      <c r="B1690" s="5838"/>
      <c r="C1690" s="592"/>
      <c r="H1690"/>
      <c r="M1690" s="336"/>
      <c r="N1690" s="23"/>
      <c r="O1690" s="142" t="s">
        <v>8241</v>
      </c>
      <c r="P1690" s="1059">
        <v>15</v>
      </c>
      <c r="Q1690" s="184">
        <v>30</v>
      </c>
      <c r="R1690" s="1066">
        <f>COUNTIF(PoderesDeCriatura_Adquiridos,Tablas!O1690)</f>
        <v>0</v>
      </c>
      <c r="S1690" s="184"/>
      <c r="T1690" s="1057"/>
    </row>
    <row r="1691" spans="1:20" ht="12.75" customHeight="1" x14ac:dyDescent="0.2">
      <c r="A1691" s="237">
        <v>1691</v>
      </c>
      <c r="B1691" s="5838"/>
      <c r="C1691" s="592"/>
      <c r="H1691"/>
      <c r="M1691" s="336"/>
      <c r="N1691" s="23"/>
      <c r="O1691" s="142" t="s">
        <v>8242</v>
      </c>
      <c r="P1691" s="1059">
        <v>30</v>
      </c>
      <c r="Q1691" s="184">
        <v>60</v>
      </c>
      <c r="R1691" s="1066">
        <f>COUNTIF(PoderesDeCriatura_Adquiridos,Tablas!O1691)</f>
        <v>0</v>
      </c>
      <c r="S1691" s="184"/>
      <c r="T1691" s="1057"/>
    </row>
    <row r="1692" spans="1:20" ht="12.75" customHeight="1" x14ac:dyDescent="0.2">
      <c r="A1692" s="237">
        <v>1692</v>
      </c>
      <c r="B1692" s="5838"/>
      <c r="C1692" s="592"/>
      <c r="H1692"/>
      <c r="M1692" s="336"/>
      <c r="N1692" s="23"/>
      <c r="O1692" s="142" t="s">
        <v>8256</v>
      </c>
      <c r="P1692" s="1059">
        <v>20</v>
      </c>
      <c r="Q1692" s="184">
        <v>40</v>
      </c>
      <c r="R1692" s="1066">
        <f>COUNTIF(PoderesDeCriatura_Adquiridos,Tablas!O1692)</f>
        <v>0</v>
      </c>
      <c r="S1692" s="184"/>
      <c r="T1692" s="1057"/>
    </row>
    <row r="1693" spans="1:20" ht="12.75" customHeight="1" x14ac:dyDescent="0.2">
      <c r="A1693" s="237">
        <v>1693</v>
      </c>
      <c r="B1693" s="5838"/>
      <c r="C1693" s="592"/>
      <c r="H1693"/>
      <c r="M1693" s="336"/>
      <c r="N1693" s="23"/>
      <c r="O1693" s="142" t="s">
        <v>8257</v>
      </c>
      <c r="P1693" s="1059">
        <v>25</v>
      </c>
      <c r="Q1693" s="184">
        <v>60</v>
      </c>
      <c r="R1693" s="1066">
        <f>COUNTIF(PoderesDeCriatura_Adquiridos,Tablas!O1693)</f>
        <v>0</v>
      </c>
      <c r="S1693" s="184"/>
      <c r="T1693" s="1057"/>
    </row>
    <row r="1694" spans="1:20" ht="12.75" customHeight="1" x14ac:dyDescent="0.2">
      <c r="A1694" s="237">
        <v>1694</v>
      </c>
      <c r="B1694" s="5838"/>
      <c r="C1694" s="592"/>
      <c r="H1694"/>
      <c r="M1694" s="336"/>
      <c r="N1694" s="23"/>
      <c r="O1694" s="142" t="s">
        <v>8258</v>
      </c>
      <c r="P1694" s="1059">
        <v>30</v>
      </c>
      <c r="Q1694" s="184">
        <v>50</v>
      </c>
      <c r="R1694" s="1066">
        <f>COUNTIF(PoderesDeCriatura_Adquiridos,Tablas!O1694)</f>
        <v>0</v>
      </c>
      <c r="S1694" s="184"/>
      <c r="T1694" s="1057"/>
    </row>
    <row r="1695" spans="1:20" ht="12.75" customHeight="1" x14ac:dyDescent="0.2">
      <c r="A1695" s="237">
        <v>1695</v>
      </c>
      <c r="B1695" s="5838"/>
      <c r="C1695" s="592"/>
      <c r="H1695"/>
      <c r="M1695" s="336"/>
      <c r="N1695" s="23"/>
      <c r="O1695" s="142" t="s">
        <v>8259</v>
      </c>
      <c r="P1695" s="1059">
        <v>20</v>
      </c>
      <c r="Q1695" s="184">
        <v>-20</v>
      </c>
      <c r="R1695" s="1066">
        <f>COUNTIF(PoderesDeCriatura_Adquiridos,Tablas!O1695)</f>
        <v>0</v>
      </c>
      <c r="S1695" s="184"/>
      <c r="T1695" s="1057"/>
    </row>
    <row r="1696" spans="1:20" ht="12.75" customHeight="1" x14ac:dyDescent="0.2">
      <c r="A1696" s="237">
        <v>1696</v>
      </c>
      <c r="B1696" s="5838"/>
      <c r="C1696" s="592"/>
      <c r="H1696"/>
      <c r="M1696" s="336"/>
      <c r="N1696" s="23"/>
      <c r="O1696" s="142" t="s">
        <v>8260</v>
      </c>
      <c r="P1696" s="1059">
        <v>20</v>
      </c>
      <c r="Q1696" s="184">
        <v>-20</v>
      </c>
      <c r="R1696" s="1066">
        <f>COUNTIF(PoderesDeCriatura_Adquiridos,Tablas!O1696)</f>
        <v>0</v>
      </c>
      <c r="S1696" s="184"/>
      <c r="T1696" s="1057"/>
    </row>
    <row r="1697" spans="1:20" ht="12.75" customHeight="1" x14ac:dyDescent="0.2">
      <c r="A1697" s="237">
        <v>1697</v>
      </c>
      <c r="B1697" s="5838"/>
      <c r="C1697" s="592"/>
      <c r="H1697"/>
      <c r="M1697" s="336"/>
      <c r="N1697" s="23"/>
      <c r="O1697" s="1" t="s">
        <v>23</v>
      </c>
      <c r="P1697" s="1059"/>
      <c r="Q1697" s="184"/>
      <c r="R1697" s="1066"/>
      <c r="S1697" s="184"/>
      <c r="T1697" s="1057"/>
    </row>
    <row r="1698" spans="1:20" ht="12.75" customHeight="1" x14ac:dyDescent="0.2">
      <c r="A1698" s="237">
        <v>1698</v>
      </c>
      <c r="B1698" s="5838"/>
      <c r="C1698" s="592"/>
      <c r="H1698"/>
      <c r="M1698" s="336"/>
      <c r="N1698" s="23"/>
      <c r="O1698" s="142" t="s">
        <v>8243</v>
      </c>
      <c r="P1698" s="1059">
        <v>10</v>
      </c>
      <c r="Q1698" s="184">
        <v>20</v>
      </c>
      <c r="R1698" s="1066">
        <f>COUNTIF(PoderesDeCriatura_Adquiridos,Tablas!O1698)</f>
        <v>0</v>
      </c>
      <c r="S1698" s="184"/>
      <c r="T1698" s="1057"/>
    </row>
    <row r="1699" spans="1:20" ht="12.75" customHeight="1" x14ac:dyDescent="0.2">
      <c r="A1699" s="237">
        <v>1699</v>
      </c>
      <c r="B1699" s="5838"/>
      <c r="C1699" s="592"/>
      <c r="H1699"/>
      <c r="M1699" s="336"/>
      <c r="N1699" s="23"/>
      <c r="O1699" s="142" t="s">
        <v>8244</v>
      </c>
      <c r="P1699" s="1059">
        <v>20</v>
      </c>
      <c r="Q1699" s="184">
        <v>30</v>
      </c>
      <c r="R1699" s="1066">
        <f>COUNTIF(PoderesDeCriatura_Adquiridos,Tablas!O1699)</f>
        <v>0</v>
      </c>
      <c r="S1699" s="184"/>
      <c r="T1699" s="1057"/>
    </row>
    <row r="1700" spans="1:20" ht="12.75" customHeight="1" x14ac:dyDescent="0.2">
      <c r="A1700" s="237">
        <v>1700</v>
      </c>
      <c r="B1700" s="5838"/>
      <c r="C1700" s="592"/>
      <c r="H1700"/>
      <c r="M1700" s="336"/>
      <c r="N1700" s="23"/>
      <c r="O1700" s="142" t="s">
        <v>8245</v>
      </c>
      <c r="P1700" s="1059">
        <v>25</v>
      </c>
      <c r="Q1700" s="184">
        <v>40</v>
      </c>
      <c r="R1700" s="1066">
        <f>COUNTIF(PoderesDeCriatura_Adquiridos,Tablas!O1700)</f>
        <v>0</v>
      </c>
      <c r="S1700" s="184"/>
      <c r="T1700" s="1057"/>
    </row>
    <row r="1701" spans="1:20" ht="12.75" customHeight="1" x14ac:dyDescent="0.2">
      <c r="A1701" s="237">
        <v>1701</v>
      </c>
      <c r="B1701" s="5838"/>
      <c r="C1701" s="592"/>
      <c r="H1701"/>
      <c r="M1701" s="336"/>
      <c r="N1701" s="23"/>
      <c r="O1701" s="142" t="s">
        <v>8246</v>
      </c>
      <c r="P1701" s="1059">
        <v>30</v>
      </c>
      <c r="Q1701" s="184">
        <v>60</v>
      </c>
      <c r="R1701" s="1066">
        <f>COUNTIF(PoderesDeCriatura_Adquiridos,Tablas!O1701)</f>
        <v>0</v>
      </c>
      <c r="S1701" s="184"/>
      <c r="T1701" s="1057"/>
    </row>
    <row r="1702" spans="1:20" ht="12.75" customHeight="1" x14ac:dyDescent="0.2">
      <c r="A1702" s="237">
        <v>1702</v>
      </c>
      <c r="B1702" s="5838"/>
      <c r="C1702" s="592"/>
      <c r="H1702"/>
      <c r="M1702" s="336"/>
      <c r="N1702" s="23"/>
      <c r="O1702" s="142" t="s">
        <v>8247</v>
      </c>
      <c r="P1702" s="1059">
        <v>35</v>
      </c>
      <c r="Q1702" s="184">
        <v>80</v>
      </c>
      <c r="R1702" s="1066">
        <f>COUNTIF(PoderesDeCriatura_Adquiridos,Tablas!O1702)</f>
        <v>0</v>
      </c>
      <c r="S1702" s="184"/>
      <c r="T1702" s="1057"/>
    </row>
    <row r="1703" spans="1:20" ht="12.75" customHeight="1" x14ac:dyDescent="0.2">
      <c r="A1703" s="237">
        <v>1703</v>
      </c>
      <c r="B1703" s="5838"/>
      <c r="C1703" s="592"/>
      <c r="H1703"/>
      <c r="M1703" s="336"/>
      <c r="N1703" s="23"/>
      <c r="O1703" s="142" t="s">
        <v>8248</v>
      </c>
      <c r="P1703" s="1059">
        <v>10</v>
      </c>
      <c r="Q1703" s="184">
        <v>-20</v>
      </c>
      <c r="R1703" s="1066">
        <f>COUNTIF(PoderesDeCriatura_Adquiridos,Tablas!O1703)</f>
        <v>0</v>
      </c>
      <c r="S1703" s="184"/>
      <c r="T1703" s="1057"/>
    </row>
    <row r="1704" spans="1:20" ht="12.75" customHeight="1" x14ac:dyDescent="0.2">
      <c r="A1704" s="237">
        <v>1704</v>
      </c>
      <c r="B1704" s="5838"/>
      <c r="C1704" s="592"/>
      <c r="H1704"/>
      <c r="M1704" s="336"/>
      <c r="N1704" s="23"/>
      <c r="O1704" s="142" t="s">
        <v>8249</v>
      </c>
      <c r="P1704" s="1059">
        <v>30</v>
      </c>
      <c r="Q1704" s="184">
        <v>100</v>
      </c>
      <c r="R1704" s="1066">
        <f>COUNTIF(PoderesDeCriatura_Adquiridos,Tablas!O1704)</f>
        <v>0</v>
      </c>
      <c r="S1704" s="184"/>
      <c r="T1704" s="1057"/>
    </row>
    <row r="1705" spans="1:20" ht="12.75" customHeight="1" x14ac:dyDescent="0.2">
      <c r="A1705" s="237">
        <v>1705</v>
      </c>
      <c r="B1705" s="5838"/>
      <c r="C1705" s="592"/>
      <c r="H1705"/>
      <c r="M1705" s="336"/>
      <c r="N1705" s="23"/>
      <c r="O1705" s="142" t="s">
        <v>8250</v>
      </c>
      <c r="P1705" s="1059">
        <v>35</v>
      </c>
      <c r="Q1705" s="184">
        <v>150</v>
      </c>
      <c r="R1705" s="1066">
        <f>COUNTIF(PoderesDeCriatura_Adquiridos,Tablas!O1705)</f>
        <v>0</v>
      </c>
      <c r="S1705" s="184"/>
      <c r="T1705" s="1057"/>
    </row>
    <row r="1706" spans="1:20" ht="12.75" customHeight="1" x14ac:dyDescent="0.2">
      <c r="A1706" s="237">
        <v>1706</v>
      </c>
      <c r="B1706" s="5838"/>
      <c r="C1706" s="592"/>
      <c r="H1706"/>
      <c r="M1706" s="336"/>
      <c r="N1706" s="23"/>
      <c r="O1706" s="1" t="s">
        <v>24</v>
      </c>
      <c r="P1706" s="1059">
        <v>30</v>
      </c>
      <c r="Q1706" s="184">
        <v>150</v>
      </c>
      <c r="R1706" s="1066">
        <f>COUNTIF(PoderesDeCriatura_Adquiridos,Tablas!O1706)</f>
        <v>0</v>
      </c>
      <c r="S1706" s="184"/>
      <c r="T1706" s="1057"/>
    </row>
    <row r="1707" spans="1:20" ht="12.75" customHeight="1" x14ac:dyDescent="0.2">
      <c r="A1707" s="237">
        <v>1707</v>
      </c>
      <c r="B1707" s="5838"/>
      <c r="C1707" s="592"/>
      <c r="H1707"/>
      <c r="M1707" s="336"/>
      <c r="N1707" s="23"/>
      <c r="O1707" s="142" t="s">
        <v>25</v>
      </c>
      <c r="P1707" s="1059"/>
      <c r="Q1707" s="184"/>
      <c r="R1707" s="1066"/>
      <c r="S1707" s="184"/>
      <c r="T1707" s="1057"/>
    </row>
    <row r="1708" spans="1:20" ht="12.75" customHeight="1" x14ac:dyDescent="0.2">
      <c r="A1708" s="237">
        <v>1708</v>
      </c>
      <c r="B1708" s="5838"/>
      <c r="C1708" s="592"/>
      <c r="H1708"/>
      <c r="M1708" s="336"/>
      <c r="N1708" s="23"/>
      <c r="O1708" s="1" t="s">
        <v>26</v>
      </c>
      <c r="P1708" s="1059">
        <v>35</v>
      </c>
      <c r="Q1708" s="184">
        <v>40</v>
      </c>
      <c r="R1708" s="1066">
        <f>COUNTIF(PoderesDeCriatura_Adquiridos,Tablas!O1708)</f>
        <v>0</v>
      </c>
      <c r="S1708" s="184"/>
      <c r="T1708" s="1057"/>
    </row>
    <row r="1709" spans="1:20" ht="12.75" customHeight="1" x14ac:dyDescent="0.2">
      <c r="A1709" s="237">
        <v>1709</v>
      </c>
      <c r="B1709" s="5838"/>
      <c r="C1709" s="592"/>
      <c r="H1709"/>
      <c r="M1709" s="336"/>
      <c r="N1709" s="23"/>
      <c r="O1709" s="142" t="s">
        <v>8251</v>
      </c>
      <c r="P1709" s="1059">
        <v>35</v>
      </c>
      <c r="Q1709" s="184">
        <v>40</v>
      </c>
      <c r="R1709" s="1066">
        <f>COUNTIF(PoderesDeCriatura_Adquiridos,Tablas!O1709)</f>
        <v>0</v>
      </c>
      <c r="S1709" s="184"/>
      <c r="T1709" s="1057"/>
    </row>
    <row r="1710" spans="1:20" ht="12.75" customHeight="1" x14ac:dyDescent="0.2">
      <c r="A1710" s="237">
        <v>1710</v>
      </c>
      <c r="B1710" s="5838"/>
      <c r="C1710" s="592"/>
      <c r="H1710"/>
      <c r="M1710" s="336"/>
      <c r="N1710" s="23"/>
      <c r="O1710" s="142" t="s">
        <v>8252</v>
      </c>
      <c r="P1710" s="1059">
        <v>40</v>
      </c>
      <c r="Q1710" s="184">
        <v>60</v>
      </c>
      <c r="R1710" s="1066">
        <f>COUNTIF(PoderesDeCriatura_Adquiridos,Tablas!O1710)</f>
        <v>0</v>
      </c>
      <c r="S1710" s="184">
        <f>IF(R1709,15,IF(R1710,20,0))</f>
        <v>0</v>
      </c>
      <c r="T1710" s="1057" t="s">
        <v>1967</v>
      </c>
    </row>
    <row r="1711" spans="1:20" ht="12.75" customHeight="1" x14ac:dyDescent="0.2">
      <c r="A1711" s="237">
        <v>1711</v>
      </c>
      <c r="B1711" s="5838"/>
      <c r="C1711" s="592"/>
      <c r="H1711"/>
      <c r="M1711" s="336"/>
      <c r="N1711" s="23"/>
      <c r="O1711" s="142" t="s">
        <v>8253</v>
      </c>
      <c r="P1711" s="1059">
        <v>35</v>
      </c>
      <c r="Q1711" s="184">
        <v>40</v>
      </c>
      <c r="R1711" s="1066">
        <f>COUNTIF(PoderesDeCriatura_Adquiridos,Tablas!O1711)</f>
        <v>0</v>
      </c>
      <c r="S1711" s="184"/>
      <c r="T1711" s="1057"/>
    </row>
    <row r="1712" spans="1:20" ht="12.75" customHeight="1" x14ac:dyDescent="0.2">
      <c r="A1712" s="237">
        <v>1712</v>
      </c>
      <c r="B1712" s="5838"/>
      <c r="H1712"/>
      <c r="M1712" s="336"/>
      <c r="N1712" s="23"/>
      <c r="O1712" s="142" t="s">
        <v>8254</v>
      </c>
      <c r="P1712" s="1059">
        <v>35</v>
      </c>
      <c r="Q1712" s="184">
        <v>40</v>
      </c>
      <c r="R1712" s="1066">
        <f>COUNTIF(PoderesDeCriatura_Adquiridos,Tablas!O1712)</f>
        <v>0</v>
      </c>
      <c r="S1712" s="184"/>
      <c r="T1712" s="1057"/>
    </row>
    <row r="1713" spans="1:25" ht="12.75" customHeight="1" x14ac:dyDescent="0.2">
      <c r="A1713" s="237">
        <v>1713</v>
      </c>
      <c r="B1713" s="5838"/>
      <c r="H1713"/>
      <c r="M1713" s="336"/>
      <c r="N1713" s="23"/>
      <c r="O1713" s="142" t="s">
        <v>8255</v>
      </c>
      <c r="P1713" s="1059">
        <v>40</v>
      </c>
      <c r="Q1713" s="184">
        <v>20</v>
      </c>
      <c r="R1713" s="1066">
        <f>COUNTIF(PoderesDeCriatura_Adquiridos,Tablas!O1713)</f>
        <v>0</v>
      </c>
      <c r="S1713" s="184"/>
      <c r="T1713" s="1057"/>
    </row>
    <row r="1714" spans="1:25" ht="12.75" customHeight="1" x14ac:dyDescent="0.2">
      <c r="A1714" s="237">
        <v>1714</v>
      </c>
      <c r="B1714" s="5838"/>
      <c r="H1714"/>
      <c r="M1714" s="336"/>
      <c r="N1714" s="23"/>
      <c r="O1714" s="1" t="s">
        <v>27</v>
      </c>
      <c r="P1714" s="1059">
        <v>35</v>
      </c>
      <c r="Q1714" s="184">
        <v>50</v>
      </c>
      <c r="R1714" s="1066">
        <f>COUNTIF(PoderesDeCriatura_Adquiridos,Tablas!O1714)</f>
        <v>0</v>
      </c>
      <c r="S1714" s="184"/>
      <c r="T1714" s="1057"/>
    </row>
    <row r="1715" spans="1:25" ht="12.75" customHeight="1" x14ac:dyDescent="0.2">
      <c r="A1715" s="237">
        <v>1715</v>
      </c>
      <c r="B1715" s="5838"/>
      <c r="H1715"/>
      <c r="M1715" s="336"/>
      <c r="N1715" s="23"/>
      <c r="O1715" s="1" t="s">
        <v>28</v>
      </c>
      <c r="P1715" s="1059">
        <v>30</v>
      </c>
      <c r="Q1715" s="184">
        <v>40</v>
      </c>
      <c r="R1715" s="1066">
        <f>COUNTIF(PoderesDeCriatura_Adquiridos,Tablas!O1715)</f>
        <v>0</v>
      </c>
      <c r="S1715" s="184"/>
      <c r="T1715" s="1057"/>
    </row>
    <row r="1716" spans="1:25" ht="12.75" customHeight="1" x14ac:dyDescent="0.2">
      <c r="A1716" s="237">
        <v>1716</v>
      </c>
      <c r="B1716" s="5838"/>
      <c r="H1716"/>
      <c r="M1716" s="336"/>
      <c r="N1716" s="23"/>
      <c r="O1716" s="1" t="s">
        <v>29</v>
      </c>
      <c r="P1716" s="1059"/>
      <c r="Q1716" s="184"/>
      <c r="R1716" s="1066"/>
      <c r="S1716" s="184"/>
      <c r="T1716" s="1057"/>
    </row>
    <row r="1717" spans="1:25" ht="12.75" customHeight="1" x14ac:dyDescent="0.2">
      <c r="A1717" s="237">
        <v>1717</v>
      </c>
      <c r="B1717" s="5838"/>
      <c r="H1717"/>
      <c r="M1717" s="336"/>
      <c r="N1717" s="23"/>
      <c r="O1717" s="1" t="str">
        <f>IF(Personalización!I33=0,"Poder #1",Personalización!I33)</f>
        <v>Poder #1</v>
      </c>
      <c r="P1717" s="1059">
        <f>Personalización!P33</f>
        <v>0</v>
      </c>
      <c r="Q1717" s="184">
        <f>Personalización!Q33</f>
        <v>0</v>
      </c>
      <c r="R1717" s="1066">
        <f>COUNTIF(PoderesDeCriatura_Adquiridos,Tablas!O1717)</f>
        <v>0</v>
      </c>
      <c r="S1717" s="184"/>
      <c r="T1717" s="1057"/>
    </row>
    <row r="1718" spans="1:25" ht="12.75" customHeight="1" x14ac:dyDescent="0.2">
      <c r="A1718" s="237">
        <v>1718</v>
      </c>
      <c r="B1718" s="5838"/>
      <c r="H1718"/>
      <c r="M1718" s="336"/>
      <c r="N1718" s="23"/>
      <c r="O1718" s="1" t="str">
        <f>IF(Personalización!I34=0,"Poder #2",Personalización!I34)</f>
        <v>Poder #2</v>
      </c>
      <c r="P1718" s="1059">
        <f>Personalización!P34</f>
        <v>0</v>
      </c>
      <c r="Q1718" s="184">
        <f>Personalización!Q34</f>
        <v>0</v>
      </c>
      <c r="R1718" s="1066">
        <f>COUNTIF(PoderesDeCriatura_Adquiridos,Tablas!O1718)</f>
        <v>0</v>
      </c>
      <c r="S1718" s="184"/>
      <c r="T1718" s="1057"/>
    </row>
    <row r="1719" spans="1:25" ht="12.75" customHeight="1" x14ac:dyDescent="0.2">
      <c r="A1719" s="237">
        <v>1719</v>
      </c>
      <c r="B1719" s="5838"/>
      <c r="H1719"/>
      <c r="M1719" s="336"/>
      <c r="N1719" s="23"/>
      <c r="O1719" s="1" t="str">
        <f>IF(Personalización!I35=0,"Poder #3",Personalización!I35)</f>
        <v>Poder #3</v>
      </c>
      <c r="P1719" s="1059">
        <f>Personalización!P35</f>
        <v>0</v>
      </c>
      <c r="Q1719" s="184">
        <f>Personalización!Q35</f>
        <v>0</v>
      </c>
      <c r="R1719" s="1066">
        <f>COUNTIF(PoderesDeCriatura_Adquiridos,Tablas!O1719)</f>
        <v>0</v>
      </c>
      <c r="S1719" s="184"/>
      <c r="T1719" s="1057"/>
    </row>
    <row r="1720" spans="1:25" ht="12.75" customHeight="1" x14ac:dyDescent="0.2">
      <c r="A1720" s="237">
        <v>1720</v>
      </c>
      <c r="B1720" s="5838"/>
      <c r="H1720"/>
      <c r="M1720" s="336"/>
      <c r="N1720" s="23"/>
      <c r="O1720" s="1" t="str">
        <f>IF(Personalización!I36=0,"Poder #4",Personalización!I36)</f>
        <v>Poder #4</v>
      </c>
      <c r="P1720" s="1059">
        <f>Personalización!P36</f>
        <v>0</v>
      </c>
      <c r="Q1720" s="184">
        <f>Personalización!Q36</f>
        <v>0</v>
      </c>
      <c r="R1720" s="1066">
        <f>COUNTIF(PoderesDeCriatura_Adquiridos,Tablas!O1720)</f>
        <v>0</v>
      </c>
      <c r="S1720" s="184"/>
      <c r="T1720" s="1057"/>
    </row>
    <row r="1721" spans="1:25" ht="12.75" customHeight="1" x14ac:dyDescent="0.2">
      <c r="A1721" s="237">
        <v>1721</v>
      </c>
      <c r="B1721" s="5838"/>
      <c r="H1721"/>
      <c r="M1721" s="336"/>
      <c r="N1721" s="23"/>
      <c r="O1721" s="1" t="str">
        <f>IF(Personalización!I37=0,"Poder #5",Personalización!I37)</f>
        <v>Poder #5</v>
      </c>
      <c r="P1721" s="1059">
        <f>Personalización!P37</f>
        <v>0</v>
      </c>
      <c r="Q1721" s="184">
        <f>Personalización!Q37</f>
        <v>0</v>
      </c>
      <c r="R1721" s="1066">
        <f>COUNTIF(PoderesDeCriatura_Adquiridos,Tablas!O1721)</f>
        <v>0</v>
      </c>
      <c r="S1721" s="184"/>
      <c r="T1721" s="1057"/>
    </row>
    <row r="1722" spans="1:25" ht="12.75" customHeight="1" x14ac:dyDescent="0.2">
      <c r="A1722" s="237">
        <v>1722</v>
      </c>
      <c r="B1722" s="5838"/>
      <c r="H1722"/>
      <c r="M1722" s="336"/>
      <c r="N1722" s="23"/>
      <c r="O1722" s="1" t="str">
        <f>IF(Personalización!I38=0,"Poder #6",Personalización!I38)</f>
        <v>Poder #6</v>
      </c>
      <c r="P1722" s="1059">
        <f>Personalización!P38</f>
        <v>0</v>
      </c>
      <c r="Q1722" s="184">
        <f>Personalización!Q38</f>
        <v>0</v>
      </c>
      <c r="R1722" s="1066">
        <f>COUNTIF(PoderesDeCriatura_Adquiridos,Tablas!O1722)</f>
        <v>0</v>
      </c>
      <c r="S1722" s="184"/>
      <c r="T1722" s="1057"/>
    </row>
    <row r="1723" spans="1:25" ht="12.75" customHeight="1" x14ac:dyDescent="0.2">
      <c r="A1723" s="237">
        <v>1723</v>
      </c>
      <c r="B1723" s="5838"/>
      <c r="H1723"/>
      <c r="M1723" s="336"/>
      <c r="N1723" s="23"/>
      <c r="O1723" s="1" t="str">
        <f>IF(Personalización!I39=0,"Poder #7",Personalización!I39)</f>
        <v>Poder #7</v>
      </c>
      <c r="P1723" s="1059">
        <f>Personalización!P39</f>
        <v>0</v>
      </c>
      <c r="Q1723" s="184">
        <f>Personalización!Q39</f>
        <v>0</v>
      </c>
      <c r="R1723" s="1066">
        <f>COUNTIF(PoderesDeCriatura_Adquiridos,Tablas!O1723)</f>
        <v>0</v>
      </c>
      <c r="S1723" s="184"/>
      <c r="T1723" s="1057"/>
    </row>
    <row r="1724" spans="1:25" ht="12.75" customHeight="1" x14ac:dyDescent="0.2">
      <c r="A1724" s="237">
        <v>1724</v>
      </c>
      <c r="B1724" s="5838"/>
      <c r="H1724"/>
      <c r="M1724" s="336"/>
      <c r="N1724" s="23"/>
      <c r="O1724" s="1" t="str">
        <f>IF(Personalización!I40=0,"Poder #8",Personalización!I40)</f>
        <v>Poder #8</v>
      </c>
      <c r="P1724" s="1059">
        <f>Personalización!P40</f>
        <v>0</v>
      </c>
      <c r="Q1724" s="184">
        <f>Personalización!Q40</f>
        <v>0</v>
      </c>
      <c r="R1724" s="1066">
        <f>COUNTIF(PoderesDeCriatura_Adquiridos,Tablas!O1724)</f>
        <v>0</v>
      </c>
      <c r="S1724" s="184"/>
      <c r="T1724" s="1057"/>
    </row>
    <row r="1725" spans="1:25" ht="12.75" customHeight="1" x14ac:dyDescent="0.2">
      <c r="A1725" s="237">
        <v>1725</v>
      </c>
      <c r="B1725" s="5838"/>
      <c r="H1725"/>
      <c r="M1725" s="336"/>
      <c r="N1725" s="23"/>
      <c r="O1725" s="1" t="str">
        <f>IF(Personalización!I41=0,"Poder #9",Personalización!I41)</f>
        <v>Poder #9</v>
      </c>
      <c r="P1725" s="1059">
        <f>Personalización!P41</f>
        <v>0</v>
      </c>
      <c r="Q1725" s="184">
        <f>Personalización!Q41</f>
        <v>0</v>
      </c>
      <c r="R1725" s="1066">
        <f>COUNTIF(PoderesDeCriatura_Adquiridos,Tablas!O1725)</f>
        <v>0</v>
      </c>
      <c r="S1725" s="184"/>
      <c r="T1725" s="1057"/>
    </row>
    <row r="1726" spans="1:25" ht="12.75" customHeight="1" thickBot="1" x14ac:dyDescent="0.25">
      <c r="A1726" s="237">
        <v>1726</v>
      </c>
      <c r="B1726" s="5838"/>
      <c r="H1726"/>
      <c r="M1726" s="703"/>
      <c r="N1726" s="610"/>
      <c r="O1726" s="1073" t="str">
        <f>IF(Personalización!I42=0,"Poder #10",Personalización!I42)</f>
        <v>Poder #10</v>
      </c>
      <c r="P1726" s="1060">
        <f>Personalización!P42</f>
        <v>0</v>
      </c>
      <c r="Q1726" s="864">
        <f>Personalización!Q42</f>
        <v>0</v>
      </c>
      <c r="R1726" s="1067">
        <f>COUNTIF(PoderesDeCriatura_Adquiridos,Tablas!O1726)</f>
        <v>0</v>
      </c>
      <c r="S1726" s="864"/>
      <c r="T1726" s="1058"/>
    </row>
    <row r="1727" spans="1:25" ht="12.75" customHeight="1" x14ac:dyDescent="0.2">
      <c r="A1727" s="237">
        <v>1727</v>
      </c>
      <c r="B1727" s="5838"/>
      <c r="H1727"/>
      <c r="I1727" s="592"/>
      <c r="N1727"/>
      <c r="O1727" s="592"/>
    </row>
    <row r="1728" spans="1:25" ht="12.75" customHeight="1" x14ac:dyDescent="0.2">
      <c r="A1728" s="237">
        <v>1728</v>
      </c>
      <c r="B1728" s="5838"/>
      <c r="C1728" s="5812" t="s">
        <v>7509</v>
      </c>
      <c r="D1728" s="5812"/>
      <c r="E1728" s="5812"/>
      <c r="F1728" s="5812"/>
      <c r="G1728" s="5812"/>
      <c r="H1728" s="5812"/>
      <c r="I1728" s="5812"/>
      <c r="J1728" s="5812"/>
      <c r="K1728" s="5812"/>
      <c r="L1728" s="5812"/>
      <c r="M1728" s="5812"/>
      <c r="N1728" s="5812"/>
      <c r="O1728" s="5812"/>
      <c r="P1728" s="5812"/>
      <c r="Q1728" s="5812"/>
      <c r="R1728" s="5812"/>
      <c r="S1728" s="5812"/>
      <c r="T1728" s="5812"/>
      <c r="U1728" s="5812"/>
      <c r="V1728" s="5812"/>
      <c r="W1728" s="5812"/>
      <c r="X1728" s="5812"/>
      <c r="Y1728" s="5812"/>
    </row>
    <row r="1729" spans="1:25" ht="12.75" customHeight="1" x14ac:dyDescent="0.2">
      <c r="A1729" s="237">
        <v>1729</v>
      </c>
      <c r="B1729" s="5838"/>
      <c r="C1729" s="5812"/>
      <c r="D1729" s="5812"/>
      <c r="E1729" s="5812"/>
      <c r="F1729" s="5812"/>
      <c r="G1729" s="5812"/>
      <c r="H1729" s="5812"/>
      <c r="I1729" s="5812"/>
      <c r="J1729" s="5812"/>
      <c r="K1729" s="5812"/>
      <c r="L1729" s="5812"/>
      <c r="M1729" s="5812"/>
      <c r="N1729" s="5812"/>
      <c r="O1729" s="5812"/>
      <c r="P1729" s="5812"/>
      <c r="Q1729" s="5812"/>
      <c r="R1729" s="5812"/>
      <c r="S1729" s="5812"/>
      <c r="T1729" s="5812"/>
      <c r="U1729" s="5812"/>
      <c r="V1729" s="5812"/>
      <c r="W1729" s="5812"/>
      <c r="X1729" s="5812"/>
      <c r="Y1729" s="5812"/>
    </row>
    <row r="1730" spans="1:25" ht="12.75" customHeight="1" x14ac:dyDescent="0.2">
      <c r="A1730" s="237">
        <v>1730</v>
      </c>
      <c r="B1730" s="5838"/>
      <c r="C1730" s="5812"/>
      <c r="D1730" s="5812"/>
      <c r="E1730" s="5812"/>
      <c r="F1730" s="5812"/>
      <c r="G1730" s="5812"/>
      <c r="H1730" s="5812"/>
      <c r="I1730" s="5812"/>
      <c r="J1730" s="5812"/>
      <c r="K1730" s="5812"/>
      <c r="L1730" s="5812"/>
      <c r="M1730" s="5812"/>
      <c r="N1730" s="5812"/>
      <c r="O1730" s="5812"/>
      <c r="P1730" s="5812"/>
      <c r="Q1730" s="5812"/>
      <c r="R1730" s="5812"/>
      <c r="S1730" s="5812"/>
      <c r="T1730" s="5812"/>
      <c r="U1730" s="5812"/>
      <c r="V1730" s="5812"/>
      <c r="W1730" s="5812"/>
      <c r="X1730" s="5812"/>
      <c r="Y1730" s="5812"/>
    </row>
    <row r="1731" spans="1:25" ht="12.75" customHeight="1" thickBot="1" x14ac:dyDescent="0.25">
      <c r="A1731" s="237">
        <v>1731</v>
      </c>
      <c r="B1731" s="5838"/>
      <c r="H1731"/>
      <c r="I1731" s="592"/>
      <c r="N1731"/>
      <c r="O1731" s="592"/>
    </row>
    <row r="1732" spans="1:25" ht="12.75" customHeight="1" x14ac:dyDescent="0.2">
      <c r="A1732" s="237">
        <v>1732</v>
      </c>
      <c r="B1732" s="5838"/>
      <c r="C1732" s="5787" t="s">
        <v>6498</v>
      </c>
      <c r="D1732" s="5791"/>
      <c r="E1732" s="5787" t="s">
        <v>1824</v>
      </c>
      <c r="F1732" s="5788"/>
      <c r="G1732" s="5788"/>
      <c r="H1732" s="5788"/>
      <c r="I1732" s="5788"/>
      <c r="J1732" s="5788"/>
      <c r="K1732" s="5788"/>
      <c r="L1732" s="5788"/>
      <c r="M1732" s="5788"/>
      <c r="N1732" s="5788"/>
      <c r="O1732" s="1021"/>
      <c r="P1732" s="1021"/>
      <c r="Q1732" s="1023"/>
      <c r="R1732" s="1022"/>
      <c r="T1732" s="6047" t="s">
        <v>7497</v>
      </c>
      <c r="U1732" s="6048"/>
      <c r="V1732" s="6048"/>
      <c r="W1732" s="6048"/>
      <c r="X1732" s="6048"/>
      <c r="Y1732" s="6049"/>
    </row>
    <row r="1733" spans="1:25" ht="12.75" customHeight="1" x14ac:dyDescent="0.2">
      <c r="A1733" s="237">
        <v>1733</v>
      </c>
      <c r="B1733" s="5838"/>
      <c r="C1733" s="5789"/>
      <c r="D1733" s="5792"/>
      <c r="E1733" s="5789"/>
      <c r="F1733" s="5790"/>
      <c r="G1733" s="5790"/>
      <c r="H1733" s="5790"/>
      <c r="I1733" s="5790"/>
      <c r="J1733" s="5790"/>
      <c r="K1733" s="5790"/>
      <c r="L1733" s="5790"/>
      <c r="M1733" s="5790"/>
      <c r="N1733" s="5790"/>
      <c r="O1733" s="5763" t="s">
        <v>7493</v>
      </c>
      <c r="P1733" s="6020">
        <f>COUNTIF(J1736:J1928,"&gt;0")</f>
        <v>0</v>
      </c>
      <c r="Q1733" s="1024"/>
      <c r="R1733" s="628"/>
      <c r="T1733" s="6050"/>
      <c r="U1733" s="6051"/>
      <c r="V1733" s="6051"/>
      <c r="W1733" s="6051"/>
      <c r="X1733" s="6051"/>
      <c r="Y1733" s="6052"/>
    </row>
    <row r="1734" spans="1:25" ht="12.75" customHeight="1" x14ac:dyDescent="0.2">
      <c r="A1734" s="237">
        <v>1734</v>
      </c>
      <c r="B1734" s="5838"/>
      <c r="C1734" s="649" t="s">
        <v>6499</v>
      </c>
      <c r="D1734" s="624"/>
      <c r="E1734" s="1025"/>
      <c r="F1734" s="1020" t="s">
        <v>7494</v>
      </c>
      <c r="G1734" s="627">
        <v>3</v>
      </c>
      <c r="H1734" s="627">
        <v>4</v>
      </c>
      <c r="I1734" s="627">
        <v>5</v>
      </c>
      <c r="J1734" s="627">
        <v>6</v>
      </c>
      <c r="K1734" s="627">
        <v>7</v>
      </c>
      <c r="L1734" s="627">
        <v>8</v>
      </c>
      <c r="M1734" s="627">
        <v>9</v>
      </c>
      <c r="N1734" s="627">
        <v>10</v>
      </c>
      <c r="O1734" s="5763"/>
      <c r="P1734" s="6020"/>
      <c r="Q1734" s="1024">
        <v>13</v>
      </c>
      <c r="R1734" s="628">
        <v>14</v>
      </c>
      <c r="T1734" s="6046" t="s">
        <v>7495</v>
      </c>
      <c r="U1734" s="6045"/>
      <c r="V1734" s="6045" t="s">
        <v>7496</v>
      </c>
      <c r="W1734" s="6045"/>
      <c r="X1734" s="6045" t="s">
        <v>1210</v>
      </c>
      <c r="Y1734" s="6053"/>
    </row>
    <row r="1735" spans="1:25" ht="12.75" customHeight="1" x14ac:dyDescent="0.2">
      <c r="A1735" s="237">
        <v>1735</v>
      </c>
      <c r="B1735" s="5838"/>
      <c r="C1735" s="649" t="s">
        <v>6500</v>
      </c>
      <c r="D1735" s="624"/>
      <c r="E1735" s="1026" t="s">
        <v>6499</v>
      </c>
      <c r="F1735" s="1465">
        <f>IF(Elan!$C$11=Tablas!$E1735,Elan!$G$11,IF(Elan!$U$11=Tablas!$E1735,Elan!$Y$11,0))</f>
        <v>0</v>
      </c>
      <c r="G1735" s="1019" t="s">
        <v>1824</v>
      </c>
      <c r="H1735" s="1019" t="s">
        <v>8507</v>
      </c>
      <c r="I1735" s="1019" t="s">
        <v>1493</v>
      </c>
      <c r="J1735" s="1019" t="s">
        <v>6512</v>
      </c>
      <c r="K1735" s="1019" t="s">
        <v>7268</v>
      </c>
      <c r="L1735" s="1019" t="s">
        <v>1553</v>
      </c>
      <c r="M1735" s="627"/>
      <c r="N1735" s="627"/>
      <c r="O1735" s="627"/>
      <c r="P1735" s="627"/>
      <c r="Q1735" s="1024"/>
      <c r="R1735" s="763" t="s">
        <v>2665</v>
      </c>
      <c r="T1735" s="1152" t="s">
        <v>6499</v>
      </c>
      <c r="U1735" s="1153">
        <v>2</v>
      </c>
      <c r="V1735" s="1153">
        <v>3</v>
      </c>
      <c r="W1735" s="1153">
        <v>4</v>
      </c>
      <c r="X1735" s="1153">
        <v>5</v>
      </c>
      <c r="Y1735" s="1353">
        <v>6</v>
      </c>
    </row>
    <row r="1736" spans="1:25" ht="12.75" customHeight="1" x14ac:dyDescent="0.2">
      <c r="A1736" s="237">
        <v>1736</v>
      </c>
      <c r="B1736" s="5838"/>
      <c r="C1736" s="649" t="s">
        <v>6501</v>
      </c>
      <c r="D1736" s="624"/>
      <c r="E1736" s="1027" t="s">
        <v>6513</v>
      </c>
      <c r="F1736" s="626"/>
      <c r="G1736" s="626">
        <v>10</v>
      </c>
      <c r="H1736" s="626">
        <v>1</v>
      </c>
      <c r="I1736" s="626">
        <v>5</v>
      </c>
      <c r="J1736" s="626">
        <f>COUNTIF(Elan!$C$13:$F$25,Tablas!E1736)+COUNTIF(Elan!$U$13:$X$25,Tablas!E1736)</f>
        <v>0</v>
      </c>
      <c r="K1736" s="626"/>
      <c r="L1736" s="5793" t="s">
        <v>6704</v>
      </c>
      <c r="M1736" s="5793"/>
      <c r="N1736" s="5793"/>
      <c r="O1736" s="5793"/>
      <c r="P1736" s="5793"/>
      <c r="Q1736" s="5794"/>
      <c r="R1736" s="1030">
        <f>IF(OR($J1736=0,$J1736="Aprendida"),0,SUM($J$1736:$J1736))</f>
        <v>0</v>
      </c>
      <c r="T1736" s="1154" t="s">
        <v>6705</v>
      </c>
      <c r="U1736" s="1155">
        <v>1</v>
      </c>
      <c r="V1736" s="1156" t="s">
        <v>6706</v>
      </c>
      <c r="W1736" s="1155">
        <v>1</v>
      </c>
      <c r="X1736" s="1155" t="s">
        <v>6707</v>
      </c>
      <c r="Y1736" s="1354">
        <v>-5</v>
      </c>
    </row>
    <row r="1737" spans="1:25" ht="12.75" customHeight="1" x14ac:dyDescent="0.2">
      <c r="A1737" s="237">
        <v>1737</v>
      </c>
      <c r="B1737" s="5838"/>
      <c r="C1737" s="649" t="s">
        <v>6502</v>
      </c>
      <c r="D1737" s="624"/>
      <c r="E1737" s="1027" t="s">
        <v>6514</v>
      </c>
      <c r="F1737" s="626"/>
      <c r="G1737" s="626">
        <v>20</v>
      </c>
      <c r="H1737" s="626">
        <v>1</v>
      </c>
      <c r="I1737" s="626">
        <v>10</v>
      </c>
      <c r="J1737" s="626">
        <f>COUNTIF(Elan!$C$13:$F$25,Tablas!E1737)+COUNTIF(Elan!$U$13:$X$25,Tablas!E1737)</f>
        <v>0</v>
      </c>
      <c r="K1737" s="626"/>
      <c r="L1737" s="5793" t="s">
        <v>6708</v>
      </c>
      <c r="M1737" s="5793"/>
      <c r="N1737" s="5793"/>
      <c r="O1737" s="5793"/>
      <c r="P1737" s="5793"/>
      <c r="Q1737" s="5794"/>
      <c r="R1737" s="1030">
        <f>IF(OR($J1737=0,$J1737="Aprendida"),0,SUM($J$1736:$J1737))</f>
        <v>0</v>
      </c>
      <c r="T1737" s="1154" t="s">
        <v>6709</v>
      </c>
      <c r="U1737" s="1155">
        <v>5</v>
      </c>
      <c r="V1737" s="1156" t="s">
        <v>6710</v>
      </c>
      <c r="W1737" s="1155">
        <v>3</v>
      </c>
      <c r="X1737" s="1155" t="s">
        <v>6711</v>
      </c>
      <c r="Y1737" s="1354">
        <v>-3</v>
      </c>
    </row>
    <row r="1738" spans="1:25" ht="12.75" customHeight="1" x14ac:dyDescent="0.2">
      <c r="A1738" s="237">
        <v>1738</v>
      </c>
      <c r="B1738" s="5838"/>
      <c r="C1738" s="649" t="s">
        <v>6410</v>
      </c>
      <c r="D1738" s="624"/>
      <c r="E1738" s="1027" t="s">
        <v>6515</v>
      </c>
      <c r="F1738" s="626"/>
      <c r="G1738" s="626">
        <v>30</v>
      </c>
      <c r="H1738" s="626">
        <v>1</v>
      </c>
      <c r="I1738" s="626">
        <v>5</v>
      </c>
      <c r="J1738" s="626">
        <f>COUNTIF(Elan!$C$13:$F$25,Tablas!E1738)+COUNTIF(Elan!$U$13:$X$25,Tablas!E1738)</f>
        <v>0</v>
      </c>
      <c r="K1738" s="626"/>
      <c r="L1738" s="5793" t="s">
        <v>6712</v>
      </c>
      <c r="M1738" s="5793"/>
      <c r="N1738" s="5793"/>
      <c r="O1738" s="5793"/>
      <c r="P1738" s="5793"/>
      <c r="Q1738" s="5794"/>
      <c r="R1738" s="1030">
        <f>IF(OR($J1738=0,$J1738="Aprendida"),0,SUM($J$1736:$J1738))</f>
        <v>0</v>
      </c>
      <c r="T1738" s="1154" t="s">
        <v>6713</v>
      </c>
      <c r="U1738" s="1155">
        <v>3</v>
      </c>
      <c r="V1738" s="1156" t="s">
        <v>6714</v>
      </c>
      <c r="W1738" s="1155">
        <v>1</v>
      </c>
      <c r="X1738" s="1155" t="s">
        <v>6715</v>
      </c>
      <c r="Y1738" s="1354">
        <v>-10</v>
      </c>
    </row>
    <row r="1739" spans="1:25" ht="12.75" customHeight="1" x14ac:dyDescent="0.2">
      <c r="A1739" s="237">
        <v>1739</v>
      </c>
      <c r="B1739" s="5838"/>
      <c r="C1739" s="649" t="s">
        <v>6503</v>
      </c>
      <c r="D1739" s="624"/>
      <c r="E1739" s="1027" t="s">
        <v>6516</v>
      </c>
      <c r="F1739" s="626"/>
      <c r="G1739" s="626">
        <v>40</v>
      </c>
      <c r="H1739" s="626">
        <v>1</v>
      </c>
      <c r="I1739" s="626">
        <v>20</v>
      </c>
      <c r="J1739" s="626">
        <f>COUNTIF(Elan!$C$13:$F$25,Tablas!E1739)+COUNTIF(Elan!$U$13:$X$25,Tablas!E1739)</f>
        <v>0</v>
      </c>
      <c r="K1739" s="626">
        <f>$F$1735/2*J1739</f>
        <v>0</v>
      </c>
      <c r="L1739" s="5793" t="s">
        <v>6716</v>
      </c>
      <c r="M1739" s="5793"/>
      <c r="N1739" s="5793"/>
      <c r="O1739" s="5793"/>
      <c r="P1739" s="5793"/>
      <c r="Q1739" s="5794"/>
      <c r="R1739" s="1030">
        <f>IF(OR($J1739=0,$J1739="Aprendida"),0,SUM($J$1736:$J1739))</f>
        <v>0</v>
      </c>
      <c r="T1739" s="1154" t="s">
        <v>6717</v>
      </c>
      <c r="U1739" s="1155">
        <v>3</v>
      </c>
      <c r="V1739" s="1156" t="s">
        <v>6718</v>
      </c>
      <c r="W1739" s="1155">
        <v>1</v>
      </c>
      <c r="X1739" s="1155"/>
      <c r="Y1739" s="1354"/>
    </row>
    <row r="1740" spans="1:25" ht="12.75" customHeight="1" x14ac:dyDescent="0.2">
      <c r="A1740" s="237">
        <v>1740</v>
      </c>
      <c r="B1740" s="5838"/>
      <c r="C1740" s="649" t="s">
        <v>6504</v>
      </c>
      <c r="D1740" s="624"/>
      <c r="E1740" s="1027" t="s">
        <v>6517</v>
      </c>
      <c r="F1740" s="626"/>
      <c r="G1740" s="626">
        <v>50</v>
      </c>
      <c r="H1740" s="626">
        <v>1</v>
      </c>
      <c r="I1740" s="626">
        <v>15</v>
      </c>
      <c r="J1740" s="626">
        <f>COUNTIF(Elan!$C$13:$F$25,Tablas!E1740)+COUNTIF(Elan!$U$13:$X$25,Tablas!E1740)</f>
        <v>0</v>
      </c>
      <c r="K1740" s="626"/>
      <c r="L1740" s="5793" t="s">
        <v>6719</v>
      </c>
      <c r="M1740" s="5793"/>
      <c r="N1740" s="5793"/>
      <c r="O1740" s="5793"/>
      <c r="P1740" s="5793"/>
      <c r="Q1740" s="5794"/>
      <c r="R1740" s="1030">
        <f>IF(OR($J1740=0,$J1740="Aprendida"),0,SUM($J$1736:$J1740))</f>
        <v>0</v>
      </c>
      <c r="T1740" s="1154" t="s">
        <v>6720</v>
      </c>
      <c r="U1740" s="1155">
        <v>1</v>
      </c>
      <c r="V1740" s="1156"/>
      <c r="W1740" s="1155"/>
      <c r="X1740" s="1155"/>
      <c r="Y1740" s="1354"/>
    </row>
    <row r="1741" spans="1:25" ht="12.75" customHeight="1" x14ac:dyDescent="0.2">
      <c r="A1741" s="237">
        <v>1741</v>
      </c>
      <c r="B1741" s="5838"/>
      <c r="C1741" s="649" t="s">
        <v>6505</v>
      </c>
      <c r="D1741" s="624"/>
      <c r="E1741" s="1027" t="s">
        <v>2752</v>
      </c>
      <c r="F1741" s="626"/>
      <c r="G1741" s="626">
        <v>50</v>
      </c>
      <c r="H1741" s="626">
        <f>IF(J1739=1,1,0)</f>
        <v>0</v>
      </c>
      <c r="I1741" s="626">
        <v>10</v>
      </c>
      <c r="J1741" s="626">
        <f>COUNTIF(Elan!$C$13:$F$25,Tablas!E1741)+COUNTIF(Elan!$U$13:$X$25,Tablas!E1741)</f>
        <v>0</v>
      </c>
      <c r="K1741" s="626"/>
      <c r="L1741" s="5793" t="s">
        <v>6721</v>
      </c>
      <c r="M1741" s="5793"/>
      <c r="N1741" s="5793"/>
      <c r="O1741" s="5793"/>
      <c r="P1741" s="5793"/>
      <c r="Q1741" s="5794"/>
      <c r="R1741" s="1030">
        <f>IF(OR($J1741=0,$J1741="Aprendida"),0,SUM($J$1736:$J1741))</f>
        <v>0</v>
      </c>
      <c r="T1741" s="1154" t="s">
        <v>6710</v>
      </c>
      <c r="U1741" s="1155">
        <v>5</v>
      </c>
      <c r="V1741" s="1156"/>
      <c r="W1741" s="1155"/>
      <c r="X1741" s="1155"/>
      <c r="Y1741" s="1354"/>
    </row>
    <row r="1742" spans="1:25" ht="12.75" customHeight="1" x14ac:dyDescent="0.2">
      <c r="A1742" s="237">
        <v>1742</v>
      </c>
      <c r="B1742" s="5838"/>
      <c r="C1742" s="649" t="s">
        <v>6506</v>
      </c>
      <c r="D1742" s="624"/>
      <c r="E1742" s="1027" t="s">
        <v>6518</v>
      </c>
      <c r="F1742" s="626"/>
      <c r="G1742" s="626">
        <v>60</v>
      </c>
      <c r="H1742" s="626">
        <v>1</v>
      </c>
      <c r="I1742" s="626">
        <v>10</v>
      </c>
      <c r="J1742" s="626">
        <f>COUNTIF(Elan!$C$13:$F$25,Tablas!E1742)+COUNTIF(Elan!$U$13:$X$25,Tablas!E1742)</f>
        <v>0</v>
      </c>
      <c r="K1742" s="626"/>
      <c r="L1742" s="5793" t="s">
        <v>6722</v>
      </c>
      <c r="M1742" s="5793"/>
      <c r="N1742" s="5793"/>
      <c r="O1742" s="5793"/>
      <c r="P1742" s="5793"/>
      <c r="Q1742" s="5794"/>
      <c r="R1742" s="1030">
        <f>IF(OR($J1742=0,$J1742="Aprendida"),0,SUM($J$1736:$J1742))</f>
        <v>0</v>
      </c>
      <c r="T1742" s="1157"/>
      <c r="U1742" s="1158"/>
      <c r="V1742" s="1158"/>
      <c r="W1742" s="1158"/>
      <c r="X1742" s="1158"/>
      <c r="Y1742" s="1355"/>
    </row>
    <row r="1743" spans="1:25" ht="12.75" customHeight="1" x14ac:dyDescent="0.2">
      <c r="A1743" s="237">
        <v>1743</v>
      </c>
      <c r="B1743" s="5838"/>
      <c r="C1743" s="649" t="s">
        <v>6507</v>
      </c>
      <c r="D1743" s="624"/>
      <c r="E1743" s="1027" t="s">
        <v>6519</v>
      </c>
      <c r="F1743" s="626"/>
      <c r="G1743" s="626">
        <v>70</v>
      </c>
      <c r="H1743" s="626">
        <v>1</v>
      </c>
      <c r="I1743" s="626">
        <v>10</v>
      </c>
      <c r="J1743" s="626">
        <f>COUNTIF(Elan!$C$13:$F$25,Tablas!E1743)+COUNTIF(Elan!$U$13:$X$25,Tablas!E1743)</f>
        <v>0</v>
      </c>
      <c r="K1743" s="626"/>
      <c r="L1743" s="5793" t="s">
        <v>6723</v>
      </c>
      <c r="M1743" s="5793"/>
      <c r="N1743" s="5793"/>
      <c r="O1743" s="5793"/>
      <c r="P1743" s="5793"/>
      <c r="Q1743" s="5794"/>
      <c r="R1743" s="1030">
        <f>IF(OR($J1743=0,$J1743="Aprendida"),0,SUM($J$1736:$J1743))</f>
        <v>0</v>
      </c>
      <c r="T1743" s="1152" t="str">
        <f>E1748</f>
        <v>Zemial</v>
      </c>
      <c r="U1743" s="1153"/>
      <c r="V1743" s="1159"/>
      <c r="W1743" s="1153"/>
      <c r="X1743" s="1153"/>
      <c r="Y1743" s="1353"/>
    </row>
    <row r="1744" spans="1:25" ht="12.75" customHeight="1" x14ac:dyDescent="0.2">
      <c r="A1744" s="237">
        <v>1744</v>
      </c>
      <c r="B1744" s="5838"/>
      <c r="C1744" s="649" t="s">
        <v>6508</v>
      </c>
      <c r="D1744" s="624"/>
      <c r="E1744" s="1027" t="s">
        <v>6520</v>
      </c>
      <c r="F1744" s="626"/>
      <c r="G1744" s="626">
        <v>70</v>
      </c>
      <c r="H1744" s="626">
        <v>1</v>
      </c>
      <c r="I1744" s="626">
        <v>10</v>
      </c>
      <c r="J1744" s="626">
        <f>COUNTIF(Elan!$C$13:$F$25,Tablas!E1744)+COUNTIF(Elan!$U$13:$X$25,Tablas!E1744)</f>
        <v>0</v>
      </c>
      <c r="K1744" s="626"/>
      <c r="L1744" s="5793" t="s">
        <v>6724</v>
      </c>
      <c r="M1744" s="5793"/>
      <c r="N1744" s="5793"/>
      <c r="O1744" s="5793"/>
      <c r="P1744" s="5793"/>
      <c r="Q1744" s="5794"/>
      <c r="R1744" s="1030">
        <f>IF(OR($J1744=0,$J1744="Aprendida"),0,SUM($J$1736:$J1744))</f>
        <v>0</v>
      </c>
      <c r="T1744" s="1154" t="s">
        <v>6729</v>
      </c>
      <c r="U1744" s="1155">
        <v>1</v>
      </c>
      <c r="V1744" s="1156" t="s">
        <v>6730</v>
      </c>
      <c r="W1744" s="1155">
        <v>5</v>
      </c>
      <c r="X1744" s="1155" t="s">
        <v>6731</v>
      </c>
      <c r="Y1744" s="1354">
        <v>-3</v>
      </c>
    </row>
    <row r="1745" spans="1:25" ht="12.75" customHeight="1" x14ac:dyDescent="0.2">
      <c r="A1745" s="237">
        <v>1745</v>
      </c>
      <c r="B1745" s="5838"/>
      <c r="C1745" s="649" t="s">
        <v>6509</v>
      </c>
      <c r="D1745" s="624"/>
      <c r="E1745" s="1027" t="s">
        <v>6521</v>
      </c>
      <c r="F1745" s="626"/>
      <c r="G1745" s="626">
        <v>80</v>
      </c>
      <c r="H1745" s="626">
        <v>1</v>
      </c>
      <c r="I1745" s="626">
        <v>15</v>
      </c>
      <c r="J1745" s="626">
        <f>COUNTIF(Elan!$C$13:$F$25,Tablas!E1745)+COUNTIF(Elan!$U$13:$X$25,Tablas!E1745)</f>
        <v>0</v>
      </c>
      <c r="K1745" s="626"/>
      <c r="L1745" s="5793" t="s">
        <v>6725</v>
      </c>
      <c r="M1745" s="5793"/>
      <c r="N1745" s="5793"/>
      <c r="O1745" s="5793"/>
      <c r="P1745" s="5793"/>
      <c r="Q1745" s="5794"/>
      <c r="R1745" s="1030">
        <f>IF(OR($J1745=0,$J1745="Aprendida"),0,SUM($J$1736:$J1745))</f>
        <v>0</v>
      </c>
      <c r="T1745" s="1154" t="s">
        <v>7032</v>
      </c>
      <c r="U1745" s="1155">
        <v>5</v>
      </c>
      <c r="V1745" s="1156" t="s">
        <v>6733</v>
      </c>
      <c r="W1745" s="1155">
        <v>2</v>
      </c>
      <c r="X1745" s="1155" t="s">
        <v>6734</v>
      </c>
      <c r="Y1745" s="1354">
        <v>-5</v>
      </c>
    </row>
    <row r="1746" spans="1:25" ht="12.75" customHeight="1" x14ac:dyDescent="0.2">
      <c r="A1746" s="237">
        <v>1746</v>
      </c>
      <c r="B1746" s="5838"/>
      <c r="C1746" s="649" t="s">
        <v>6510</v>
      </c>
      <c r="D1746" s="624"/>
      <c r="E1746" s="1027" t="s">
        <v>6522</v>
      </c>
      <c r="F1746" s="626"/>
      <c r="G1746" s="626">
        <v>90</v>
      </c>
      <c r="H1746" s="626">
        <v>1</v>
      </c>
      <c r="I1746" s="626">
        <v>20</v>
      </c>
      <c r="J1746" s="626">
        <f>COUNTIF(Elan!$C$13:$F$25,Tablas!E1746)+COUNTIF(Elan!$U$13:$X$25,Tablas!E1746)</f>
        <v>0</v>
      </c>
      <c r="K1746" s="626"/>
      <c r="L1746" s="5793" t="s">
        <v>6726</v>
      </c>
      <c r="M1746" s="5793"/>
      <c r="N1746" s="5793"/>
      <c r="O1746" s="5793"/>
      <c r="P1746" s="5793"/>
      <c r="Q1746" s="5794"/>
      <c r="R1746" s="1030">
        <f>IF(OR($J1746=0,$J1746="Aprendida"),0,SUM($J$1736:$J1746))</f>
        <v>0</v>
      </c>
      <c r="T1746" s="1154" t="s">
        <v>7030</v>
      </c>
      <c r="U1746" s="1155">
        <v>2</v>
      </c>
      <c r="V1746" s="1156" t="s">
        <v>6736</v>
      </c>
      <c r="W1746" s="1155">
        <v>3</v>
      </c>
      <c r="X1746" s="1155" t="s">
        <v>6737</v>
      </c>
      <c r="Y1746" s="1354">
        <v>-2</v>
      </c>
    </row>
    <row r="1747" spans="1:25" ht="12.75" customHeight="1" thickBot="1" x14ac:dyDescent="0.25">
      <c r="A1747" s="237">
        <v>1747</v>
      </c>
      <c r="B1747" s="5838"/>
      <c r="C1747" s="650" t="s">
        <v>6511</v>
      </c>
      <c r="D1747" s="625"/>
      <c r="E1747" s="1027" t="s">
        <v>6523</v>
      </c>
      <c r="F1747" s="626"/>
      <c r="G1747" s="626">
        <v>100</v>
      </c>
      <c r="H1747" s="626">
        <v>1</v>
      </c>
      <c r="I1747" s="626">
        <v>10</v>
      </c>
      <c r="J1747" s="626">
        <f>COUNTIF(Elan!$C$13:$F$25,Tablas!E1747)+COUNTIF(Elan!$U$13:$X$25,Tablas!E1747)</f>
        <v>0</v>
      </c>
      <c r="K1747" s="626"/>
      <c r="L1747" s="5793" t="s">
        <v>6727</v>
      </c>
      <c r="M1747" s="5793"/>
      <c r="N1747" s="5793"/>
      <c r="O1747" s="5793"/>
      <c r="P1747" s="5793"/>
      <c r="Q1747" s="5794"/>
      <c r="R1747" s="1030">
        <f>IF(OR($J1747=0,$J1747="Aprendida"),0,SUM($J$1736:$J1747))</f>
        <v>0</v>
      </c>
      <c r="T1747" s="1154" t="s">
        <v>7031</v>
      </c>
      <c r="U1747" s="1155">
        <v>5</v>
      </c>
      <c r="V1747" s="1156" t="s">
        <v>6739</v>
      </c>
      <c r="W1747" s="1155">
        <v>1</v>
      </c>
      <c r="X1747" s="1155"/>
      <c r="Y1747" s="1354"/>
    </row>
    <row r="1748" spans="1:25" ht="12.75" customHeight="1" thickBot="1" x14ac:dyDescent="0.25">
      <c r="A1748" s="237">
        <v>1748</v>
      </c>
      <c r="B1748" s="5838"/>
      <c r="C1748" s="650" t="str">
        <f>$E$1918</f>
        <v>ElanPersonalizado</v>
      </c>
      <c r="D1748" s="625"/>
      <c r="E1748" s="1026" t="s">
        <v>6500</v>
      </c>
      <c r="F1748" s="1465">
        <f>IF(Elan!$C$11=Tablas!$E1748,Elan!$G$11,IF(Elan!$U$11=Tablas!$E1748,Elan!$Y$11,0))</f>
        <v>0</v>
      </c>
      <c r="G1748" s="1019" t="s">
        <v>1824</v>
      </c>
      <c r="H1748" s="1019" t="s">
        <v>8507</v>
      </c>
      <c r="I1748" s="1019" t="s">
        <v>1493</v>
      </c>
      <c r="J1748" s="1019" t="s">
        <v>6512</v>
      </c>
      <c r="K1748" s="1019" t="s">
        <v>7268</v>
      </c>
      <c r="L1748" s="1019" t="s">
        <v>1553</v>
      </c>
      <c r="M1748" s="627"/>
      <c r="N1748" s="627"/>
      <c r="O1748" s="627"/>
      <c r="P1748" s="627"/>
      <c r="Q1748" s="1024"/>
      <c r="R1748" s="1030">
        <f>IF(OR($J1748=0,$J1748="Aprendida"),0,SUM($J$1736:$J1748))</f>
        <v>0</v>
      </c>
      <c r="T1748" s="1154" t="s">
        <v>6741</v>
      </c>
      <c r="U1748" s="1155">
        <v>1</v>
      </c>
      <c r="V1748" s="1156"/>
      <c r="W1748" s="1155"/>
      <c r="X1748" s="1155"/>
      <c r="Y1748" s="1354"/>
    </row>
    <row r="1749" spans="1:25" ht="12.75" customHeight="1" x14ac:dyDescent="0.2">
      <c r="A1749" s="237">
        <v>1749</v>
      </c>
      <c r="B1749" s="5838"/>
      <c r="E1749" s="1027" t="s">
        <v>6524</v>
      </c>
      <c r="F1749" s="626"/>
      <c r="G1749" s="626">
        <v>10</v>
      </c>
      <c r="H1749" s="626">
        <v>1</v>
      </c>
      <c r="I1749" s="626">
        <v>5</v>
      </c>
      <c r="J1749" s="626">
        <f>COUNTIF(Elan!$C$13:$F$25,Tablas!E1749)+COUNTIF(Elan!$U$13:$X$25,Tablas!E1749)</f>
        <v>0</v>
      </c>
      <c r="K1749" s="626"/>
      <c r="L1749" s="5793" t="s">
        <v>6728</v>
      </c>
      <c r="M1749" s="5793"/>
      <c r="N1749" s="5793"/>
      <c r="O1749" s="5793"/>
      <c r="P1749" s="5793"/>
      <c r="Q1749" s="5794"/>
      <c r="R1749" s="1030">
        <f>IF(OR($J1749=0,$J1749="Aprendida"),0,SUM($J$1736:$J1749))</f>
        <v>0</v>
      </c>
      <c r="T1749" s="1154" t="s">
        <v>6743</v>
      </c>
      <c r="U1749" s="1155">
        <v>2</v>
      </c>
      <c r="V1749" s="1156"/>
      <c r="W1749" s="1155"/>
      <c r="X1749" s="1155"/>
      <c r="Y1749" s="1354"/>
    </row>
    <row r="1750" spans="1:25" ht="12.75" customHeight="1" x14ac:dyDescent="0.2">
      <c r="A1750" s="237">
        <v>1750</v>
      </c>
      <c r="B1750" s="5838"/>
      <c r="E1750" s="1027" t="s">
        <v>6525</v>
      </c>
      <c r="F1750" s="626"/>
      <c r="G1750" s="626">
        <v>20</v>
      </c>
      <c r="H1750" s="626">
        <v>1</v>
      </c>
      <c r="I1750" s="626">
        <v>5</v>
      </c>
      <c r="J1750" s="626">
        <f>COUNTIF(Elan!$C$13:$F$25,Tablas!E1750)+COUNTIF(Elan!$U$13:$X$25,Tablas!E1750)</f>
        <v>0</v>
      </c>
      <c r="K1750" s="626"/>
      <c r="L1750" s="5793" t="s">
        <v>6732</v>
      </c>
      <c r="M1750" s="5793"/>
      <c r="N1750" s="5793"/>
      <c r="O1750" s="5793"/>
      <c r="P1750" s="5793"/>
      <c r="Q1750" s="5794"/>
      <c r="R1750" s="1030">
        <f>IF(OR($J1750=0,$J1750="Aprendida"),0,SUM($J$1736:$J1750))</f>
        <v>0</v>
      </c>
      <c r="T1750" s="1157"/>
      <c r="U1750" s="1158"/>
      <c r="V1750" s="1158"/>
      <c r="W1750" s="1158"/>
      <c r="X1750" s="1158"/>
      <c r="Y1750" s="1355"/>
    </row>
    <row r="1751" spans="1:25" ht="12.75" customHeight="1" x14ac:dyDescent="0.2">
      <c r="A1751" s="237">
        <v>1751</v>
      </c>
      <c r="B1751" s="5838"/>
      <c r="E1751" s="1027" t="s">
        <v>1641</v>
      </c>
      <c r="F1751" s="626"/>
      <c r="G1751" s="626">
        <v>30</v>
      </c>
      <c r="H1751" s="626">
        <v>1</v>
      </c>
      <c r="I1751" s="626">
        <v>10</v>
      </c>
      <c r="J1751" s="626">
        <f>COUNTIF(Elan!$C$13:$F$25,Tablas!E1751)+COUNTIF(Elan!$U$13:$X$25,Tablas!E1751)</f>
        <v>0</v>
      </c>
      <c r="K1751" s="626">
        <f>MROUND($F$1748/2,5)*J1751</f>
        <v>0</v>
      </c>
      <c r="L1751" s="5793" t="s">
        <v>6735</v>
      </c>
      <c r="M1751" s="5793"/>
      <c r="N1751" s="5793"/>
      <c r="O1751" s="5793"/>
      <c r="P1751" s="5793"/>
      <c r="Q1751" s="5794"/>
      <c r="R1751" s="1030">
        <f>IF(OR($J1751=0,$J1751="Aprendida"),0,SUM($J$1736:$J1751))</f>
        <v>0</v>
      </c>
      <c r="T1751" s="1152" t="str">
        <f>E1761</f>
        <v>Uriel</v>
      </c>
      <c r="U1751" s="1153"/>
      <c r="V1751" s="1159"/>
      <c r="W1751" s="1153"/>
      <c r="X1751" s="1153"/>
      <c r="Y1751" s="1353"/>
    </row>
    <row r="1752" spans="1:25" ht="12.75" customHeight="1" x14ac:dyDescent="0.2">
      <c r="A1752" s="237">
        <v>1752</v>
      </c>
      <c r="B1752" s="5838"/>
      <c r="E1752" s="1027" t="s">
        <v>6526</v>
      </c>
      <c r="F1752" s="626"/>
      <c r="G1752" s="626">
        <v>40</v>
      </c>
      <c r="H1752" s="626">
        <f>IF(J1749,1,0)</f>
        <v>0</v>
      </c>
      <c r="I1752" s="626">
        <v>10</v>
      </c>
      <c r="J1752" s="626">
        <f>COUNTIF(Elan!$C$13:$F$25,Tablas!E1752)+COUNTIF(Elan!$U$13:$X$25,Tablas!E1752)</f>
        <v>0</v>
      </c>
      <c r="K1752" s="626"/>
      <c r="L1752" s="5793" t="s">
        <v>6738</v>
      </c>
      <c r="M1752" s="5793"/>
      <c r="N1752" s="5793"/>
      <c r="O1752" s="5793"/>
      <c r="P1752" s="5793"/>
      <c r="Q1752" s="5794"/>
      <c r="R1752" s="1030">
        <f>IF(OR($J1752=0,$J1752="Aprendida"),0,SUM($J$1736:$J1752))</f>
        <v>0</v>
      </c>
      <c r="T1752" s="1154" t="s">
        <v>6751</v>
      </c>
      <c r="U1752" s="1155">
        <v>2</v>
      </c>
      <c r="V1752" s="1156" t="s">
        <v>6752</v>
      </c>
      <c r="W1752" s="1155">
        <v>3</v>
      </c>
      <c r="X1752" s="1155" t="s">
        <v>6753</v>
      </c>
      <c r="Y1752" s="1354">
        <v>-1</v>
      </c>
    </row>
    <row r="1753" spans="1:25" ht="12.75" customHeight="1" x14ac:dyDescent="0.2">
      <c r="A1753" s="237">
        <v>1753</v>
      </c>
      <c r="B1753" s="5838"/>
      <c r="E1753" s="1027" t="s">
        <v>6527</v>
      </c>
      <c r="F1753" s="626"/>
      <c r="G1753" s="626">
        <v>50</v>
      </c>
      <c r="H1753" s="626">
        <v>1</v>
      </c>
      <c r="I1753" s="626">
        <v>15</v>
      </c>
      <c r="J1753" s="626">
        <f>COUNTIF(Elan!$C$13:$F$25,Tablas!E1753)+COUNTIF(Elan!$U$13:$X$25,Tablas!E1753)</f>
        <v>0</v>
      </c>
      <c r="K1753" s="626"/>
      <c r="L1753" s="5793" t="s">
        <v>6740</v>
      </c>
      <c r="M1753" s="5793"/>
      <c r="N1753" s="5793"/>
      <c r="O1753" s="5793"/>
      <c r="P1753" s="5793"/>
      <c r="Q1753" s="5794"/>
      <c r="R1753" s="1030">
        <f>IF(OR($J1753=0,$J1753="Aprendida"),0,SUM($J$1736:$J1753))</f>
        <v>0</v>
      </c>
      <c r="T1753" s="1154" t="s">
        <v>6755</v>
      </c>
      <c r="U1753" s="1155">
        <v>5</v>
      </c>
      <c r="V1753" s="1156" t="s">
        <v>6756</v>
      </c>
      <c r="W1753" s="1155">
        <v>2</v>
      </c>
      <c r="X1753" s="1155" t="s">
        <v>6757</v>
      </c>
      <c r="Y1753" s="1354">
        <v>-2</v>
      </c>
    </row>
    <row r="1754" spans="1:25" ht="12.75" customHeight="1" x14ac:dyDescent="0.2">
      <c r="A1754" s="237">
        <v>1754</v>
      </c>
      <c r="B1754" s="5838"/>
      <c r="E1754" s="1027" t="s">
        <v>6528</v>
      </c>
      <c r="F1754" s="626"/>
      <c r="G1754" s="626">
        <v>50</v>
      </c>
      <c r="H1754" s="626">
        <v>1</v>
      </c>
      <c r="I1754" s="626">
        <v>10</v>
      </c>
      <c r="J1754" s="626">
        <f>COUNTIF(Elan!$C$13:$F$25,Tablas!E1754)+COUNTIF(Elan!$U$13:$X$25,Tablas!E1754)</f>
        <v>0</v>
      </c>
      <c r="K1754" s="626"/>
      <c r="L1754" s="5793" t="s">
        <v>6742</v>
      </c>
      <c r="M1754" s="5793"/>
      <c r="N1754" s="5793"/>
      <c r="O1754" s="5793"/>
      <c r="P1754" s="5793"/>
      <c r="Q1754" s="5794"/>
      <c r="R1754" s="1030">
        <f>IF(OR($J1754=0,$J1754="Aprendida"),0,SUM($J$1736:$J1754))</f>
        <v>0</v>
      </c>
      <c r="T1754" s="1154" t="s">
        <v>6759</v>
      </c>
      <c r="U1754" s="1155">
        <v>2</v>
      </c>
      <c r="V1754" s="1156" t="s">
        <v>6760</v>
      </c>
      <c r="W1754" s="1155">
        <v>1</v>
      </c>
      <c r="X1754" s="1155" t="s">
        <v>6761</v>
      </c>
      <c r="Y1754" s="1354">
        <v>-1</v>
      </c>
    </row>
    <row r="1755" spans="1:25" ht="12.75" customHeight="1" x14ac:dyDescent="0.2">
      <c r="A1755" s="237">
        <v>1755</v>
      </c>
      <c r="B1755" s="5838"/>
      <c r="E1755" s="1027" t="s">
        <v>6529</v>
      </c>
      <c r="F1755" s="626"/>
      <c r="G1755" s="626">
        <v>60</v>
      </c>
      <c r="H1755" s="626">
        <v>1</v>
      </c>
      <c r="I1755" s="626">
        <v>10</v>
      </c>
      <c r="J1755" s="626">
        <f>COUNTIF(Elan!$C$13:$F$25,Tablas!E1755)+COUNTIF(Elan!$U$13:$X$25,Tablas!E1755)</f>
        <v>0</v>
      </c>
      <c r="K1755" s="626"/>
      <c r="L1755" s="5793" t="s">
        <v>6744</v>
      </c>
      <c r="M1755" s="5793"/>
      <c r="N1755" s="5793"/>
      <c r="O1755" s="5793"/>
      <c r="P1755" s="5793"/>
      <c r="Q1755" s="5794"/>
      <c r="R1755" s="1030">
        <f>IF(OR($J1755=0,$J1755="Aprendida"),0,SUM($J$1736:$J1755))</f>
        <v>0</v>
      </c>
      <c r="T1755" s="1154" t="s">
        <v>6763</v>
      </c>
      <c r="U1755" s="1155">
        <v>2</v>
      </c>
      <c r="V1755" s="1156"/>
      <c r="W1755" s="1155"/>
      <c r="X1755" s="1155" t="s">
        <v>6764</v>
      </c>
      <c r="Y1755" s="1354">
        <v>-2</v>
      </c>
    </row>
    <row r="1756" spans="1:25" ht="12.75" customHeight="1" x14ac:dyDescent="0.2">
      <c r="A1756" s="237">
        <v>1756</v>
      </c>
      <c r="B1756" s="5838"/>
      <c r="E1756" s="1027" t="s">
        <v>6530</v>
      </c>
      <c r="F1756" s="626"/>
      <c r="G1756" s="626">
        <v>60</v>
      </c>
      <c r="H1756" s="626">
        <f>IF(J1754,1,0)</f>
        <v>0</v>
      </c>
      <c r="I1756" s="626">
        <v>10</v>
      </c>
      <c r="J1756" s="626">
        <f>COUNTIF(Elan!$C$13:$F$25,Tablas!E1756)+COUNTIF(Elan!$U$13:$X$25,Tablas!E1756)</f>
        <v>0</v>
      </c>
      <c r="K1756" s="626"/>
      <c r="L1756" s="5793" t="s">
        <v>6745</v>
      </c>
      <c r="M1756" s="5793"/>
      <c r="N1756" s="5793"/>
      <c r="O1756" s="5793"/>
      <c r="P1756" s="5793"/>
      <c r="Q1756" s="5794"/>
      <c r="R1756" s="1030">
        <f>IF(OR($J1756=0,$J1756="Aprendida"),0,SUM($J$1736:$J1756))</f>
        <v>0</v>
      </c>
      <c r="T1756" s="1154" t="s">
        <v>6766</v>
      </c>
      <c r="U1756" s="1155">
        <v>1</v>
      </c>
      <c r="V1756" s="1156"/>
      <c r="W1756" s="1155"/>
      <c r="X1756" s="1155" t="s">
        <v>6767</v>
      </c>
      <c r="Y1756" s="1354">
        <v>-10</v>
      </c>
    </row>
    <row r="1757" spans="1:25" ht="12.75" customHeight="1" x14ac:dyDescent="0.2">
      <c r="A1757" s="237">
        <v>1757</v>
      </c>
      <c r="B1757" s="5838"/>
      <c r="E1757" s="1027" t="s">
        <v>6531</v>
      </c>
      <c r="F1757" s="626"/>
      <c r="G1757" s="626">
        <v>70</v>
      </c>
      <c r="H1757" s="626">
        <f>IF(J1756,1,0)</f>
        <v>0</v>
      </c>
      <c r="I1757" s="626">
        <v>10</v>
      </c>
      <c r="J1757" s="626">
        <f>COUNTIF(Elan!$C$13:$F$25,Tablas!E1757)+COUNTIF(Elan!$U$13:$X$25,Tablas!E1757)</f>
        <v>0</v>
      </c>
      <c r="K1757" s="626"/>
      <c r="L1757" s="5793" t="s">
        <v>6746</v>
      </c>
      <c r="M1757" s="5793"/>
      <c r="N1757" s="5793"/>
      <c r="O1757" s="5793"/>
      <c r="P1757" s="5793"/>
      <c r="Q1757" s="5794"/>
      <c r="R1757" s="1030">
        <f>IF(OR($J1757=0,$J1757="Aprendida"),0,SUM($J$1736:$J1757))</f>
        <v>0</v>
      </c>
      <c r="T1757" s="1154" t="s">
        <v>6768</v>
      </c>
      <c r="U1757" s="1155">
        <v>2</v>
      </c>
      <c r="V1757" s="1156"/>
      <c r="W1757" s="1155"/>
      <c r="X1757" s="1155"/>
      <c r="Y1757" s="1354"/>
    </row>
    <row r="1758" spans="1:25" ht="12.75" customHeight="1" x14ac:dyDescent="0.2">
      <c r="A1758" s="237">
        <v>1758</v>
      </c>
      <c r="B1758" s="5838"/>
      <c r="E1758" s="1027" t="s">
        <v>6532</v>
      </c>
      <c r="F1758" s="626"/>
      <c r="G1758" s="626">
        <v>80</v>
      </c>
      <c r="H1758" s="626">
        <v>1</v>
      </c>
      <c r="I1758" s="626">
        <v>15</v>
      </c>
      <c r="J1758" s="626">
        <f>COUNTIF(Elan!$C$13:$F$25,Tablas!E1758)+COUNTIF(Elan!$U$13:$X$25,Tablas!E1758)</f>
        <v>0</v>
      </c>
      <c r="K1758" s="626"/>
      <c r="L1758" s="5793" t="s">
        <v>6747</v>
      </c>
      <c r="M1758" s="5793"/>
      <c r="N1758" s="5793"/>
      <c r="O1758" s="5793"/>
      <c r="P1758" s="5793"/>
      <c r="Q1758" s="5794"/>
      <c r="R1758" s="1030">
        <f>IF(OR($J1758=0,$J1758="Aprendida"),0,SUM($J$1736:$J1758))</f>
        <v>0</v>
      </c>
      <c r="T1758" s="1157"/>
      <c r="U1758" s="1158"/>
      <c r="V1758" s="1158"/>
      <c r="W1758" s="1158"/>
      <c r="X1758" s="1158"/>
      <c r="Y1758" s="1355"/>
    </row>
    <row r="1759" spans="1:25" ht="12.75" customHeight="1" x14ac:dyDescent="0.2">
      <c r="A1759" s="237">
        <v>1759</v>
      </c>
      <c r="B1759" s="5838"/>
      <c r="E1759" s="1027" t="s">
        <v>6533</v>
      </c>
      <c r="F1759" s="626"/>
      <c r="G1759" s="626">
        <v>90</v>
      </c>
      <c r="H1759" s="626">
        <v>1</v>
      </c>
      <c r="I1759" s="626">
        <v>20</v>
      </c>
      <c r="J1759" s="626">
        <f>COUNTIF(Elan!$C$13:$F$25,Tablas!E1759)+COUNTIF(Elan!$U$13:$X$25,Tablas!E1759)</f>
        <v>0</v>
      </c>
      <c r="K1759" s="626"/>
      <c r="L1759" s="5793" t="s">
        <v>6748</v>
      </c>
      <c r="M1759" s="5793"/>
      <c r="N1759" s="5793"/>
      <c r="O1759" s="5793"/>
      <c r="P1759" s="5793"/>
      <c r="Q1759" s="5794"/>
      <c r="R1759" s="1030">
        <f>IF(OR($J1759=0,$J1759="Aprendida"),0,SUM($J$1736:$J1759))</f>
        <v>0</v>
      </c>
      <c r="T1759" s="1152" t="str">
        <f>E1775</f>
        <v>Jedah</v>
      </c>
      <c r="U1759" s="1153"/>
      <c r="V1759" s="1159"/>
      <c r="W1759" s="1153"/>
      <c r="X1759" s="1153"/>
      <c r="Y1759" s="1353"/>
    </row>
    <row r="1760" spans="1:25" ht="12.75" customHeight="1" x14ac:dyDescent="0.2">
      <c r="A1760" s="237">
        <v>1760</v>
      </c>
      <c r="B1760" s="5838"/>
      <c r="E1760" s="1027" t="s">
        <v>6534</v>
      </c>
      <c r="F1760" s="626"/>
      <c r="G1760" s="626">
        <v>100</v>
      </c>
      <c r="H1760" s="626">
        <v>1</v>
      </c>
      <c r="I1760" s="626">
        <v>10</v>
      </c>
      <c r="J1760" s="626">
        <f>COUNTIF(Elan!$C$13:$F$25,Tablas!E1760)+COUNTIF(Elan!$U$13:$X$25,Tablas!E1760)</f>
        <v>0</v>
      </c>
      <c r="K1760" s="626"/>
      <c r="L1760" s="5793" t="s">
        <v>6749</v>
      </c>
      <c r="M1760" s="5793"/>
      <c r="N1760" s="5793"/>
      <c r="O1760" s="5793"/>
      <c r="P1760" s="5793"/>
      <c r="Q1760" s="5794"/>
      <c r="R1760" s="1030">
        <f>IF(OR($J1760=0,$J1760="Aprendida"),0,SUM($J$1736:$J1760))</f>
        <v>0</v>
      </c>
      <c r="T1760" s="1154" t="s">
        <v>7033</v>
      </c>
      <c r="U1760" s="1155">
        <v>1</v>
      </c>
      <c r="V1760" s="1156" t="s">
        <v>6777</v>
      </c>
      <c r="W1760" s="1155">
        <v>1</v>
      </c>
      <c r="X1760" s="1155" t="s">
        <v>6778</v>
      </c>
      <c r="Y1760" s="1354">
        <v>-2</v>
      </c>
    </row>
    <row r="1761" spans="1:25" ht="12.75" customHeight="1" x14ac:dyDescent="0.2">
      <c r="A1761" s="237">
        <v>1761</v>
      </c>
      <c r="B1761" s="5838"/>
      <c r="E1761" s="1026" t="s">
        <v>6501</v>
      </c>
      <c r="F1761" s="1465">
        <f>IF(Elan!$C$11=Tablas!$E1761,Elan!$G$11,IF(Elan!$U$11=Tablas!$E1761,Elan!$Y$11,0))</f>
        <v>0</v>
      </c>
      <c r="G1761" s="1019" t="s">
        <v>1824</v>
      </c>
      <c r="H1761" s="1019" t="s">
        <v>8507</v>
      </c>
      <c r="I1761" s="1019" t="s">
        <v>1493</v>
      </c>
      <c r="J1761" s="1019" t="s">
        <v>6512</v>
      </c>
      <c r="K1761" s="1019" t="s">
        <v>7268</v>
      </c>
      <c r="L1761" s="1019" t="s">
        <v>1553</v>
      </c>
      <c r="M1761" s="627"/>
      <c r="N1761" s="627"/>
      <c r="O1761" s="627"/>
      <c r="P1761" s="627"/>
      <c r="Q1761" s="1024"/>
      <c r="R1761" s="1030">
        <f>IF(OR($J1761=0,$J1761="Aprendida"),0,SUM($J$1736:$J1761))</f>
        <v>0</v>
      </c>
      <c r="T1761" s="1154" t="s">
        <v>6780</v>
      </c>
      <c r="U1761" s="1155">
        <v>3</v>
      </c>
      <c r="V1761" s="1156" t="s">
        <v>6781</v>
      </c>
      <c r="W1761" s="1155">
        <v>3</v>
      </c>
      <c r="X1761" s="1155" t="s">
        <v>6782</v>
      </c>
      <c r="Y1761" s="1354">
        <v>-3</v>
      </c>
    </row>
    <row r="1762" spans="1:25" ht="12.75" customHeight="1" x14ac:dyDescent="0.2">
      <c r="A1762" s="237">
        <v>1762</v>
      </c>
      <c r="B1762" s="5838"/>
      <c r="E1762" s="1027" t="s">
        <v>6535</v>
      </c>
      <c r="F1762" s="626"/>
      <c r="G1762" s="626">
        <v>10</v>
      </c>
      <c r="H1762" s="626">
        <v>1</v>
      </c>
      <c r="I1762" s="626">
        <v>5</v>
      </c>
      <c r="J1762" s="626">
        <f>COUNTIF(Elan!$C$13:$F$25,Tablas!E1762)+COUNTIF(Elan!$U$13:$X$25,Tablas!E1762)</f>
        <v>0</v>
      </c>
      <c r="K1762" s="626"/>
      <c r="L1762" s="5793" t="s">
        <v>6750</v>
      </c>
      <c r="M1762" s="5793"/>
      <c r="N1762" s="5793"/>
      <c r="O1762" s="5793"/>
      <c r="P1762" s="5793"/>
      <c r="Q1762" s="5794"/>
      <c r="R1762" s="1030">
        <f>IF(OR($J1762=0,$J1762="Aprendida"),0,SUM($J$1736:$J1762))</f>
        <v>0</v>
      </c>
      <c r="T1762" s="1154" t="s">
        <v>6784</v>
      </c>
      <c r="U1762" s="1155">
        <v>2</v>
      </c>
      <c r="V1762" s="1156" t="s">
        <v>6785</v>
      </c>
      <c r="W1762" s="1155">
        <v>3</v>
      </c>
      <c r="X1762" s="1155" t="s">
        <v>6786</v>
      </c>
      <c r="Y1762" s="1354">
        <v>-2</v>
      </c>
    </row>
    <row r="1763" spans="1:25" ht="12.75" customHeight="1" x14ac:dyDescent="0.2">
      <c r="A1763" s="237">
        <v>1763</v>
      </c>
      <c r="B1763" s="5838"/>
      <c r="E1763" s="1027" t="s">
        <v>6536</v>
      </c>
      <c r="F1763" s="626"/>
      <c r="G1763" s="626">
        <v>20</v>
      </c>
      <c r="H1763" s="626">
        <v>1</v>
      </c>
      <c r="I1763" s="626">
        <v>5</v>
      </c>
      <c r="J1763" s="626">
        <f>COUNTIF(Elan!$C$13:$F$25,Tablas!E1763)+COUNTIF(Elan!$U$13:$X$25,Tablas!E1763)</f>
        <v>0</v>
      </c>
      <c r="K1763" s="626"/>
      <c r="L1763" s="5793" t="s">
        <v>6754</v>
      </c>
      <c r="M1763" s="5793"/>
      <c r="N1763" s="5793"/>
      <c r="O1763" s="5793"/>
      <c r="P1763" s="5793"/>
      <c r="Q1763" s="5794"/>
      <c r="R1763" s="1030">
        <f>IF(OR($J1763=0,$J1763="Aprendida"),0,SUM($J$1736:$J1763))</f>
        <v>0</v>
      </c>
      <c r="T1763" s="1154" t="s">
        <v>6788</v>
      </c>
      <c r="U1763" s="1155">
        <v>3</v>
      </c>
      <c r="V1763" s="1156"/>
      <c r="W1763" s="1155"/>
      <c r="X1763" s="1155" t="s">
        <v>6789</v>
      </c>
      <c r="Y1763" s="1354">
        <v>-4</v>
      </c>
    </row>
    <row r="1764" spans="1:25" ht="12.75" customHeight="1" x14ac:dyDescent="0.2">
      <c r="A1764" s="237">
        <v>1764</v>
      </c>
      <c r="B1764" s="5838"/>
      <c r="E1764" s="1027" t="s">
        <v>6537</v>
      </c>
      <c r="F1764" s="626"/>
      <c r="G1764" s="626">
        <v>20</v>
      </c>
      <c r="H1764" s="626">
        <v>1</v>
      </c>
      <c r="I1764" s="626">
        <v>10</v>
      </c>
      <c r="J1764" s="626">
        <f>COUNTIF(Elan!$C$13:$F$25,Tablas!E1764)+COUNTIF(Elan!$U$13:$X$25,Tablas!E1764)</f>
        <v>0</v>
      </c>
      <c r="K1764" s="626"/>
      <c r="L1764" s="5793" t="s">
        <v>6758</v>
      </c>
      <c r="M1764" s="5793"/>
      <c r="N1764" s="5793"/>
      <c r="O1764" s="5793"/>
      <c r="P1764" s="5793"/>
      <c r="Q1764" s="5794"/>
      <c r="R1764" s="1030">
        <f>IF(OR($J1764=0,$J1764="Aprendida"),0,SUM($J$1736:$J1764))</f>
        <v>0</v>
      </c>
      <c r="T1764" s="1154" t="s">
        <v>6791</v>
      </c>
      <c r="U1764" s="1155">
        <v>3</v>
      </c>
      <c r="V1764" s="1156"/>
      <c r="W1764" s="1155"/>
      <c r="X1764" s="1155"/>
      <c r="Y1764" s="1354"/>
    </row>
    <row r="1765" spans="1:25" ht="12.75" customHeight="1" x14ac:dyDescent="0.2">
      <c r="A1765" s="237">
        <v>1765</v>
      </c>
      <c r="B1765" s="5838"/>
      <c r="E1765" s="1027" t="s">
        <v>6538</v>
      </c>
      <c r="F1765" s="626"/>
      <c r="G1765" s="626">
        <v>30</v>
      </c>
      <c r="H1765" s="626">
        <v>1</v>
      </c>
      <c r="I1765" s="626">
        <v>5</v>
      </c>
      <c r="J1765" s="626">
        <f>COUNTIF(Elan!$C$13:$F$25,Tablas!E1765)+COUNTIF(Elan!$U$13:$X$25,Tablas!E1765)</f>
        <v>0</v>
      </c>
      <c r="K1765" s="626"/>
      <c r="L1765" s="5793" t="s">
        <v>6762</v>
      </c>
      <c r="M1765" s="5793"/>
      <c r="N1765" s="5793"/>
      <c r="O1765" s="5793"/>
      <c r="P1765" s="5793"/>
      <c r="Q1765" s="5794"/>
      <c r="R1765" s="1030">
        <f>IF(OR($J1765=0,$J1765="Aprendida"),0,SUM($J$1736:$J1765))</f>
        <v>0</v>
      </c>
      <c r="T1765" s="1154" t="s">
        <v>6793</v>
      </c>
      <c r="U1765" s="1155">
        <v>2</v>
      </c>
      <c r="V1765" s="1156"/>
      <c r="W1765" s="1155"/>
      <c r="X1765" s="1155"/>
      <c r="Y1765" s="1354"/>
    </row>
    <row r="1766" spans="1:25" ht="12.75" customHeight="1" x14ac:dyDescent="0.2">
      <c r="A1766" s="237">
        <v>1766</v>
      </c>
      <c r="B1766" s="5838"/>
      <c r="E1766" s="1027" t="s">
        <v>6539</v>
      </c>
      <c r="F1766" s="626"/>
      <c r="G1766" s="626">
        <v>40</v>
      </c>
      <c r="H1766" s="626">
        <v>1</v>
      </c>
      <c r="I1766" s="626">
        <v>10</v>
      </c>
      <c r="J1766" s="626">
        <f>COUNTIF(Elan!$C$13:$F$25,Tablas!E1766)+COUNTIF(Elan!$U$13:$X$25,Tablas!E1766)</f>
        <v>0</v>
      </c>
      <c r="K1766" s="626"/>
      <c r="L1766" s="5793" t="s">
        <v>6765</v>
      </c>
      <c r="M1766" s="5793"/>
      <c r="N1766" s="5793"/>
      <c r="O1766" s="5793"/>
      <c r="P1766" s="5793"/>
      <c r="Q1766" s="5794"/>
      <c r="R1766" s="1030">
        <f>IF(OR($J1766=0,$J1766="Aprendida"),0,SUM($J$1736:$J1766))</f>
        <v>0</v>
      </c>
      <c r="T1766" s="1157"/>
      <c r="U1766" s="1158"/>
      <c r="V1766" s="1158"/>
      <c r="W1766" s="1158"/>
      <c r="X1766" s="1158"/>
      <c r="Y1766" s="1355"/>
    </row>
    <row r="1767" spans="1:25" ht="12.75" customHeight="1" x14ac:dyDescent="0.2">
      <c r="A1767" s="237">
        <v>1767</v>
      </c>
      <c r="B1767" s="5838"/>
      <c r="E1767" s="1027" t="s">
        <v>6540</v>
      </c>
      <c r="F1767" s="626"/>
      <c r="G1767" s="626">
        <v>40</v>
      </c>
      <c r="H1767" s="626">
        <v>1</v>
      </c>
      <c r="I1767" s="626">
        <v>5</v>
      </c>
      <c r="J1767" s="626">
        <f>COUNTIF(Elan!$C$13:$F$25,Tablas!E1767)+COUNTIF(Elan!$U$13:$X$25,Tablas!E1767)</f>
        <v>0</v>
      </c>
      <c r="K1767" s="626"/>
      <c r="L1767" s="5793" t="s">
        <v>8847</v>
      </c>
      <c r="M1767" s="5793"/>
      <c r="N1767" s="5793"/>
      <c r="O1767" s="5793"/>
      <c r="P1767" s="5793"/>
      <c r="Q1767" s="5794"/>
      <c r="R1767" s="1030">
        <f>IF(OR($J1767=0,$J1767="Aprendida"),0,SUM($J$1736:$J1767))</f>
        <v>0</v>
      </c>
      <c r="T1767" s="1157"/>
      <c r="U1767" s="1158"/>
      <c r="V1767" s="1158"/>
      <c r="W1767" s="1158"/>
      <c r="X1767" s="1158"/>
      <c r="Y1767" s="1355"/>
    </row>
    <row r="1768" spans="1:25" ht="12.75" customHeight="1" x14ac:dyDescent="0.2">
      <c r="A1768" s="237">
        <v>1768</v>
      </c>
      <c r="B1768" s="5838"/>
      <c r="E1768" s="1027" t="s">
        <v>6541</v>
      </c>
      <c r="F1768" s="626"/>
      <c r="G1768" s="626">
        <v>50</v>
      </c>
      <c r="H1768" s="626">
        <v>1</v>
      </c>
      <c r="I1768" s="626">
        <v>10</v>
      </c>
      <c r="J1768" s="626">
        <f>COUNTIF(Elan!$C$13:$F$25,Tablas!E1768)+COUNTIF(Elan!$U$13:$X$25,Tablas!E1768)</f>
        <v>0</v>
      </c>
      <c r="K1768" s="626"/>
      <c r="L1768" s="5793" t="s">
        <v>6769</v>
      </c>
      <c r="M1768" s="5793"/>
      <c r="N1768" s="5793"/>
      <c r="O1768" s="5793"/>
      <c r="P1768" s="5793"/>
      <c r="Q1768" s="5794"/>
      <c r="R1768" s="1030">
        <f>IF(OR($J1768=0,$J1768="Aprendida"),0,SUM($J$1736:$J1768))</f>
        <v>0</v>
      </c>
      <c r="T1768" s="1152" t="str">
        <f>E1789</f>
        <v>Gabriel</v>
      </c>
      <c r="U1768" s="1153"/>
      <c r="V1768" s="1159"/>
      <c r="W1768" s="1153"/>
      <c r="X1768" s="1153"/>
      <c r="Y1768" s="1353"/>
    </row>
    <row r="1769" spans="1:25" ht="12.75" customHeight="1" x14ac:dyDescent="0.2">
      <c r="A1769" s="237">
        <v>1769</v>
      </c>
      <c r="B1769" s="5838"/>
      <c r="E1769" s="1027" t="s">
        <v>6542</v>
      </c>
      <c r="F1769" s="626"/>
      <c r="G1769" s="626">
        <v>60</v>
      </c>
      <c r="H1769" s="626">
        <f>IF(J1766,1,0)</f>
        <v>0</v>
      </c>
      <c r="I1769" s="626">
        <v>20</v>
      </c>
      <c r="J1769" s="626">
        <f>COUNTIF(Elan!$C$13:$F$25,Tablas!E1769)+COUNTIF(Elan!$U$13:$X$25,Tablas!E1769)</f>
        <v>0</v>
      </c>
      <c r="K1769" s="626"/>
      <c r="L1769" s="5793" t="s">
        <v>6770</v>
      </c>
      <c r="M1769" s="5793"/>
      <c r="N1769" s="5793"/>
      <c r="O1769" s="5793"/>
      <c r="P1769" s="5793"/>
      <c r="Q1769" s="5794"/>
      <c r="R1769" s="1030">
        <f>IF(OR($J1769=0,$J1769="Aprendida"),0,SUM($J$1736:$J1769))</f>
        <v>0</v>
      </c>
      <c r="T1769" s="1154" t="s">
        <v>6801</v>
      </c>
      <c r="U1769" s="1155">
        <v>3</v>
      </c>
      <c r="V1769" s="1156" t="s">
        <v>6802</v>
      </c>
      <c r="W1769" s="1155">
        <v>3</v>
      </c>
      <c r="X1769" s="1155" t="s">
        <v>6803</v>
      </c>
      <c r="Y1769" s="1354">
        <v>-2</v>
      </c>
    </row>
    <row r="1770" spans="1:25" ht="12.75" customHeight="1" x14ac:dyDescent="0.2">
      <c r="A1770" s="237">
        <v>1770</v>
      </c>
      <c r="B1770" s="5838"/>
      <c r="E1770" s="1027" t="s">
        <v>6543</v>
      </c>
      <c r="F1770" s="626"/>
      <c r="G1770" s="626">
        <v>60</v>
      </c>
      <c r="H1770" s="626">
        <v>1</v>
      </c>
      <c r="I1770" s="626">
        <v>15</v>
      </c>
      <c r="J1770" s="626">
        <f>COUNTIF(Elan!$C$13:$F$25,Tablas!E1770)+COUNTIF(Elan!$U$13:$X$25,Tablas!E1770)</f>
        <v>0</v>
      </c>
      <c r="K1770" s="626"/>
      <c r="L1770" s="5793" t="s">
        <v>6771</v>
      </c>
      <c r="M1770" s="5793"/>
      <c r="N1770" s="5793"/>
      <c r="O1770" s="5793"/>
      <c r="P1770" s="5793"/>
      <c r="Q1770" s="5794"/>
      <c r="R1770" s="1030">
        <f>IF(OR($J1770=0,$J1770="Aprendida"),0,SUM($J$1736:$J1770))</f>
        <v>0</v>
      </c>
      <c r="T1770" s="1154" t="s">
        <v>6805</v>
      </c>
      <c r="U1770" s="1155">
        <v>1</v>
      </c>
      <c r="V1770" s="1156" t="s">
        <v>6806</v>
      </c>
      <c r="W1770" s="1155">
        <v>2</v>
      </c>
      <c r="X1770" s="1155" t="s">
        <v>6807</v>
      </c>
      <c r="Y1770" s="1354">
        <v>-3</v>
      </c>
    </row>
    <row r="1771" spans="1:25" ht="12.75" customHeight="1" x14ac:dyDescent="0.2">
      <c r="A1771" s="237">
        <v>1771</v>
      </c>
      <c r="B1771" s="5838"/>
      <c r="E1771" s="1027" t="s">
        <v>6544</v>
      </c>
      <c r="F1771" s="626"/>
      <c r="G1771" s="626">
        <v>70</v>
      </c>
      <c r="H1771" s="626">
        <v>1</v>
      </c>
      <c r="I1771" s="626">
        <v>10</v>
      </c>
      <c r="J1771" s="626">
        <f>COUNTIF(Elan!$C$13:$F$25,Tablas!E1771)+COUNTIF(Elan!$U$13:$X$25,Tablas!E1771)</f>
        <v>0</v>
      </c>
      <c r="K1771" s="626">
        <f>IF(J1771&gt;0,1,0)</f>
        <v>0</v>
      </c>
      <c r="L1771" s="5793" t="s">
        <v>6772</v>
      </c>
      <c r="M1771" s="5793"/>
      <c r="N1771" s="5793"/>
      <c r="O1771" s="5793"/>
      <c r="P1771" s="5793"/>
      <c r="Q1771" s="5794"/>
      <c r="R1771" s="1030">
        <f>IF(OR($J1771=0,$J1771="Aprendida"),0,SUM($J$1736:$J1771))</f>
        <v>0</v>
      </c>
      <c r="T1771" s="1154" t="s">
        <v>6713</v>
      </c>
      <c r="U1771" s="1155">
        <v>2</v>
      </c>
      <c r="V1771" s="1156" t="s">
        <v>6809</v>
      </c>
      <c r="W1771" s="1155">
        <v>1</v>
      </c>
      <c r="X1771" s="1155" t="s">
        <v>6810</v>
      </c>
      <c r="Y1771" s="1354">
        <v>-2</v>
      </c>
    </row>
    <row r="1772" spans="1:25" ht="12.75" customHeight="1" x14ac:dyDescent="0.2">
      <c r="A1772" s="237">
        <v>1772</v>
      </c>
      <c r="B1772" s="5838"/>
      <c r="E1772" s="1027" t="s">
        <v>6545</v>
      </c>
      <c r="F1772" s="626"/>
      <c r="G1772" s="626">
        <v>80</v>
      </c>
      <c r="H1772" s="626">
        <v>1</v>
      </c>
      <c r="I1772" s="626">
        <v>10</v>
      </c>
      <c r="J1772" s="626">
        <f>COUNTIF(Elan!$C$13:$F$25,Tablas!E1772)+COUNTIF(Elan!$U$13:$X$25,Tablas!E1772)</f>
        <v>0</v>
      </c>
      <c r="K1772" s="626"/>
      <c r="L1772" s="5793" t="s">
        <v>6773</v>
      </c>
      <c r="M1772" s="5793"/>
      <c r="N1772" s="5793"/>
      <c r="O1772" s="5793"/>
      <c r="P1772" s="5793"/>
      <c r="Q1772" s="5794"/>
      <c r="R1772" s="1030">
        <f>IF(OR($J1772=0,$J1772="Aprendida"),0,SUM($J$1736:$J1772))</f>
        <v>0</v>
      </c>
      <c r="T1772" s="1154" t="s">
        <v>6812</v>
      </c>
      <c r="U1772" s="1155">
        <v>3</v>
      </c>
      <c r="V1772" s="1156" t="s">
        <v>6813</v>
      </c>
      <c r="W1772" s="1155">
        <v>2</v>
      </c>
      <c r="X1772" s="1155" t="s">
        <v>6814</v>
      </c>
      <c r="Y1772" s="1354">
        <v>-1</v>
      </c>
    </row>
    <row r="1773" spans="1:25" ht="12.75" customHeight="1" x14ac:dyDescent="0.2">
      <c r="A1773" s="237">
        <v>1773</v>
      </c>
      <c r="B1773" s="5838"/>
      <c r="E1773" s="1027" t="s">
        <v>6546</v>
      </c>
      <c r="F1773" s="626"/>
      <c r="G1773" s="626">
        <v>90</v>
      </c>
      <c r="H1773" s="626">
        <v>1</v>
      </c>
      <c r="I1773" s="626">
        <v>20</v>
      </c>
      <c r="J1773" s="626">
        <f>COUNTIF(Elan!$C$13:$F$25,Tablas!E1773)+COUNTIF(Elan!$U$13:$X$25,Tablas!E1773)</f>
        <v>0</v>
      </c>
      <c r="K1773" s="626"/>
      <c r="L1773" s="5793" t="s">
        <v>6774</v>
      </c>
      <c r="M1773" s="5793"/>
      <c r="N1773" s="5793"/>
      <c r="O1773" s="5793"/>
      <c r="P1773" s="5793"/>
      <c r="Q1773" s="5794"/>
      <c r="R1773" s="1030">
        <f>IF(OR($J1773=0,$J1773="Aprendida"),0,SUM($J$1736:$J1773))</f>
        <v>0</v>
      </c>
      <c r="T1773" s="1154" t="s">
        <v>6816</v>
      </c>
      <c r="U1773" s="1155">
        <v>1</v>
      </c>
      <c r="V1773" s="1156"/>
      <c r="W1773" s="1155"/>
      <c r="X1773" s="1155" t="s">
        <v>6817</v>
      </c>
      <c r="Y1773" s="1354">
        <v>-5</v>
      </c>
    </row>
    <row r="1774" spans="1:25" ht="12.75" customHeight="1" x14ac:dyDescent="0.2">
      <c r="A1774" s="237">
        <v>1774</v>
      </c>
      <c r="B1774" s="5838"/>
      <c r="E1774" s="1027" t="s">
        <v>6547</v>
      </c>
      <c r="F1774" s="626"/>
      <c r="G1774" s="626">
        <v>100</v>
      </c>
      <c r="H1774" s="626">
        <v>1</v>
      </c>
      <c r="I1774" s="626">
        <v>10</v>
      </c>
      <c r="J1774" s="626">
        <f>COUNTIF(Elan!$C$13:$F$25,Tablas!E1774)+COUNTIF(Elan!$U$13:$X$25,Tablas!E1774)</f>
        <v>0</v>
      </c>
      <c r="K1774" s="626"/>
      <c r="L1774" s="5793" t="s">
        <v>6775</v>
      </c>
      <c r="M1774" s="5793"/>
      <c r="N1774" s="5793"/>
      <c r="O1774" s="5793"/>
      <c r="P1774" s="5793"/>
      <c r="Q1774" s="5794"/>
      <c r="R1774" s="1030">
        <f>IF(OR($J1774=0,$J1774="Aprendida"),0,SUM($J$1736:$J1774))</f>
        <v>0</v>
      </c>
      <c r="T1774" s="1157"/>
      <c r="U1774" s="1158"/>
      <c r="V1774" s="1158"/>
      <c r="W1774" s="1158"/>
      <c r="X1774" s="1158"/>
      <c r="Y1774" s="1355"/>
    </row>
    <row r="1775" spans="1:25" ht="12.75" customHeight="1" x14ac:dyDescent="0.2">
      <c r="A1775" s="237">
        <v>1775</v>
      </c>
      <c r="B1775" s="5838"/>
      <c r="E1775" s="1026" t="s">
        <v>6502</v>
      </c>
      <c r="F1775" s="1465">
        <f>IF(Elan!$C$11=Tablas!$E1775,Elan!$G$11,IF(Elan!$U$11=Tablas!$E1775,Elan!$Y$11,0))</f>
        <v>0</v>
      </c>
      <c r="G1775" s="1019" t="s">
        <v>1824</v>
      </c>
      <c r="H1775" s="1019" t="s">
        <v>8507</v>
      </c>
      <c r="I1775" s="1019" t="s">
        <v>1493</v>
      </c>
      <c r="J1775" s="1019" t="s">
        <v>6512</v>
      </c>
      <c r="K1775" s="1019" t="s">
        <v>7268</v>
      </c>
      <c r="L1775" s="1019" t="s">
        <v>1553</v>
      </c>
      <c r="M1775" s="627"/>
      <c r="N1775" s="627"/>
      <c r="O1775" s="627"/>
      <c r="P1775" s="627"/>
      <c r="Q1775" s="1024"/>
      <c r="R1775" s="1030">
        <f>IF(OR($J1775=0,$J1775="Aprendida"),0,SUM($J$1736:$J1775))</f>
        <v>0</v>
      </c>
      <c r="T1775" s="1157"/>
      <c r="U1775" s="1158"/>
      <c r="V1775" s="1158"/>
      <c r="W1775" s="1158"/>
      <c r="X1775" s="1158"/>
      <c r="Y1775" s="1355"/>
    </row>
    <row r="1776" spans="1:25" ht="12.75" customHeight="1" x14ac:dyDescent="0.2">
      <c r="A1776" s="237">
        <v>1776</v>
      </c>
      <c r="B1776" s="5838"/>
      <c r="E1776" s="1027" t="s">
        <v>6548</v>
      </c>
      <c r="F1776" s="626"/>
      <c r="G1776" s="626">
        <v>10</v>
      </c>
      <c r="H1776" s="626">
        <v>1</v>
      </c>
      <c r="I1776" s="626">
        <v>5</v>
      </c>
      <c r="J1776" s="626">
        <f>COUNTIF(Elan!$C$13:$F$25,Tablas!E1776)+COUNTIF(Elan!$U$13:$X$25,Tablas!E1776)</f>
        <v>0</v>
      </c>
      <c r="K1776" s="626">
        <f>F$1775*J1776</f>
        <v>0</v>
      </c>
      <c r="L1776" s="5793" t="s">
        <v>6776</v>
      </c>
      <c r="M1776" s="5793"/>
      <c r="N1776" s="5793"/>
      <c r="O1776" s="5793"/>
      <c r="P1776" s="5793"/>
      <c r="Q1776" s="5794"/>
      <c r="R1776" s="1030">
        <f>IF(OR($J1776=0,$J1776="Aprendida"),0,SUM($J$1736:$J1776))</f>
        <v>0</v>
      </c>
      <c r="T1776" s="1152" t="str">
        <f>E1802</f>
        <v>Noah</v>
      </c>
      <c r="U1776" s="1153"/>
      <c r="V1776" s="1159"/>
      <c r="W1776" s="1153"/>
      <c r="X1776" s="1153"/>
      <c r="Y1776" s="1353"/>
    </row>
    <row r="1777" spans="1:25" ht="12.75" customHeight="1" x14ac:dyDescent="0.2">
      <c r="A1777" s="237">
        <v>1777</v>
      </c>
      <c r="B1777" s="5838"/>
      <c r="E1777" s="1027" t="s">
        <v>6549</v>
      </c>
      <c r="F1777" s="626"/>
      <c r="G1777" s="626">
        <v>20</v>
      </c>
      <c r="H1777" s="626">
        <v>1</v>
      </c>
      <c r="I1777" s="626">
        <v>10</v>
      </c>
      <c r="J1777" s="626">
        <f>COUNTIF(Elan!$C$13:$F$25,Tablas!E1777)+COUNTIF(Elan!$U$13:$X$25,Tablas!E1777)</f>
        <v>0</v>
      </c>
      <c r="K1777" s="626">
        <f>ROUNDDOWN(F$1775/2,0)*J1777</f>
        <v>0</v>
      </c>
      <c r="L1777" s="5793" t="s">
        <v>6779</v>
      </c>
      <c r="M1777" s="5793"/>
      <c r="N1777" s="5793"/>
      <c r="O1777" s="5793"/>
      <c r="P1777" s="5793"/>
      <c r="Q1777" s="5794"/>
      <c r="R1777" s="1030">
        <f>IF(OR($J1777=0,$J1777="Aprendida"),0,SUM($J$1736:$J1777))</f>
        <v>0</v>
      </c>
      <c r="T1777" s="1154" t="s">
        <v>6826</v>
      </c>
      <c r="U1777" s="1155">
        <v>2</v>
      </c>
      <c r="V1777" s="1156" t="s">
        <v>6827</v>
      </c>
      <c r="W1777" s="1155">
        <v>1</v>
      </c>
      <c r="X1777" s="1155" t="s">
        <v>6828</v>
      </c>
      <c r="Y1777" s="1354">
        <v>-2</v>
      </c>
    </row>
    <row r="1778" spans="1:25" ht="12.75" customHeight="1" x14ac:dyDescent="0.2">
      <c r="A1778" s="237">
        <v>1778</v>
      </c>
      <c r="B1778" s="5838"/>
      <c r="E1778" s="1027" t="s">
        <v>2066</v>
      </c>
      <c r="F1778" s="626"/>
      <c r="G1778" s="626">
        <v>30</v>
      </c>
      <c r="H1778" s="626">
        <v>1</v>
      </c>
      <c r="I1778" s="626">
        <v>5</v>
      </c>
      <c r="J1778" s="626">
        <f>COUNTIF(Elan!$C$13:$F$25,Tablas!E1778)+COUNTIF(Elan!$U$13:$X$25,Tablas!E1778)</f>
        <v>0</v>
      </c>
      <c r="K1778" s="626"/>
      <c r="L1778" s="5793" t="s">
        <v>6783</v>
      </c>
      <c r="M1778" s="5793"/>
      <c r="N1778" s="5793"/>
      <c r="O1778" s="5793"/>
      <c r="P1778" s="5793"/>
      <c r="Q1778" s="5794"/>
      <c r="R1778" s="1030">
        <f>IF(OR($J1778=0,$J1778="Aprendida"),0,SUM($J$1736:$J1778))</f>
        <v>0</v>
      </c>
      <c r="T1778" s="1154" t="s">
        <v>6830</v>
      </c>
      <c r="U1778" s="1155">
        <v>3</v>
      </c>
      <c r="V1778" s="1156" t="s">
        <v>6831</v>
      </c>
      <c r="W1778" s="1155">
        <v>2</v>
      </c>
      <c r="X1778" s="1155" t="s">
        <v>6832</v>
      </c>
      <c r="Y1778" s="1354">
        <v>-5</v>
      </c>
    </row>
    <row r="1779" spans="1:25" ht="12.75" customHeight="1" x14ac:dyDescent="0.2">
      <c r="A1779" s="237">
        <v>1779</v>
      </c>
      <c r="B1779" s="5838"/>
      <c r="E1779" s="1027" t="s">
        <v>6550</v>
      </c>
      <c r="F1779" s="626"/>
      <c r="G1779" s="626">
        <v>40</v>
      </c>
      <c r="H1779" s="626">
        <v>1</v>
      </c>
      <c r="I1779" s="626">
        <v>5</v>
      </c>
      <c r="J1779" s="626">
        <f>COUNTIF(Elan!$C$13:$F$25,Tablas!E1779)+COUNTIF(Elan!$U$13:$X$25,Tablas!E1779)</f>
        <v>0</v>
      </c>
      <c r="K1779" s="626"/>
      <c r="L1779" s="5793" t="s">
        <v>6787</v>
      </c>
      <c r="M1779" s="5793"/>
      <c r="N1779" s="5793"/>
      <c r="O1779" s="5793"/>
      <c r="P1779" s="5793"/>
      <c r="Q1779" s="5794"/>
      <c r="R1779" s="1030">
        <f>IF(OR($J1779=0,$J1779="Aprendida"),0,SUM($J$1736:$J1779))</f>
        <v>0</v>
      </c>
      <c r="T1779" s="1154" t="s">
        <v>6834</v>
      </c>
      <c r="U1779" s="1155">
        <v>3</v>
      </c>
      <c r="V1779" s="1156" t="s">
        <v>6835</v>
      </c>
      <c r="W1779" s="1155">
        <v>4</v>
      </c>
      <c r="X1779" s="1155" t="s">
        <v>6836</v>
      </c>
      <c r="Y1779" s="1354">
        <v>-10</v>
      </c>
    </row>
    <row r="1780" spans="1:25" ht="12.75" customHeight="1" x14ac:dyDescent="0.2">
      <c r="A1780" s="237">
        <v>1780</v>
      </c>
      <c r="B1780" s="5838"/>
      <c r="E1780" s="1027" t="s">
        <v>6551</v>
      </c>
      <c r="F1780" s="626"/>
      <c r="G1780" s="626">
        <v>50</v>
      </c>
      <c r="H1780" s="626">
        <v>1</v>
      </c>
      <c r="I1780" s="626">
        <v>10</v>
      </c>
      <c r="J1780" s="626">
        <f>COUNTIF(Elan!$C$13:$F$25,Tablas!E1780)+COUNTIF(Elan!$U$13:$X$25,Tablas!E1780)</f>
        <v>0</v>
      </c>
      <c r="K1780" s="626">
        <f>ROUNDDOWN(F$1775/2,0)*J1780</f>
        <v>0</v>
      </c>
      <c r="L1780" s="5793" t="s">
        <v>6790</v>
      </c>
      <c r="M1780" s="5793"/>
      <c r="N1780" s="5793"/>
      <c r="O1780" s="5793"/>
      <c r="P1780" s="5793"/>
      <c r="Q1780" s="5794"/>
      <c r="R1780" s="1030">
        <f>IF(OR($J1780=0,$J1780="Aprendida"),0,SUM($J$1736:$J1780))</f>
        <v>0</v>
      </c>
      <c r="T1780" s="1154" t="s">
        <v>6838</v>
      </c>
      <c r="U1780" s="1155">
        <v>3</v>
      </c>
      <c r="V1780" s="1156"/>
      <c r="W1780" s="1155"/>
      <c r="X1780" s="1155" t="s">
        <v>6839</v>
      </c>
      <c r="Y1780" s="1354">
        <v>-2</v>
      </c>
    </row>
    <row r="1781" spans="1:25" ht="12.75" customHeight="1" x14ac:dyDescent="0.2">
      <c r="A1781" s="237">
        <v>1781</v>
      </c>
      <c r="B1781" s="5838"/>
      <c r="E1781" s="1027" t="s">
        <v>6552</v>
      </c>
      <c r="F1781" s="626"/>
      <c r="G1781" s="626">
        <v>50</v>
      </c>
      <c r="H1781" s="626">
        <v>1</v>
      </c>
      <c r="I1781" s="626">
        <v>10</v>
      </c>
      <c r="J1781" s="626">
        <f>COUNTIF(Elan!$C$13:$F$25,Tablas!E1781)+COUNTIF(Elan!$U$13:$X$25,Tablas!E1781)</f>
        <v>0</v>
      </c>
      <c r="K1781" s="626"/>
      <c r="L1781" s="5793" t="s">
        <v>6792</v>
      </c>
      <c r="M1781" s="5793"/>
      <c r="N1781" s="5793"/>
      <c r="O1781" s="5793"/>
      <c r="P1781" s="5793"/>
      <c r="Q1781" s="5794"/>
      <c r="R1781" s="1030">
        <f>IF(OR($J1781=0,$J1781="Aprendida"),0,SUM($J$1736:$J1781))</f>
        <v>0</v>
      </c>
      <c r="T1781" s="1154" t="s">
        <v>6841</v>
      </c>
      <c r="U1781" s="1155">
        <v>2</v>
      </c>
      <c r="V1781" s="1156"/>
      <c r="W1781" s="1155"/>
      <c r="X1781" s="1155"/>
      <c r="Y1781" s="1354"/>
    </row>
    <row r="1782" spans="1:25" ht="12.75" customHeight="1" x14ac:dyDescent="0.2">
      <c r="A1782" s="237">
        <v>1782</v>
      </c>
      <c r="B1782" s="5838"/>
      <c r="E1782" s="1027" t="s">
        <v>6553</v>
      </c>
      <c r="F1782" s="626"/>
      <c r="G1782" s="626">
        <v>60</v>
      </c>
      <c r="H1782" s="626">
        <v>1</v>
      </c>
      <c r="I1782" s="626">
        <v>10</v>
      </c>
      <c r="J1782" s="626">
        <f>COUNTIF(Elan!$C$13:$F$25,Tablas!E1782)+COUNTIF(Elan!$U$13:$X$25,Tablas!E1782)</f>
        <v>0</v>
      </c>
      <c r="K1782" s="626"/>
      <c r="L1782" s="5793" t="s">
        <v>6794</v>
      </c>
      <c r="M1782" s="5793"/>
      <c r="N1782" s="5793"/>
      <c r="O1782" s="5793"/>
      <c r="P1782" s="5793"/>
      <c r="Q1782" s="5794"/>
      <c r="R1782" s="1030">
        <f>IF(OR($J1782=0,$J1782="Aprendida"),0,SUM($J$1736:$J1782))</f>
        <v>0</v>
      </c>
      <c r="T1782" s="1157"/>
      <c r="U1782" s="1158"/>
      <c r="V1782" s="1158"/>
      <c r="W1782" s="1158"/>
      <c r="X1782" s="1158"/>
      <c r="Y1782" s="1355"/>
    </row>
    <row r="1783" spans="1:25" ht="12.75" customHeight="1" x14ac:dyDescent="0.2">
      <c r="A1783" s="237">
        <v>1783</v>
      </c>
      <c r="B1783" s="5838"/>
      <c r="E1783" s="1027" t="s">
        <v>6554</v>
      </c>
      <c r="F1783" s="626"/>
      <c r="G1783" s="626">
        <v>65</v>
      </c>
      <c r="H1783" s="626">
        <v>1</v>
      </c>
      <c r="I1783" s="626">
        <v>15</v>
      </c>
      <c r="J1783" s="626">
        <f>COUNTIF(Elan!$C$13:$F$25,Tablas!E1783)+COUNTIF(Elan!$U$13:$X$25,Tablas!E1783)</f>
        <v>0</v>
      </c>
      <c r="K1783" s="626"/>
      <c r="L1783" s="5793" t="s">
        <v>6795</v>
      </c>
      <c r="M1783" s="5793"/>
      <c r="N1783" s="5793"/>
      <c r="O1783" s="5793"/>
      <c r="P1783" s="5793"/>
      <c r="Q1783" s="5794"/>
      <c r="R1783" s="1030">
        <f>IF(OR($J1783=0,$J1783="Aprendida"),0,SUM($J$1736:$J1783))</f>
        <v>0</v>
      </c>
      <c r="T1783" s="1157"/>
      <c r="U1783" s="1158"/>
      <c r="V1783" s="1158"/>
      <c r="W1783" s="1158"/>
      <c r="X1783" s="1158"/>
      <c r="Y1783" s="1355"/>
    </row>
    <row r="1784" spans="1:25" ht="12.75" customHeight="1" x14ac:dyDescent="0.2">
      <c r="A1784" s="237">
        <v>1784</v>
      </c>
      <c r="B1784" s="5838"/>
      <c r="E1784" s="1027" t="s">
        <v>6555</v>
      </c>
      <c r="F1784" s="626"/>
      <c r="G1784" s="626">
        <v>70</v>
      </c>
      <c r="H1784" s="626">
        <v>1</v>
      </c>
      <c r="I1784" s="626">
        <v>15</v>
      </c>
      <c r="J1784" s="626">
        <f>COUNTIF(Elan!$C$13:$F$25,Tablas!E1784)+COUNTIF(Elan!$U$13:$X$25,Tablas!E1784)</f>
        <v>0</v>
      </c>
      <c r="K1784" s="626">
        <f>IF(J1784&gt;0,1,0)</f>
        <v>0</v>
      </c>
      <c r="L1784" s="5793" t="s">
        <v>6796</v>
      </c>
      <c r="M1784" s="5793"/>
      <c r="N1784" s="5793"/>
      <c r="O1784" s="5793"/>
      <c r="P1784" s="5793"/>
      <c r="Q1784" s="5794"/>
      <c r="R1784" s="1030">
        <f>IF(OR($J1784=0,$J1784="Aprendida"),0,SUM($J$1736:$J1784))</f>
        <v>0</v>
      </c>
      <c r="T1784" s="1152" t="str">
        <f>E1815</f>
        <v>Rafael</v>
      </c>
      <c r="U1784" s="1153"/>
      <c r="V1784" s="1159"/>
      <c r="W1784" s="1153"/>
      <c r="X1784" s="1153"/>
      <c r="Y1784" s="1353"/>
    </row>
    <row r="1785" spans="1:25" ht="12.75" customHeight="1" x14ac:dyDescent="0.2">
      <c r="A1785" s="237">
        <v>1785</v>
      </c>
      <c r="B1785" s="5838"/>
      <c r="E1785" s="1027" t="s">
        <v>6556</v>
      </c>
      <c r="F1785" s="626"/>
      <c r="G1785" s="626">
        <v>70</v>
      </c>
      <c r="H1785" s="626">
        <f>IF(J1781,1,0)</f>
        <v>0</v>
      </c>
      <c r="I1785" s="626">
        <v>10</v>
      </c>
      <c r="J1785" s="626">
        <f>COUNTIF(Elan!$C$13:$F$25,Tablas!E1785)+COUNTIF(Elan!$U$13:$X$25,Tablas!E1785)</f>
        <v>0</v>
      </c>
      <c r="K1785" s="626"/>
      <c r="L1785" s="5793" t="s">
        <v>6797</v>
      </c>
      <c r="M1785" s="5793"/>
      <c r="N1785" s="5793"/>
      <c r="O1785" s="5793"/>
      <c r="P1785" s="5793"/>
      <c r="Q1785" s="5794"/>
      <c r="R1785" s="1030">
        <f>IF(OR($J1785=0,$J1785="Aprendida"),0,SUM($J$1736:$J1785))</f>
        <v>0</v>
      </c>
      <c r="T1785" s="1154" t="s">
        <v>6850</v>
      </c>
      <c r="U1785" s="1155">
        <v>1</v>
      </c>
      <c r="V1785" s="1156" t="s">
        <v>6851</v>
      </c>
      <c r="W1785" s="1155">
        <v>2</v>
      </c>
      <c r="X1785" s="1155" t="s">
        <v>6852</v>
      </c>
      <c r="Y1785" s="1354">
        <v>-5</v>
      </c>
    </row>
    <row r="1786" spans="1:25" ht="12.75" customHeight="1" x14ac:dyDescent="0.2">
      <c r="A1786" s="237">
        <v>1786</v>
      </c>
      <c r="B1786" s="5838"/>
      <c r="E1786" s="1027" t="s">
        <v>6545</v>
      </c>
      <c r="F1786" s="626"/>
      <c r="G1786" s="626">
        <v>80</v>
      </c>
      <c r="H1786" s="626">
        <v>1</v>
      </c>
      <c r="I1786" s="626">
        <v>15</v>
      </c>
      <c r="J1786" s="626">
        <f>COUNTIF(Elan!$C$13:$F$25,Tablas!E1786)+COUNTIF(Elan!$U$13:$X$25,Tablas!E1786)</f>
        <v>0</v>
      </c>
      <c r="K1786" s="626"/>
      <c r="L1786" s="5793" t="s">
        <v>6773</v>
      </c>
      <c r="M1786" s="5793"/>
      <c r="N1786" s="5793"/>
      <c r="O1786" s="5793"/>
      <c r="P1786" s="5793"/>
      <c r="Q1786" s="5794"/>
      <c r="R1786" s="1030">
        <f>IF(OR($J1786=0,$J1786="Aprendida"),0,SUM($J$1736:$J1786))</f>
        <v>0</v>
      </c>
      <c r="T1786" s="1154" t="s">
        <v>6854</v>
      </c>
      <c r="U1786" s="1155">
        <v>5</v>
      </c>
      <c r="V1786" s="1156" t="s">
        <v>6854</v>
      </c>
      <c r="W1786" s="1155">
        <v>1</v>
      </c>
      <c r="X1786" s="1155" t="s">
        <v>6855</v>
      </c>
      <c r="Y1786" s="1354">
        <v>-3</v>
      </c>
    </row>
    <row r="1787" spans="1:25" ht="12.75" customHeight="1" x14ac:dyDescent="0.2">
      <c r="A1787" s="237">
        <v>1787</v>
      </c>
      <c r="B1787" s="5838"/>
      <c r="E1787" s="1027" t="s">
        <v>6557</v>
      </c>
      <c r="F1787" s="626"/>
      <c r="G1787" s="626">
        <v>90</v>
      </c>
      <c r="H1787" s="626">
        <f>IF(J1785,1,0)</f>
        <v>0</v>
      </c>
      <c r="I1787" s="626">
        <v>10</v>
      </c>
      <c r="J1787" s="626">
        <f>COUNTIF(Elan!$C$13:$F$25,Tablas!E1787)+COUNTIF(Elan!$U$13:$X$25,Tablas!E1787)</f>
        <v>0</v>
      </c>
      <c r="K1787" s="626"/>
      <c r="L1787" s="5793" t="s">
        <v>6798</v>
      </c>
      <c r="M1787" s="5793"/>
      <c r="N1787" s="5793"/>
      <c r="O1787" s="5793"/>
      <c r="P1787" s="5793"/>
      <c r="Q1787" s="5794"/>
      <c r="R1787" s="1030">
        <f>IF(OR($J1787=0,$J1787="Aprendida"),0,SUM($J$1736:$J1787))</f>
        <v>0</v>
      </c>
      <c r="T1787" s="1154" t="s">
        <v>6857</v>
      </c>
      <c r="U1787" s="1155">
        <v>3</v>
      </c>
      <c r="V1787" s="1156" t="s">
        <v>6858</v>
      </c>
      <c r="W1787" s="1155">
        <v>2</v>
      </c>
      <c r="X1787" s="1155" t="s">
        <v>6859</v>
      </c>
      <c r="Y1787" s="1354">
        <v>-10</v>
      </c>
    </row>
    <row r="1788" spans="1:25" ht="12.75" customHeight="1" x14ac:dyDescent="0.2">
      <c r="A1788" s="237">
        <v>1788</v>
      </c>
      <c r="B1788" s="5838"/>
      <c r="E1788" s="1027" t="s">
        <v>6558</v>
      </c>
      <c r="F1788" s="626"/>
      <c r="G1788" s="626">
        <v>100</v>
      </c>
      <c r="H1788" s="626">
        <v>1</v>
      </c>
      <c r="I1788" s="626">
        <v>10</v>
      </c>
      <c r="J1788" s="626">
        <f>COUNTIF(Elan!$C$13:$F$25,Tablas!E1788)+COUNTIF(Elan!$U$13:$X$25,Tablas!E1788)</f>
        <v>0</v>
      </c>
      <c r="K1788" s="626"/>
      <c r="L1788" s="5793" t="s">
        <v>6799</v>
      </c>
      <c r="M1788" s="5793"/>
      <c r="N1788" s="5793"/>
      <c r="O1788" s="5793"/>
      <c r="P1788" s="5793"/>
      <c r="Q1788" s="5794"/>
      <c r="R1788" s="1030">
        <f>IF(OR($J1788=0,$J1788="Aprendida"),0,SUM($J$1736:$J1788))</f>
        <v>0</v>
      </c>
      <c r="T1788" s="1154" t="s">
        <v>6861</v>
      </c>
      <c r="U1788" s="1155">
        <v>1</v>
      </c>
      <c r="V1788" s="1156"/>
      <c r="W1788" s="1155"/>
      <c r="X1788" s="1155"/>
      <c r="Y1788" s="1354"/>
    </row>
    <row r="1789" spans="1:25" ht="12.75" customHeight="1" x14ac:dyDescent="0.2">
      <c r="A1789" s="237">
        <v>1789</v>
      </c>
      <c r="B1789" s="5838"/>
      <c r="E1789" s="1026" t="s">
        <v>6410</v>
      </c>
      <c r="F1789" s="1465">
        <f>IF(Elan!$C$11=Tablas!$E1789,Elan!$G$11,IF(Elan!$U$11=Tablas!$E1789,Elan!$Y$11,0))</f>
        <v>0</v>
      </c>
      <c r="G1789" s="1019" t="s">
        <v>1824</v>
      </c>
      <c r="H1789" s="1019" t="s">
        <v>8507</v>
      </c>
      <c r="I1789" s="1019" t="s">
        <v>1493</v>
      </c>
      <c r="J1789" s="1019" t="s">
        <v>6512</v>
      </c>
      <c r="K1789" s="1019" t="s">
        <v>7268</v>
      </c>
      <c r="L1789" s="1019" t="s">
        <v>1553</v>
      </c>
      <c r="M1789" s="627"/>
      <c r="N1789" s="627"/>
      <c r="O1789" s="627"/>
      <c r="P1789" s="627"/>
      <c r="Q1789" s="1024"/>
      <c r="R1789" s="1030">
        <f>IF(OR($J1789=0,$J1789="Aprendida"),0,SUM($J$1736:$J1789))</f>
        <v>0</v>
      </c>
      <c r="T1789" s="1154" t="s">
        <v>6863</v>
      </c>
      <c r="U1789" s="1155">
        <v>5</v>
      </c>
      <c r="V1789" s="1156"/>
      <c r="W1789" s="1155"/>
      <c r="X1789" s="1155"/>
      <c r="Y1789" s="1354"/>
    </row>
    <row r="1790" spans="1:25" ht="12.75" customHeight="1" x14ac:dyDescent="0.2">
      <c r="A1790" s="237">
        <v>1790</v>
      </c>
      <c r="B1790" s="5838"/>
      <c r="E1790" s="1027" t="s">
        <v>6559</v>
      </c>
      <c r="F1790" s="626"/>
      <c r="G1790" s="626">
        <v>10</v>
      </c>
      <c r="H1790" s="626">
        <v>1</v>
      </c>
      <c r="I1790" s="626">
        <v>5</v>
      </c>
      <c r="J1790" s="626">
        <f>COUNTIF(Elan!$C$13:$F$25,Tablas!E1790)+COUNTIF(Elan!$U$13:$X$25,Tablas!E1790)</f>
        <v>0</v>
      </c>
      <c r="K1790" s="626">
        <f>F$1789*J1790</f>
        <v>0</v>
      </c>
      <c r="L1790" s="5793" t="s">
        <v>6800</v>
      </c>
      <c r="M1790" s="5793"/>
      <c r="N1790" s="5793"/>
      <c r="O1790" s="5793"/>
      <c r="P1790" s="5793"/>
      <c r="Q1790" s="5794"/>
      <c r="R1790" s="1030">
        <f>IF(OR($J1790=0,$J1790="Aprendida"),0,SUM($J$1736:$J1790))</f>
        <v>0</v>
      </c>
      <c r="T1790" s="1157"/>
      <c r="U1790" s="1158"/>
      <c r="V1790" s="1158"/>
      <c r="W1790" s="1158"/>
      <c r="X1790" s="1158"/>
      <c r="Y1790" s="1355"/>
    </row>
    <row r="1791" spans="1:25" ht="12.75" customHeight="1" x14ac:dyDescent="0.2">
      <c r="A1791" s="237">
        <v>1791</v>
      </c>
      <c r="B1791" s="5838"/>
      <c r="E1791" s="1027" t="s">
        <v>6560</v>
      </c>
      <c r="F1791" s="626"/>
      <c r="G1791" s="626">
        <v>20</v>
      </c>
      <c r="H1791" s="626">
        <v>1</v>
      </c>
      <c r="I1791" s="626">
        <v>5</v>
      </c>
      <c r="J1791" s="626">
        <f>COUNTIF(Elan!$C$13:$F$25,Tablas!E1791)+COUNTIF(Elan!$U$13:$X$25,Tablas!E1791)</f>
        <v>0</v>
      </c>
      <c r="K1791" s="626"/>
      <c r="L1791" s="5793" t="s">
        <v>6804</v>
      </c>
      <c r="M1791" s="5793"/>
      <c r="N1791" s="5793"/>
      <c r="O1791" s="5793"/>
      <c r="P1791" s="5793"/>
      <c r="Q1791" s="5794"/>
      <c r="R1791" s="1030">
        <f>IF(OR($J1791=0,$J1791="Aprendida"),0,SUM($J$1736:$J1791))</f>
        <v>0</v>
      </c>
      <c r="T1791" s="1157"/>
      <c r="U1791" s="1158"/>
      <c r="V1791" s="1158"/>
      <c r="W1791" s="1158"/>
      <c r="X1791" s="1158"/>
      <c r="Y1791" s="1355"/>
    </row>
    <row r="1792" spans="1:25" ht="12.75" customHeight="1" x14ac:dyDescent="0.2">
      <c r="A1792" s="237">
        <v>1792</v>
      </c>
      <c r="B1792" s="5838"/>
      <c r="E1792" s="1027" t="s">
        <v>6561</v>
      </c>
      <c r="F1792" s="626"/>
      <c r="G1792" s="626">
        <v>30</v>
      </c>
      <c r="H1792" s="626">
        <v>1</v>
      </c>
      <c r="I1792" s="626">
        <v>10</v>
      </c>
      <c r="J1792" s="626">
        <f>COUNTIF(Elan!$C$13:$F$25,Tablas!E1792)+COUNTIF(Elan!$U$13:$X$25,Tablas!E1792)</f>
        <v>0</v>
      </c>
      <c r="K1792" s="626"/>
      <c r="L1792" s="5793" t="s">
        <v>6808</v>
      </c>
      <c r="M1792" s="5793"/>
      <c r="N1792" s="5793"/>
      <c r="O1792" s="5793"/>
      <c r="P1792" s="5793"/>
      <c r="Q1792" s="5794"/>
      <c r="R1792" s="1030">
        <f>IF(OR($J1792=0,$J1792="Aprendida"),0,SUM($J$1736:$J1792))</f>
        <v>0</v>
      </c>
      <c r="T1792" s="1152" t="str">
        <f>E1829</f>
        <v>Erebus</v>
      </c>
      <c r="U1792" s="1153"/>
      <c r="V1792" s="1159"/>
      <c r="W1792" s="1153"/>
      <c r="X1792" s="1153"/>
      <c r="Y1792" s="1353"/>
    </row>
    <row r="1793" spans="1:25" ht="12.75" customHeight="1" x14ac:dyDescent="0.2">
      <c r="A1793" s="237">
        <v>1793</v>
      </c>
      <c r="B1793" s="5838"/>
      <c r="E1793" s="1027" t="s">
        <v>6562</v>
      </c>
      <c r="F1793" s="626"/>
      <c r="G1793" s="626">
        <v>40</v>
      </c>
      <c r="H1793" s="626">
        <v>1</v>
      </c>
      <c r="I1793" s="626">
        <v>10</v>
      </c>
      <c r="J1793" s="626">
        <f>COUNTIF(Elan!$C$13:$F$25,Tablas!E1793)+COUNTIF(Elan!$U$13:$X$25,Tablas!E1793)</f>
        <v>0</v>
      </c>
      <c r="K1793" s="626"/>
      <c r="L1793" s="5793" t="s">
        <v>6811</v>
      </c>
      <c r="M1793" s="5793"/>
      <c r="N1793" s="5793"/>
      <c r="O1793" s="5793"/>
      <c r="P1793" s="5793"/>
      <c r="Q1793" s="5794"/>
      <c r="R1793" s="1030">
        <f>IF(OR($J1793=0,$J1793="Aprendida"),0,SUM($J$1736:$J1793))</f>
        <v>0</v>
      </c>
      <c r="T1793" s="1154" t="s">
        <v>6873</v>
      </c>
      <c r="U1793" s="1155">
        <v>2</v>
      </c>
      <c r="V1793" s="1156" t="s">
        <v>6874</v>
      </c>
      <c r="W1793" s="1155">
        <v>2</v>
      </c>
      <c r="X1793" s="1155" t="s">
        <v>6875</v>
      </c>
      <c r="Y1793" s="1354">
        <v>-3</v>
      </c>
    </row>
    <row r="1794" spans="1:25" ht="12.75" customHeight="1" x14ac:dyDescent="0.2">
      <c r="A1794" s="237">
        <v>1794</v>
      </c>
      <c r="B1794" s="5838"/>
      <c r="E1794" s="1027" t="s">
        <v>1277</v>
      </c>
      <c r="F1794" s="626"/>
      <c r="G1794" s="626">
        <v>40</v>
      </c>
      <c r="H1794" s="626">
        <v>1</v>
      </c>
      <c r="I1794" s="626">
        <v>10</v>
      </c>
      <c r="J1794" s="626">
        <f>COUNTIF(Elan!$C$13:$F$25,Tablas!E1794)+COUNTIF(Elan!$U$13:$X$25,Tablas!E1794)</f>
        <v>0</v>
      </c>
      <c r="K1794" s="626"/>
      <c r="L1794" s="5793" t="s">
        <v>6815</v>
      </c>
      <c r="M1794" s="5793"/>
      <c r="N1794" s="5793"/>
      <c r="O1794" s="5793"/>
      <c r="P1794" s="5793"/>
      <c r="Q1794" s="5794"/>
      <c r="R1794" s="1030">
        <f>IF(OR($J1794=0,$J1794="Aprendida"),0,SUM($J$1736:$J1794))</f>
        <v>0</v>
      </c>
      <c r="T1794" s="1154" t="s">
        <v>6877</v>
      </c>
      <c r="U1794" s="1155">
        <v>3</v>
      </c>
      <c r="V1794" s="1156" t="s">
        <v>6878</v>
      </c>
      <c r="W1794" s="1155">
        <v>2</v>
      </c>
      <c r="X1794" s="1155" t="s">
        <v>6879</v>
      </c>
      <c r="Y1794" s="1354">
        <v>-2</v>
      </c>
    </row>
    <row r="1795" spans="1:25" ht="12.75" customHeight="1" x14ac:dyDescent="0.2">
      <c r="A1795" s="237">
        <v>1795</v>
      </c>
      <c r="B1795" s="5838"/>
      <c r="E1795" s="1027" t="s">
        <v>6563</v>
      </c>
      <c r="F1795" s="626"/>
      <c r="G1795" s="626">
        <v>50</v>
      </c>
      <c r="H1795" s="626">
        <v>1</v>
      </c>
      <c r="I1795" s="626">
        <v>10</v>
      </c>
      <c r="J1795" s="626">
        <f>COUNTIF(Elan!$C$13:$F$25,Tablas!E1795)+COUNTIF(Elan!$U$13:$X$25,Tablas!E1795)</f>
        <v>0</v>
      </c>
      <c r="K1795" s="626"/>
      <c r="L1795" s="5793" t="s">
        <v>6818</v>
      </c>
      <c r="M1795" s="5793"/>
      <c r="N1795" s="5793"/>
      <c r="O1795" s="5793"/>
      <c r="P1795" s="5793"/>
      <c r="Q1795" s="5794"/>
      <c r="R1795" s="1030">
        <f>IF(OR($J1795=0,$J1795="Aprendida"),0,SUM($J$1736:$J1795))</f>
        <v>0</v>
      </c>
      <c r="T1795" s="1154" t="s">
        <v>6881</v>
      </c>
      <c r="U1795" s="1155">
        <v>2</v>
      </c>
      <c r="V1795" s="1156" t="s">
        <v>6882</v>
      </c>
      <c r="W1795" s="1155">
        <v>2</v>
      </c>
      <c r="X1795" s="1155"/>
      <c r="Y1795" s="1354"/>
    </row>
    <row r="1796" spans="1:25" ht="12.75" customHeight="1" x14ac:dyDescent="0.2">
      <c r="A1796" s="237">
        <v>1796</v>
      </c>
      <c r="B1796" s="5838"/>
      <c r="E1796" s="1027" t="s">
        <v>6564</v>
      </c>
      <c r="F1796" s="626"/>
      <c r="G1796" s="626">
        <v>50</v>
      </c>
      <c r="H1796" s="626">
        <v>1</v>
      </c>
      <c r="I1796" s="626">
        <v>15</v>
      </c>
      <c r="J1796" s="626">
        <f>COUNTIF(Elan!$C$13:$F$25,Tablas!E1796)+COUNTIF(Elan!$U$13:$X$25,Tablas!E1796)</f>
        <v>0</v>
      </c>
      <c r="K1796" s="626"/>
      <c r="L1796" s="5793" t="s">
        <v>6819</v>
      </c>
      <c r="M1796" s="5793"/>
      <c r="N1796" s="5793"/>
      <c r="O1796" s="5793"/>
      <c r="P1796" s="5793"/>
      <c r="Q1796" s="5794"/>
      <c r="R1796" s="1030">
        <f>IF(OR($J1796=0,$J1796="Aprendida"),0,SUM($J$1736:$J1796))</f>
        <v>0</v>
      </c>
      <c r="T1796" s="1154" t="s">
        <v>6884</v>
      </c>
      <c r="U1796" s="1155">
        <v>3</v>
      </c>
      <c r="V1796" s="1156"/>
      <c r="W1796" s="1155"/>
      <c r="X1796" s="1155"/>
      <c r="Y1796" s="1354"/>
    </row>
    <row r="1797" spans="1:25" ht="12.75" customHeight="1" x14ac:dyDescent="0.2">
      <c r="A1797" s="237">
        <v>1797</v>
      </c>
      <c r="B1797" s="5838"/>
      <c r="E1797" s="1027" t="s">
        <v>2161</v>
      </c>
      <c r="F1797" s="626"/>
      <c r="G1797" s="626">
        <v>60</v>
      </c>
      <c r="H1797" s="626">
        <v>1</v>
      </c>
      <c r="I1797" s="626">
        <v>15</v>
      </c>
      <c r="J1797" s="626">
        <f>COUNTIF(Elan!$C$13:$F$25,Tablas!E1797)+COUNTIF(Elan!$U$13:$X$25,Tablas!E1797)</f>
        <v>0</v>
      </c>
      <c r="K1797" s="626"/>
      <c r="L1797" s="5793" t="s">
        <v>6820</v>
      </c>
      <c r="M1797" s="5793"/>
      <c r="N1797" s="5793"/>
      <c r="O1797" s="5793"/>
      <c r="P1797" s="5793"/>
      <c r="Q1797" s="5794"/>
      <c r="R1797" s="1030">
        <f>IF(OR($J1797=0,$J1797="Aprendida"),0,SUM($J$1736:$J1797))</f>
        <v>0</v>
      </c>
      <c r="T1797" s="1154" t="s">
        <v>6886</v>
      </c>
      <c r="U1797" s="1155">
        <v>2</v>
      </c>
      <c r="V1797" s="1156"/>
      <c r="W1797" s="1155"/>
      <c r="X1797" s="1155"/>
      <c r="Y1797" s="1354"/>
    </row>
    <row r="1798" spans="1:25" ht="12.75" customHeight="1" x14ac:dyDescent="0.2">
      <c r="A1798" s="237">
        <v>1798</v>
      </c>
      <c r="B1798" s="5838"/>
      <c r="E1798" s="1027" t="s">
        <v>6565</v>
      </c>
      <c r="F1798" s="626"/>
      <c r="G1798" s="626">
        <v>70</v>
      </c>
      <c r="H1798" s="626">
        <v>1</v>
      </c>
      <c r="I1798" s="626">
        <v>10</v>
      </c>
      <c r="J1798" s="626">
        <f>COUNTIF(Elan!$C$13:$F$25,Tablas!E1798)+COUNTIF(Elan!$U$13:$X$25,Tablas!E1798)</f>
        <v>0</v>
      </c>
      <c r="K1798" s="626"/>
      <c r="L1798" s="5793" t="s">
        <v>6821</v>
      </c>
      <c r="M1798" s="5793"/>
      <c r="N1798" s="5793"/>
      <c r="O1798" s="5793"/>
      <c r="P1798" s="5793"/>
      <c r="Q1798" s="5794"/>
      <c r="R1798" s="1030">
        <f>IF(OR($J1798=0,$J1798="Aprendida"),0,SUM($J$1736:$J1798))</f>
        <v>0</v>
      </c>
      <c r="T1798" s="1154" t="s">
        <v>6888</v>
      </c>
      <c r="U1798" s="1155">
        <v>2</v>
      </c>
      <c r="V1798" s="1156"/>
      <c r="W1798" s="1155"/>
      <c r="X1798" s="1155"/>
      <c r="Y1798" s="1354"/>
    </row>
    <row r="1799" spans="1:25" ht="12.75" customHeight="1" x14ac:dyDescent="0.2">
      <c r="A1799" s="237">
        <v>1799</v>
      </c>
      <c r="B1799" s="5838"/>
      <c r="E1799" s="1027" t="s">
        <v>6566</v>
      </c>
      <c r="F1799" s="626"/>
      <c r="G1799" s="626">
        <v>80</v>
      </c>
      <c r="H1799" s="626">
        <v>1</v>
      </c>
      <c r="I1799" s="626">
        <v>15</v>
      </c>
      <c r="J1799" s="626">
        <f>COUNTIF(Elan!$C$13:$F$25,Tablas!E1799)+COUNTIF(Elan!$U$13:$X$25,Tablas!E1799)</f>
        <v>0</v>
      </c>
      <c r="K1799" s="626"/>
      <c r="L1799" s="5793" t="s">
        <v>6822</v>
      </c>
      <c r="M1799" s="5793"/>
      <c r="N1799" s="5793"/>
      <c r="O1799" s="5793"/>
      <c r="P1799" s="5793"/>
      <c r="Q1799" s="5794"/>
      <c r="R1799" s="1030">
        <f>IF(OR($J1799=0,$J1799="Aprendida"),0,SUM($J$1736:$J1799))</f>
        <v>0</v>
      </c>
      <c r="T1799" s="1157"/>
      <c r="U1799" s="1158"/>
      <c r="V1799" s="1158"/>
      <c r="W1799" s="1158"/>
      <c r="X1799" s="1158"/>
      <c r="Y1799" s="1355"/>
    </row>
    <row r="1800" spans="1:25" ht="12.75" customHeight="1" x14ac:dyDescent="0.2">
      <c r="A1800" s="237">
        <v>1800</v>
      </c>
      <c r="B1800" s="5838"/>
      <c r="E1800" s="1027" t="s">
        <v>6567</v>
      </c>
      <c r="F1800" s="626"/>
      <c r="G1800" s="626">
        <v>90</v>
      </c>
      <c r="H1800" s="626">
        <v>1</v>
      </c>
      <c r="I1800" s="626">
        <v>20</v>
      </c>
      <c r="J1800" s="626">
        <f>COUNTIF(Elan!$C$13:$F$25,Tablas!E1800)+COUNTIF(Elan!$U$13:$X$25,Tablas!E1800)</f>
        <v>0</v>
      </c>
      <c r="K1800" s="626"/>
      <c r="L1800" s="5793" t="s">
        <v>6823</v>
      </c>
      <c r="M1800" s="5793"/>
      <c r="N1800" s="5793"/>
      <c r="O1800" s="5793"/>
      <c r="P1800" s="5793"/>
      <c r="Q1800" s="5794"/>
      <c r="R1800" s="1030">
        <f>IF(OR($J1800=0,$J1800="Aprendida"),0,SUM($J$1736:$J1800))</f>
        <v>0</v>
      </c>
      <c r="T1800" s="1152" t="str">
        <f>E1841</f>
        <v>Azrael</v>
      </c>
      <c r="U1800" s="1153"/>
      <c r="V1800" s="1159"/>
      <c r="W1800" s="1153"/>
      <c r="X1800" s="1153"/>
      <c r="Y1800" s="1353"/>
    </row>
    <row r="1801" spans="1:25" ht="12.75" customHeight="1" x14ac:dyDescent="0.2">
      <c r="A1801" s="237">
        <v>1801</v>
      </c>
      <c r="B1801" s="5838"/>
      <c r="E1801" s="1027" t="s">
        <v>6568</v>
      </c>
      <c r="F1801" s="626"/>
      <c r="G1801" s="626">
        <v>100</v>
      </c>
      <c r="H1801" s="626">
        <v>1</v>
      </c>
      <c r="I1801" s="626">
        <v>10</v>
      </c>
      <c r="J1801" s="626">
        <f>COUNTIF(Elan!$C$13:$F$25,Tablas!E1801)+COUNTIF(Elan!$U$13:$X$25,Tablas!E1801)</f>
        <v>0</v>
      </c>
      <c r="K1801" s="626"/>
      <c r="L1801" s="5793" t="s">
        <v>6824</v>
      </c>
      <c r="M1801" s="5793"/>
      <c r="N1801" s="5793"/>
      <c r="O1801" s="5793"/>
      <c r="P1801" s="5793"/>
      <c r="Q1801" s="5794"/>
      <c r="R1801" s="1030">
        <f>IF(OR($J1801=0,$J1801="Aprendida"),0,SUM($J$1736:$J1801))</f>
        <v>0</v>
      </c>
      <c r="T1801" s="1154" t="s">
        <v>6895</v>
      </c>
      <c r="U1801" s="1155">
        <v>3</v>
      </c>
      <c r="V1801" s="1156" t="s">
        <v>6896</v>
      </c>
      <c r="W1801" s="1155">
        <v>1</v>
      </c>
      <c r="X1801" s="1155" t="s">
        <v>6897</v>
      </c>
      <c r="Y1801" s="1354">
        <v>-2</v>
      </c>
    </row>
    <row r="1802" spans="1:25" ht="12.75" customHeight="1" x14ac:dyDescent="0.2">
      <c r="A1802" s="237">
        <v>1802</v>
      </c>
      <c r="B1802" s="5838"/>
      <c r="E1802" s="1026" t="s">
        <v>6503</v>
      </c>
      <c r="F1802" s="1465">
        <f>IF(Elan!$C$11=Tablas!$E1802,Elan!$G$11,IF(Elan!$U$11=Tablas!$E1802,Elan!$Y$11,0))</f>
        <v>0</v>
      </c>
      <c r="G1802" s="1019" t="s">
        <v>1824</v>
      </c>
      <c r="H1802" s="1019" t="s">
        <v>8507</v>
      </c>
      <c r="I1802" s="1019" t="s">
        <v>1493</v>
      </c>
      <c r="J1802" s="1019" t="s">
        <v>6512</v>
      </c>
      <c r="K1802" s="1019" t="s">
        <v>7268</v>
      </c>
      <c r="L1802" s="1019" t="s">
        <v>1553</v>
      </c>
      <c r="M1802" s="627"/>
      <c r="N1802" s="627"/>
      <c r="O1802" s="627"/>
      <c r="P1802" s="627"/>
      <c r="Q1802" s="1024"/>
      <c r="R1802" s="1030">
        <f>IF(OR($J1802=0,$J1802="Aprendida"),0,SUM($J$1736:$J1802))</f>
        <v>0</v>
      </c>
      <c r="T1802" s="1154" t="s">
        <v>6899</v>
      </c>
      <c r="U1802" s="1155">
        <v>2</v>
      </c>
      <c r="V1802" s="1156" t="s">
        <v>6900</v>
      </c>
      <c r="W1802" s="1155">
        <v>2</v>
      </c>
      <c r="X1802" s="1155" t="s">
        <v>6901</v>
      </c>
      <c r="Y1802" s="1354">
        <v>-8</v>
      </c>
    </row>
    <row r="1803" spans="1:25" ht="12.75" customHeight="1" x14ac:dyDescent="0.2">
      <c r="A1803" s="237">
        <v>1803</v>
      </c>
      <c r="B1803" s="5838"/>
      <c r="E1803" s="1027" t="s">
        <v>6569</v>
      </c>
      <c r="F1803" s="626"/>
      <c r="G1803" s="626">
        <v>10</v>
      </c>
      <c r="H1803" s="626">
        <v>1</v>
      </c>
      <c r="I1803" s="626">
        <v>5</v>
      </c>
      <c r="J1803" s="626">
        <f>COUNTIF(Elan!$C$13:$F$25,Tablas!E1803)+COUNTIF(Elan!$U$13:$X$25,Tablas!E1803)</f>
        <v>0</v>
      </c>
      <c r="K1803" s="626"/>
      <c r="L1803" s="5793" t="s">
        <v>6825</v>
      </c>
      <c r="M1803" s="5793"/>
      <c r="N1803" s="5793"/>
      <c r="O1803" s="5793"/>
      <c r="P1803" s="5793"/>
      <c r="Q1803" s="5794"/>
      <c r="R1803" s="1030">
        <f>IF(OR($J1803=0,$J1803="Aprendida"),0,SUM($J$1736:$J1803))</f>
        <v>0</v>
      </c>
      <c r="T1803" s="1154" t="s">
        <v>6903</v>
      </c>
      <c r="U1803" s="1155">
        <v>5</v>
      </c>
      <c r="V1803" s="1156" t="s">
        <v>6904</v>
      </c>
      <c r="W1803" s="1155">
        <v>2</v>
      </c>
      <c r="X1803" s="1155" t="s">
        <v>6905</v>
      </c>
      <c r="Y1803" s="1354">
        <v>-2</v>
      </c>
    </row>
    <row r="1804" spans="1:25" ht="12.75" customHeight="1" x14ac:dyDescent="0.2">
      <c r="A1804" s="237">
        <v>1804</v>
      </c>
      <c r="B1804" s="5838"/>
      <c r="E1804" s="1027" t="s">
        <v>6570</v>
      </c>
      <c r="F1804" s="626"/>
      <c r="G1804" s="626">
        <v>20</v>
      </c>
      <c r="H1804" s="626">
        <v>1</v>
      </c>
      <c r="I1804" s="626">
        <v>10</v>
      </c>
      <c r="J1804" s="626">
        <f>COUNTIF(Elan!$C$13:$F$25,Tablas!E1804)+COUNTIF(Elan!$U$13:$X$25,Tablas!E1804)</f>
        <v>0</v>
      </c>
      <c r="K1804" s="626"/>
      <c r="L1804" s="5793" t="s">
        <v>6829</v>
      </c>
      <c r="M1804" s="5793"/>
      <c r="N1804" s="5793"/>
      <c r="O1804" s="5793"/>
      <c r="P1804" s="5793"/>
      <c r="Q1804" s="5794"/>
      <c r="R1804" s="1030">
        <f>IF(OR($J1804=0,$J1804="Aprendida"),0,SUM($J$1736:$J1804))</f>
        <v>0</v>
      </c>
      <c r="T1804" s="1154" t="s">
        <v>6907</v>
      </c>
      <c r="U1804" s="1155">
        <v>2</v>
      </c>
      <c r="V1804" s="1156" t="s">
        <v>6908</v>
      </c>
      <c r="W1804" s="1155">
        <v>3</v>
      </c>
      <c r="X1804" s="1155"/>
      <c r="Y1804" s="1354"/>
    </row>
    <row r="1805" spans="1:25" ht="12.75" customHeight="1" x14ac:dyDescent="0.2">
      <c r="A1805" s="237">
        <v>1805</v>
      </c>
      <c r="B1805" s="5838"/>
      <c r="E1805" s="1027" t="s">
        <v>6571</v>
      </c>
      <c r="F1805" s="626"/>
      <c r="G1805" s="626">
        <v>20</v>
      </c>
      <c r="H1805" s="626">
        <v>1</v>
      </c>
      <c r="I1805" s="626">
        <v>5</v>
      </c>
      <c r="J1805" s="626">
        <f>COUNTIF(Elan!$C$13:$F$25,Tablas!E1805)+COUNTIF(Elan!$U$13:$X$25,Tablas!E1805)</f>
        <v>0</v>
      </c>
      <c r="K1805" s="626">
        <f>ROUNDDOWN(F$1802/2,0)*J1805</f>
        <v>0</v>
      </c>
      <c r="L1805" s="5793" t="s">
        <v>6833</v>
      </c>
      <c r="M1805" s="5793"/>
      <c r="N1805" s="5793"/>
      <c r="O1805" s="5793"/>
      <c r="P1805" s="5793"/>
      <c r="Q1805" s="5794"/>
      <c r="R1805" s="1030">
        <f>IF(OR($J1805=0,$J1805="Aprendida"),0,SUM($J$1736:$J1805))</f>
        <v>0</v>
      </c>
      <c r="T1805" s="1154" t="s">
        <v>6910</v>
      </c>
      <c r="U1805" s="1155">
        <v>2</v>
      </c>
      <c r="V1805" s="1156"/>
      <c r="W1805" s="1155"/>
      <c r="X1805" s="1155"/>
      <c r="Y1805" s="1354"/>
    </row>
    <row r="1806" spans="1:25" ht="12.75" customHeight="1" x14ac:dyDescent="0.2">
      <c r="A1806" s="237">
        <v>1806</v>
      </c>
      <c r="B1806" s="5838"/>
      <c r="E1806" s="1027" t="s">
        <v>1744</v>
      </c>
      <c r="F1806" s="626"/>
      <c r="G1806" s="626">
        <v>30</v>
      </c>
      <c r="H1806" s="626">
        <v>1</v>
      </c>
      <c r="I1806" s="626">
        <v>5</v>
      </c>
      <c r="J1806" s="626">
        <f>COUNTIF(Elan!$C$13:$F$25,Tablas!E1806)+COUNTIF(Elan!$U$13:$X$25,Tablas!E1806)</f>
        <v>0</v>
      </c>
      <c r="K1806" s="626"/>
      <c r="L1806" s="5793" t="s">
        <v>6837</v>
      </c>
      <c r="M1806" s="5793"/>
      <c r="N1806" s="5793"/>
      <c r="O1806" s="5793"/>
      <c r="P1806" s="5793"/>
      <c r="Q1806" s="5794"/>
      <c r="R1806" s="1030">
        <f>IF(OR($J1806=0,$J1806="Aprendida"),0,SUM($J$1736:$J1806))</f>
        <v>0</v>
      </c>
      <c r="T1806" s="1154" t="s">
        <v>6912</v>
      </c>
      <c r="U1806" s="1155">
        <v>3</v>
      </c>
      <c r="V1806" s="1156"/>
      <c r="W1806" s="1155"/>
      <c r="X1806" s="1155"/>
      <c r="Y1806" s="1354"/>
    </row>
    <row r="1807" spans="1:25" ht="12.75" customHeight="1" x14ac:dyDescent="0.2">
      <c r="A1807" s="237">
        <v>1807</v>
      </c>
      <c r="B1807" s="5838"/>
      <c r="E1807" s="1027" t="s">
        <v>6572</v>
      </c>
      <c r="F1807" s="626"/>
      <c r="G1807" s="626">
        <v>40</v>
      </c>
      <c r="H1807" s="626">
        <v>1</v>
      </c>
      <c r="I1807" s="626">
        <v>10</v>
      </c>
      <c r="J1807" s="626">
        <f>COUNTIF(Elan!$C$13:$F$25,Tablas!E1807)+COUNTIF(Elan!$U$13:$X$25,Tablas!E1807)</f>
        <v>0</v>
      </c>
      <c r="K1807" s="626"/>
      <c r="L1807" s="5793" t="s">
        <v>6840</v>
      </c>
      <c r="M1807" s="5793"/>
      <c r="N1807" s="5793"/>
      <c r="O1807" s="5793"/>
      <c r="P1807" s="5793"/>
      <c r="Q1807" s="5794"/>
      <c r="R1807" s="1030">
        <f>IF(OR($J1807=0,$J1807="Aprendida"),0,SUM($J$1736:$J1807))</f>
        <v>0</v>
      </c>
      <c r="T1807" s="1154" t="s">
        <v>6914</v>
      </c>
      <c r="U1807" s="1155">
        <v>5</v>
      </c>
      <c r="V1807" s="1156"/>
      <c r="W1807" s="1155"/>
      <c r="X1807" s="1155"/>
      <c r="Y1807" s="1354"/>
    </row>
    <row r="1808" spans="1:25" ht="12.75" customHeight="1" x14ac:dyDescent="0.2">
      <c r="A1808" s="237">
        <v>1808</v>
      </c>
      <c r="B1808" s="5838"/>
      <c r="E1808" s="1027" t="s">
        <v>6573</v>
      </c>
      <c r="F1808" s="626"/>
      <c r="G1808" s="626">
        <v>50</v>
      </c>
      <c r="H1808" s="626">
        <v>1</v>
      </c>
      <c r="I1808" s="626">
        <v>15</v>
      </c>
      <c r="J1808" s="626">
        <f>COUNTIF(Elan!$C$13:$F$25,Tablas!E1808)+COUNTIF(Elan!$U$13:$X$25,Tablas!E1808)</f>
        <v>0</v>
      </c>
      <c r="K1808" s="626"/>
      <c r="L1808" s="5793" t="s">
        <v>6842</v>
      </c>
      <c r="M1808" s="5793"/>
      <c r="N1808" s="5793"/>
      <c r="O1808" s="5793"/>
      <c r="P1808" s="5793"/>
      <c r="Q1808" s="5794"/>
      <c r="R1808" s="1030">
        <f>IF(OR($J1808=0,$J1808="Aprendida"),0,SUM($J$1736:$J1808))</f>
        <v>0</v>
      </c>
      <c r="T1808" s="1152" t="str">
        <f>E1854</f>
        <v>Abbadon</v>
      </c>
      <c r="U1808" s="1153"/>
      <c r="V1808" s="1159"/>
      <c r="W1808" s="1153"/>
      <c r="X1808" s="1153"/>
      <c r="Y1808" s="1353"/>
    </row>
    <row r="1809" spans="1:25" ht="12.75" customHeight="1" x14ac:dyDescent="0.2">
      <c r="A1809" s="237">
        <v>1809</v>
      </c>
      <c r="B1809" s="5838"/>
      <c r="E1809" s="1027" t="s">
        <v>6574</v>
      </c>
      <c r="F1809" s="626"/>
      <c r="G1809" s="626">
        <v>60</v>
      </c>
      <c r="H1809" s="626">
        <v>1</v>
      </c>
      <c r="I1809" s="626">
        <v>10</v>
      </c>
      <c r="J1809" s="626">
        <f>COUNTIF(Elan!$C$13:$F$25,Tablas!E1809)+COUNTIF(Elan!$U$13:$X$25,Tablas!E1809)</f>
        <v>0</v>
      </c>
      <c r="K1809" s="626"/>
      <c r="L1809" s="5793" t="s">
        <v>6843</v>
      </c>
      <c r="M1809" s="5793"/>
      <c r="N1809" s="5793"/>
      <c r="O1809" s="5793"/>
      <c r="P1809" s="5793"/>
      <c r="Q1809" s="5794"/>
      <c r="R1809" s="1030">
        <f>IF(OR($J1809=0,$J1809="Aprendida"),0,SUM($J$1736:$J1809))</f>
        <v>0</v>
      </c>
      <c r="T1809" s="1154" t="s">
        <v>6810</v>
      </c>
      <c r="U1809" s="1155">
        <v>1</v>
      </c>
      <c r="V1809" s="1156" t="s">
        <v>6921</v>
      </c>
      <c r="W1809" s="1155">
        <v>2</v>
      </c>
      <c r="X1809" s="1155" t="s">
        <v>6922</v>
      </c>
      <c r="Y1809" s="1354">
        <v>-1</v>
      </c>
    </row>
    <row r="1810" spans="1:25" ht="12.75" customHeight="1" x14ac:dyDescent="0.2">
      <c r="A1810" s="237">
        <v>1810</v>
      </c>
      <c r="B1810" s="5838"/>
      <c r="E1810" s="1027" t="s">
        <v>6575</v>
      </c>
      <c r="F1810" s="626"/>
      <c r="G1810" s="626">
        <v>70</v>
      </c>
      <c r="H1810" s="626">
        <v>1</v>
      </c>
      <c r="I1810" s="626">
        <v>15</v>
      </c>
      <c r="J1810" s="626">
        <f>COUNTIF(Elan!$C$13:$F$25,Tablas!E1810)+COUNTIF(Elan!$U$13:$X$25,Tablas!E1810)</f>
        <v>0</v>
      </c>
      <c r="K1810" s="626"/>
      <c r="L1810" s="5793" t="s">
        <v>6844</v>
      </c>
      <c r="M1810" s="5793"/>
      <c r="N1810" s="5793"/>
      <c r="O1810" s="5793"/>
      <c r="P1810" s="5793"/>
      <c r="Q1810" s="5794"/>
      <c r="R1810" s="1030">
        <f>IF(OR($J1810=0,$J1810="Aprendida"),0,SUM($J$1736:$J1810))</f>
        <v>0</v>
      </c>
      <c r="T1810" s="1154" t="s">
        <v>6924</v>
      </c>
      <c r="U1810" s="1155">
        <v>4</v>
      </c>
      <c r="V1810" s="1156" t="s">
        <v>6925</v>
      </c>
      <c r="W1810" s="1155">
        <v>3</v>
      </c>
      <c r="X1810" s="1155" t="s">
        <v>6926</v>
      </c>
      <c r="Y1810" s="1354">
        <v>-6</v>
      </c>
    </row>
    <row r="1811" spans="1:25" ht="12.75" customHeight="1" x14ac:dyDescent="0.2">
      <c r="A1811" s="237">
        <v>1811</v>
      </c>
      <c r="B1811" s="5838"/>
      <c r="E1811" s="1027" t="s">
        <v>6576</v>
      </c>
      <c r="F1811" s="626"/>
      <c r="G1811" s="626">
        <v>70</v>
      </c>
      <c r="H1811" s="626">
        <v>1</v>
      </c>
      <c r="I1811" s="626">
        <v>10</v>
      </c>
      <c r="J1811" s="626">
        <f>COUNTIF(Elan!$C$13:$F$25,Tablas!E1811)+COUNTIF(Elan!$U$13:$X$25,Tablas!E1811)</f>
        <v>0</v>
      </c>
      <c r="K1811" s="626"/>
      <c r="L1811" s="5793" t="s">
        <v>6845</v>
      </c>
      <c r="M1811" s="5793"/>
      <c r="N1811" s="5793"/>
      <c r="O1811" s="5793"/>
      <c r="P1811" s="5793"/>
      <c r="Q1811" s="5794"/>
      <c r="R1811" s="1030">
        <f>IF(OR($J1811=0,$J1811="Aprendida"),0,SUM($J$1736:$J1811))</f>
        <v>0</v>
      </c>
      <c r="T1811" s="1154" t="s">
        <v>6928</v>
      </c>
      <c r="U1811" s="1155">
        <v>3</v>
      </c>
      <c r="V1811" s="1156"/>
      <c r="W1811" s="1155"/>
      <c r="X1811" s="1155"/>
      <c r="Y1811" s="1354"/>
    </row>
    <row r="1812" spans="1:25" ht="12.75" customHeight="1" x14ac:dyDescent="0.2">
      <c r="A1812" s="237">
        <v>1812</v>
      </c>
      <c r="B1812" s="5838"/>
      <c r="E1812" s="1027" t="s">
        <v>6577</v>
      </c>
      <c r="F1812" s="626"/>
      <c r="G1812" s="626">
        <v>80</v>
      </c>
      <c r="H1812" s="626">
        <f>IF(J1806,1,0)</f>
        <v>0</v>
      </c>
      <c r="I1812" s="626">
        <v>20</v>
      </c>
      <c r="J1812" s="626">
        <f>COUNTIF(Elan!$C$13:$F$25,Tablas!E1812)+COUNTIF(Elan!$U$13:$X$25,Tablas!E1812)</f>
        <v>0</v>
      </c>
      <c r="K1812" s="626"/>
      <c r="L1812" s="5793" t="s">
        <v>6846</v>
      </c>
      <c r="M1812" s="5793"/>
      <c r="N1812" s="5793"/>
      <c r="O1812" s="5793"/>
      <c r="P1812" s="5793"/>
      <c r="Q1812" s="5794"/>
      <c r="R1812" s="1030">
        <f>IF(OR($J1812=0,$J1812="Aprendida"),0,SUM($J$1736:$J1812))</f>
        <v>0</v>
      </c>
      <c r="T1812" s="1154" t="s">
        <v>6930</v>
      </c>
      <c r="U1812" s="1155">
        <v>2</v>
      </c>
      <c r="V1812" s="1156"/>
      <c r="W1812" s="1155"/>
      <c r="X1812" s="1155"/>
      <c r="Y1812" s="1354"/>
    </row>
    <row r="1813" spans="1:25" ht="12.75" customHeight="1" x14ac:dyDescent="0.2">
      <c r="A1813" s="237">
        <v>1813</v>
      </c>
      <c r="B1813" s="5838"/>
      <c r="E1813" s="1027" t="s">
        <v>6578</v>
      </c>
      <c r="F1813" s="626"/>
      <c r="G1813" s="626">
        <v>90</v>
      </c>
      <c r="H1813" s="626">
        <v>1</v>
      </c>
      <c r="I1813" s="626">
        <v>15</v>
      </c>
      <c r="J1813" s="626">
        <f>COUNTIF(Elan!$C$13:$F$25,Tablas!E1813)+COUNTIF(Elan!$U$13:$X$25,Tablas!E1813)</f>
        <v>0</v>
      </c>
      <c r="K1813" s="626"/>
      <c r="L1813" s="5793" t="s">
        <v>6847</v>
      </c>
      <c r="M1813" s="5793"/>
      <c r="N1813" s="5793"/>
      <c r="O1813" s="5793"/>
      <c r="P1813" s="5793"/>
      <c r="Q1813" s="5794"/>
      <c r="R1813" s="1030">
        <f>IF(OR($J1813=0,$J1813="Aprendida"),0,SUM($J$1736:$J1813))</f>
        <v>0</v>
      </c>
      <c r="T1813" s="1154" t="s">
        <v>6932</v>
      </c>
      <c r="U1813" s="1155">
        <v>2</v>
      </c>
      <c r="V1813" s="1156"/>
      <c r="W1813" s="1155"/>
      <c r="X1813" s="1155"/>
      <c r="Y1813" s="1354"/>
    </row>
    <row r="1814" spans="1:25" ht="12.75" customHeight="1" x14ac:dyDescent="0.2">
      <c r="A1814" s="237">
        <v>1814</v>
      </c>
      <c r="B1814" s="5838"/>
      <c r="E1814" s="1027" t="s">
        <v>6579</v>
      </c>
      <c r="F1814" s="626"/>
      <c r="G1814" s="626">
        <v>100</v>
      </c>
      <c r="H1814" s="626">
        <v>1</v>
      </c>
      <c r="I1814" s="626">
        <v>10</v>
      </c>
      <c r="J1814" s="626">
        <f>COUNTIF(Elan!$C$13:$F$25,Tablas!E1814)+COUNTIF(Elan!$U$13:$X$25,Tablas!E1814)</f>
        <v>0</v>
      </c>
      <c r="K1814" s="626"/>
      <c r="L1814" s="5793" t="s">
        <v>6848</v>
      </c>
      <c r="M1814" s="5793"/>
      <c r="N1814" s="5793"/>
      <c r="O1814" s="5793"/>
      <c r="P1814" s="5793"/>
      <c r="Q1814" s="5794"/>
      <c r="R1814" s="1030">
        <f>IF(OR($J1814=0,$J1814="Aprendida"),0,SUM($J$1736:$J1814))</f>
        <v>0</v>
      </c>
      <c r="T1814" s="1157"/>
      <c r="U1814" s="1158"/>
      <c r="V1814" s="1158"/>
      <c r="W1814" s="1158"/>
      <c r="X1814" s="1158"/>
      <c r="Y1814" s="1355"/>
    </row>
    <row r="1815" spans="1:25" ht="12.75" customHeight="1" x14ac:dyDescent="0.2">
      <c r="A1815" s="237">
        <v>1815</v>
      </c>
      <c r="B1815" s="5838"/>
      <c r="E1815" s="1026" t="s">
        <v>6504</v>
      </c>
      <c r="F1815" s="1465">
        <f>IF(Elan!$C$11=Tablas!$E1815,Elan!$G$11,IF(Elan!$U$11=Tablas!$E1815,Elan!$Y$11,0))</f>
        <v>0</v>
      </c>
      <c r="G1815" s="1019" t="s">
        <v>1824</v>
      </c>
      <c r="H1815" s="1019" t="s">
        <v>8507</v>
      </c>
      <c r="I1815" s="1019" t="s">
        <v>1493</v>
      </c>
      <c r="J1815" s="1019" t="s">
        <v>6512</v>
      </c>
      <c r="K1815" s="1019" t="s">
        <v>7268</v>
      </c>
      <c r="L1815" s="1019" t="s">
        <v>1553</v>
      </c>
      <c r="M1815" s="627"/>
      <c r="N1815" s="627"/>
      <c r="O1815" s="627"/>
      <c r="P1815" s="627"/>
      <c r="Q1815" s="1024"/>
      <c r="R1815" s="1030">
        <f>IF(OR($J1815=0,$J1815="Aprendida"),0,SUM($J$1736:$J1815))</f>
        <v>0</v>
      </c>
      <c r="T1815" s="1157"/>
      <c r="U1815" s="1158"/>
      <c r="V1815" s="1158"/>
      <c r="W1815" s="1158"/>
      <c r="X1815" s="1158"/>
      <c r="Y1815" s="1355"/>
    </row>
    <row r="1816" spans="1:25" ht="12.75" customHeight="1" x14ac:dyDescent="0.2">
      <c r="A1816" s="237">
        <v>1816</v>
      </c>
      <c r="B1816" s="5838"/>
      <c r="E1816" s="1027" t="s">
        <v>6580</v>
      </c>
      <c r="F1816" s="626"/>
      <c r="G1816" s="626">
        <v>10</v>
      </c>
      <c r="H1816" s="626">
        <v>1</v>
      </c>
      <c r="I1816" s="626">
        <v>5</v>
      </c>
      <c r="J1816" s="626">
        <f>COUNTIF(Elan!$C$13:$F$25,Tablas!E1816)+COUNTIF(Elan!$U$13:$X$25,Tablas!E1816)</f>
        <v>0</v>
      </c>
      <c r="K1816" s="626">
        <f>F$1815*J1816</f>
        <v>0</v>
      </c>
      <c r="L1816" s="5793" t="s">
        <v>6849</v>
      </c>
      <c r="M1816" s="5793"/>
      <c r="N1816" s="5793"/>
      <c r="O1816" s="5793"/>
      <c r="P1816" s="5793"/>
      <c r="Q1816" s="5794"/>
      <c r="R1816" s="1030">
        <f>IF(OR($J1816=0,$J1816="Aprendida"),0,SUM($J$1736:$J1816))</f>
        <v>0</v>
      </c>
      <c r="T1816" s="1152" t="str">
        <f>E1866</f>
        <v>Barakiel</v>
      </c>
      <c r="U1816" s="1153"/>
      <c r="V1816" s="1159"/>
      <c r="W1816" s="1153"/>
      <c r="X1816" s="1153"/>
      <c r="Y1816" s="1353"/>
    </row>
    <row r="1817" spans="1:25" ht="12.75" customHeight="1" x14ac:dyDescent="0.2">
      <c r="A1817" s="237">
        <v>1817</v>
      </c>
      <c r="B1817" s="5838"/>
      <c r="E1817" s="1027" t="s">
        <v>6581</v>
      </c>
      <c r="F1817" s="626"/>
      <c r="G1817" s="626">
        <v>20</v>
      </c>
      <c r="H1817" s="626">
        <v>1</v>
      </c>
      <c r="I1817" s="626">
        <v>5</v>
      </c>
      <c r="J1817" s="626">
        <f>COUNTIF(Elan!$C$13:$F$25,Tablas!E1817)+COUNTIF(Elan!$U$13:$X$25,Tablas!E1817)</f>
        <v>0</v>
      </c>
      <c r="K1817" s="626">
        <f>F$1815*J1817</f>
        <v>0</v>
      </c>
      <c r="L1817" s="5793" t="s">
        <v>6853</v>
      </c>
      <c r="M1817" s="5793"/>
      <c r="N1817" s="5793"/>
      <c r="O1817" s="5793"/>
      <c r="P1817" s="5793"/>
      <c r="Q1817" s="5794"/>
      <c r="R1817" s="1030">
        <f>IF(OR($J1817=0,$J1817="Aprendida"),0,SUM($J$1736:$J1817))</f>
        <v>0</v>
      </c>
      <c r="T1817" s="1154" t="s">
        <v>6940</v>
      </c>
      <c r="U1817" s="1155">
        <v>1</v>
      </c>
      <c r="V1817" s="1156" t="s">
        <v>6941</v>
      </c>
      <c r="W1817" s="1155">
        <v>2</v>
      </c>
      <c r="X1817" s="1155" t="s">
        <v>6942</v>
      </c>
      <c r="Y1817" s="1354">
        <v>-2</v>
      </c>
    </row>
    <row r="1818" spans="1:25" ht="12.75" customHeight="1" x14ac:dyDescent="0.2">
      <c r="A1818" s="237">
        <v>1818</v>
      </c>
      <c r="B1818" s="5838"/>
      <c r="E1818" s="1027" t="s">
        <v>6582</v>
      </c>
      <c r="F1818" s="626"/>
      <c r="G1818" s="626">
        <v>20</v>
      </c>
      <c r="H1818" s="626">
        <v>1</v>
      </c>
      <c r="I1818" s="626">
        <v>10</v>
      </c>
      <c r="J1818" s="626">
        <f>COUNTIF(Elan!$C$13:$F$25,Tablas!E1818)+COUNTIF(Elan!$U$13:$X$25,Tablas!E1818)</f>
        <v>0</v>
      </c>
      <c r="K1818" s="626"/>
      <c r="L1818" s="5793" t="s">
        <v>6856</v>
      </c>
      <c r="M1818" s="5793"/>
      <c r="N1818" s="5793"/>
      <c r="O1818" s="5793"/>
      <c r="P1818" s="5793"/>
      <c r="Q1818" s="5794"/>
      <c r="R1818" s="1030">
        <f>IF(OR($J1818=0,$J1818="Aprendida"),0,SUM($J$1736:$J1818))</f>
        <v>0</v>
      </c>
      <c r="T1818" s="1154" t="s">
        <v>6944</v>
      </c>
      <c r="U1818" s="1155">
        <v>2</v>
      </c>
      <c r="V1818" s="1156" t="s">
        <v>6945</v>
      </c>
      <c r="W1818" s="1155">
        <v>3</v>
      </c>
      <c r="X1818" s="1155" t="s">
        <v>6946</v>
      </c>
      <c r="Y1818" s="1354">
        <v>-2</v>
      </c>
    </row>
    <row r="1819" spans="1:25" ht="12.75" customHeight="1" x14ac:dyDescent="0.2">
      <c r="A1819" s="237">
        <v>1819</v>
      </c>
      <c r="B1819" s="5838"/>
      <c r="E1819" s="1027" t="s">
        <v>6583</v>
      </c>
      <c r="F1819" s="626"/>
      <c r="G1819" s="626">
        <v>30</v>
      </c>
      <c r="H1819" s="626">
        <v>1</v>
      </c>
      <c r="I1819" s="626">
        <v>5</v>
      </c>
      <c r="J1819" s="626">
        <f>COUNTIF(Elan!$C$13:$F$25,Tablas!E1819)+COUNTIF(Elan!$U$13:$X$25,Tablas!E1819)</f>
        <v>0</v>
      </c>
      <c r="K1819" s="626"/>
      <c r="L1819" s="5793" t="s">
        <v>6860</v>
      </c>
      <c r="M1819" s="5793"/>
      <c r="N1819" s="5793"/>
      <c r="O1819" s="5793"/>
      <c r="P1819" s="5793"/>
      <c r="Q1819" s="5794"/>
      <c r="R1819" s="1030">
        <f>IF(OR($J1819=0,$J1819="Aprendida"),0,SUM($J$1736:$J1819))</f>
        <v>0</v>
      </c>
      <c r="T1819" s="1154" t="s">
        <v>6948</v>
      </c>
      <c r="U1819" s="1155">
        <v>2</v>
      </c>
      <c r="V1819" s="1156" t="s">
        <v>6949</v>
      </c>
      <c r="W1819" s="1155">
        <v>1</v>
      </c>
      <c r="X1819" s="1155" t="s">
        <v>6950</v>
      </c>
      <c r="Y1819" s="1354">
        <v>-5</v>
      </c>
    </row>
    <row r="1820" spans="1:25" ht="12.75" customHeight="1" x14ac:dyDescent="0.2">
      <c r="A1820" s="237">
        <v>1820</v>
      </c>
      <c r="B1820" s="5838"/>
      <c r="E1820" s="1027" t="s">
        <v>6584</v>
      </c>
      <c r="F1820" s="626"/>
      <c r="G1820" s="626">
        <v>40</v>
      </c>
      <c r="H1820" s="626">
        <v>1</v>
      </c>
      <c r="I1820" s="626">
        <v>10</v>
      </c>
      <c r="J1820" s="626">
        <f>COUNTIF(Elan!$C$13:$F$25,Tablas!E1820)+COUNTIF(Elan!$U$13:$X$25,Tablas!E1820)</f>
        <v>0</v>
      </c>
      <c r="K1820" s="626"/>
      <c r="L1820" s="5793" t="s">
        <v>6862</v>
      </c>
      <c r="M1820" s="5793"/>
      <c r="N1820" s="5793"/>
      <c r="O1820" s="5793"/>
      <c r="P1820" s="5793"/>
      <c r="Q1820" s="5794"/>
      <c r="R1820" s="1030">
        <f>IF(OR($J1820=0,$J1820="Aprendida"),0,SUM($J$1736:$J1820))</f>
        <v>0</v>
      </c>
      <c r="T1820" s="1154" t="s">
        <v>6952</v>
      </c>
      <c r="U1820" s="1155">
        <v>3</v>
      </c>
      <c r="V1820" s="1156"/>
      <c r="W1820" s="1155"/>
      <c r="X1820" s="1155" t="s">
        <v>6953</v>
      </c>
      <c r="Y1820" s="1354">
        <v>-10</v>
      </c>
    </row>
    <row r="1821" spans="1:25" ht="12.75" customHeight="1" x14ac:dyDescent="0.2">
      <c r="A1821" s="237">
        <v>1821</v>
      </c>
      <c r="B1821" s="5838"/>
      <c r="E1821" s="1027" t="s">
        <v>6585</v>
      </c>
      <c r="F1821" s="626"/>
      <c r="G1821" s="626">
        <v>50</v>
      </c>
      <c r="H1821" s="626">
        <v>1</v>
      </c>
      <c r="I1821" s="626">
        <v>20</v>
      </c>
      <c r="J1821" s="626">
        <f>COUNTIF(Elan!$C$13:$F$25,Tablas!E1821)+COUNTIF(Elan!$U$13:$X$25,Tablas!E1821)</f>
        <v>0</v>
      </c>
      <c r="K1821" s="626"/>
      <c r="L1821" s="5793" t="s">
        <v>6864</v>
      </c>
      <c r="M1821" s="5793"/>
      <c r="N1821" s="5793"/>
      <c r="O1821" s="5793"/>
      <c r="P1821" s="5793"/>
      <c r="Q1821" s="5794"/>
      <c r="R1821" s="1030">
        <f>IF(OR($J1821=0,$J1821="Aprendida"),0,SUM($J$1736:$J1821))</f>
        <v>0</v>
      </c>
      <c r="T1821" s="1154" t="s">
        <v>6955</v>
      </c>
      <c r="U1821" s="1155">
        <v>5</v>
      </c>
      <c r="V1821" s="1156"/>
      <c r="W1821" s="1155"/>
      <c r="X1821" s="1155"/>
      <c r="Y1821" s="1354"/>
    </row>
    <row r="1822" spans="1:25" ht="12.75" customHeight="1" x14ac:dyDescent="0.2">
      <c r="A1822" s="237">
        <v>1822</v>
      </c>
      <c r="B1822" s="5838"/>
      <c r="E1822" s="1027" t="s">
        <v>6586</v>
      </c>
      <c r="F1822" s="626"/>
      <c r="G1822" s="626">
        <v>50</v>
      </c>
      <c r="H1822" s="626">
        <f>IF(J1818,1,0)</f>
        <v>0</v>
      </c>
      <c r="I1822" s="626">
        <v>15</v>
      </c>
      <c r="J1822" s="626">
        <f>COUNTIF(Elan!$C$13:$F$25,Tablas!E1822)+COUNTIF(Elan!$U$13:$X$25,Tablas!E1822)</f>
        <v>0</v>
      </c>
      <c r="K1822" s="626"/>
      <c r="L1822" s="5793" t="s">
        <v>6865</v>
      </c>
      <c r="M1822" s="5793"/>
      <c r="N1822" s="5793"/>
      <c r="O1822" s="5793"/>
      <c r="P1822" s="5793"/>
      <c r="Q1822" s="5794"/>
      <c r="R1822" s="1030">
        <f>IF(OR($J1822=0,$J1822="Aprendida"),0,SUM($J$1736:$J1822))</f>
        <v>0</v>
      </c>
      <c r="T1822" s="1154" t="s">
        <v>6957</v>
      </c>
      <c r="U1822" s="1155">
        <v>2</v>
      </c>
      <c r="V1822" s="1156"/>
      <c r="W1822" s="1155"/>
      <c r="X1822" s="1155"/>
      <c r="Y1822" s="1354"/>
    </row>
    <row r="1823" spans="1:25" ht="12.75" customHeight="1" x14ac:dyDescent="0.2">
      <c r="A1823" s="237">
        <v>1823</v>
      </c>
      <c r="B1823" s="5838"/>
      <c r="E1823" s="1027" t="s">
        <v>6587</v>
      </c>
      <c r="F1823" s="626"/>
      <c r="G1823" s="626">
        <v>60</v>
      </c>
      <c r="H1823" s="626">
        <v>1</v>
      </c>
      <c r="I1823" s="626">
        <v>10</v>
      </c>
      <c r="J1823" s="626">
        <f>COUNTIF(Elan!$C$13:$F$25,Tablas!E1823)+COUNTIF(Elan!$U$13:$X$25,Tablas!E1823)</f>
        <v>0</v>
      </c>
      <c r="K1823" s="626"/>
      <c r="L1823" s="5793" t="s">
        <v>6866</v>
      </c>
      <c r="M1823" s="5793"/>
      <c r="N1823" s="5793"/>
      <c r="O1823" s="5793"/>
      <c r="P1823" s="5793"/>
      <c r="Q1823" s="5794"/>
      <c r="R1823" s="1030">
        <f>IF(OR($J1823=0,$J1823="Aprendida"),0,SUM($J$1736:$J1823))</f>
        <v>0</v>
      </c>
      <c r="T1823" s="1157"/>
      <c r="U1823" s="1158"/>
      <c r="V1823" s="1158"/>
      <c r="W1823" s="1158"/>
      <c r="X1823" s="1158"/>
      <c r="Y1823" s="1355"/>
    </row>
    <row r="1824" spans="1:25" ht="12.75" customHeight="1" x14ac:dyDescent="0.2">
      <c r="A1824" s="237">
        <v>1824</v>
      </c>
      <c r="B1824" s="5838"/>
      <c r="E1824" s="1027" t="s">
        <v>6588</v>
      </c>
      <c r="F1824" s="626"/>
      <c r="G1824" s="626">
        <v>60</v>
      </c>
      <c r="H1824" s="626">
        <v>1</v>
      </c>
      <c r="I1824" s="626">
        <v>10</v>
      </c>
      <c r="J1824" s="626">
        <f>COUNTIF(Elan!$C$13:$F$25,Tablas!E1824)+COUNTIF(Elan!$U$13:$X$25,Tablas!E1824)</f>
        <v>0</v>
      </c>
      <c r="K1824" s="626"/>
      <c r="L1824" s="5793" t="s">
        <v>6867</v>
      </c>
      <c r="M1824" s="5793"/>
      <c r="N1824" s="5793"/>
      <c r="O1824" s="5793"/>
      <c r="P1824" s="5793"/>
      <c r="Q1824" s="5794"/>
      <c r="R1824" s="1030">
        <f>IF(OR($J1824=0,$J1824="Aprendida"),0,SUM($J$1736:$J1824))</f>
        <v>0</v>
      </c>
      <c r="T1824" s="1152" t="str">
        <f>E1880</f>
        <v>Eriol</v>
      </c>
      <c r="U1824" s="1153"/>
      <c r="V1824" s="1159"/>
      <c r="W1824" s="1153"/>
      <c r="X1824" s="1153"/>
      <c r="Y1824" s="1353"/>
    </row>
    <row r="1825" spans="1:25" ht="12.75" customHeight="1" x14ac:dyDescent="0.2">
      <c r="A1825" s="237">
        <v>1825</v>
      </c>
      <c r="B1825" s="5838"/>
      <c r="E1825" s="1027" t="s">
        <v>6589</v>
      </c>
      <c r="F1825" s="626"/>
      <c r="G1825" s="626">
        <v>70</v>
      </c>
      <c r="H1825" s="626">
        <v>1</v>
      </c>
      <c r="I1825" s="626">
        <v>10</v>
      </c>
      <c r="J1825" s="626">
        <f>COUNTIF(Elan!$C$13:$F$25,Tablas!E1825)+COUNTIF(Elan!$U$13:$X$25,Tablas!E1825)</f>
        <v>0</v>
      </c>
      <c r="K1825" s="626"/>
      <c r="L1825" s="5793" t="s">
        <v>6868</v>
      </c>
      <c r="M1825" s="5793"/>
      <c r="N1825" s="5793"/>
      <c r="O1825" s="5793"/>
      <c r="P1825" s="5793"/>
      <c r="Q1825" s="5794"/>
      <c r="R1825" s="1030">
        <f>IF(OR($J1825=0,$J1825="Aprendida"),0,SUM($J$1736:$J1825))</f>
        <v>0</v>
      </c>
      <c r="T1825" s="1154" t="s">
        <v>6966</v>
      </c>
      <c r="U1825" s="1155">
        <v>2</v>
      </c>
      <c r="V1825" s="1156" t="s">
        <v>6967</v>
      </c>
      <c r="W1825" s="1155">
        <v>2</v>
      </c>
      <c r="X1825" s="1155" t="s">
        <v>6968</v>
      </c>
      <c r="Y1825" s="1354">
        <v>-2</v>
      </c>
    </row>
    <row r="1826" spans="1:25" ht="12.75" customHeight="1" x14ac:dyDescent="0.2">
      <c r="A1826" s="237">
        <v>1826</v>
      </c>
      <c r="B1826" s="5838"/>
      <c r="E1826" s="1027" t="s">
        <v>6590</v>
      </c>
      <c r="F1826" s="626"/>
      <c r="G1826" s="626">
        <v>80</v>
      </c>
      <c r="H1826" s="626">
        <f>IF(J1825,1,0)</f>
        <v>0</v>
      </c>
      <c r="I1826" s="626">
        <v>10</v>
      </c>
      <c r="J1826" s="626">
        <f>COUNTIF(Elan!$C$13:$F$25,Tablas!E1826)+COUNTIF(Elan!$U$13:$X$25,Tablas!E1826)</f>
        <v>0</v>
      </c>
      <c r="K1826" s="626"/>
      <c r="L1826" s="5793" t="s">
        <v>6869</v>
      </c>
      <c r="M1826" s="5793"/>
      <c r="N1826" s="5793"/>
      <c r="O1826" s="5793"/>
      <c r="P1826" s="5793"/>
      <c r="Q1826" s="5794"/>
      <c r="R1826" s="1030">
        <f>IF(OR($J1826=0,$J1826="Aprendida"),0,SUM($J$1736:$J1826))</f>
        <v>0</v>
      </c>
      <c r="T1826" s="1154" t="s">
        <v>6970</v>
      </c>
      <c r="U1826" s="1155">
        <v>2</v>
      </c>
      <c r="V1826" s="1156" t="s">
        <v>6971</v>
      </c>
      <c r="W1826" s="1155">
        <v>2</v>
      </c>
      <c r="X1826" s="1155" t="s">
        <v>6972</v>
      </c>
      <c r="Y1826" s="1354">
        <v>-3</v>
      </c>
    </row>
    <row r="1827" spans="1:25" ht="12.75" customHeight="1" x14ac:dyDescent="0.2">
      <c r="A1827" s="237">
        <v>1827</v>
      </c>
      <c r="B1827" s="5838"/>
      <c r="E1827" s="1027" t="s">
        <v>6591</v>
      </c>
      <c r="F1827" s="626"/>
      <c r="G1827" s="626">
        <v>90</v>
      </c>
      <c r="H1827" s="626">
        <f>IF(J1822,1,0)</f>
        <v>0</v>
      </c>
      <c r="I1827" s="626">
        <v>20</v>
      </c>
      <c r="J1827" s="626">
        <f>COUNTIF(Elan!$C$13:$F$25,Tablas!E1827)+COUNTIF(Elan!$U$13:$X$25,Tablas!E1827)</f>
        <v>0</v>
      </c>
      <c r="K1827" s="626"/>
      <c r="L1827" s="5793" t="s">
        <v>6870</v>
      </c>
      <c r="M1827" s="5793"/>
      <c r="N1827" s="5793"/>
      <c r="O1827" s="5793"/>
      <c r="P1827" s="5793"/>
      <c r="Q1827" s="5794"/>
      <c r="R1827" s="1030">
        <f>IF(OR($J1827=0,$J1827="Aprendida"),0,SUM($J$1736:$J1827))</f>
        <v>0</v>
      </c>
      <c r="T1827" s="1154" t="s">
        <v>6974</v>
      </c>
      <c r="U1827" s="1155">
        <v>5</v>
      </c>
      <c r="V1827" s="1156" t="s">
        <v>6975</v>
      </c>
      <c r="W1827" s="1155">
        <v>1</v>
      </c>
      <c r="X1827" s="1155" t="s">
        <v>6976</v>
      </c>
      <c r="Y1827" s="1354">
        <v>-2</v>
      </c>
    </row>
    <row r="1828" spans="1:25" ht="12.75" customHeight="1" x14ac:dyDescent="0.2">
      <c r="A1828" s="237">
        <v>1828</v>
      </c>
      <c r="B1828" s="5838"/>
      <c r="E1828" s="1027" t="s">
        <v>6592</v>
      </c>
      <c r="F1828" s="626"/>
      <c r="G1828" s="626">
        <v>100</v>
      </c>
      <c r="H1828" s="626">
        <v>1</v>
      </c>
      <c r="I1828" s="626">
        <v>10</v>
      </c>
      <c r="J1828" s="626">
        <f>COUNTIF(Elan!$C$13:$F$25,Tablas!E1828)+COUNTIF(Elan!$U$13:$X$25,Tablas!E1828)</f>
        <v>0</v>
      </c>
      <c r="K1828" s="626"/>
      <c r="L1828" s="5793" t="s">
        <v>6871</v>
      </c>
      <c r="M1828" s="5793"/>
      <c r="N1828" s="5793"/>
      <c r="O1828" s="5793"/>
      <c r="P1828" s="5793"/>
      <c r="Q1828" s="5794"/>
      <c r="R1828" s="1030">
        <f>IF(OR($J1828=0,$J1828="Aprendida"),0,SUM($J$1736:$J1828))</f>
        <v>0</v>
      </c>
      <c r="T1828" s="1154" t="s">
        <v>6978</v>
      </c>
      <c r="U1828" s="1155">
        <v>1</v>
      </c>
      <c r="V1828" s="1156"/>
      <c r="W1828" s="1155"/>
      <c r="X1828" s="1155"/>
      <c r="Y1828" s="1354"/>
    </row>
    <row r="1829" spans="1:25" ht="12.75" customHeight="1" x14ac:dyDescent="0.2">
      <c r="A1829" s="237">
        <v>1829</v>
      </c>
      <c r="B1829" s="5838"/>
      <c r="E1829" s="1026" t="s">
        <v>6505</v>
      </c>
      <c r="F1829" s="1465">
        <f>IF(Elan!$C$11=Tablas!$E1829,Elan!$G$11,IF(Elan!$U$11=Tablas!$E1829,Elan!$Y$11,0))</f>
        <v>0</v>
      </c>
      <c r="G1829" s="1019" t="s">
        <v>1824</v>
      </c>
      <c r="H1829" s="1019" t="s">
        <v>8507</v>
      </c>
      <c r="I1829" s="1019" t="s">
        <v>1493</v>
      </c>
      <c r="J1829" s="1019" t="s">
        <v>6512</v>
      </c>
      <c r="K1829" s="1019" t="s">
        <v>7268</v>
      </c>
      <c r="L1829" s="1019" t="s">
        <v>1553</v>
      </c>
      <c r="M1829" s="627"/>
      <c r="N1829" s="627"/>
      <c r="O1829" s="627"/>
      <c r="P1829" s="627"/>
      <c r="Q1829" s="1024"/>
      <c r="R1829" s="1030">
        <f>IF(OR($J1829=0,$J1829="Aprendida"),0,SUM($J$1736:$J1829))</f>
        <v>0</v>
      </c>
      <c r="T1829" s="1154" t="s">
        <v>6980</v>
      </c>
      <c r="U1829" s="1155">
        <v>2</v>
      </c>
      <c r="V1829" s="1156"/>
      <c r="W1829" s="1155"/>
      <c r="X1829" s="1155"/>
      <c r="Y1829" s="1354"/>
    </row>
    <row r="1830" spans="1:25" ht="12.75" customHeight="1" x14ac:dyDescent="0.2">
      <c r="A1830" s="237">
        <v>1830</v>
      </c>
      <c r="B1830" s="5838"/>
      <c r="E1830" s="1027" t="s">
        <v>6593</v>
      </c>
      <c r="F1830" s="626"/>
      <c r="G1830" s="626">
        <v>10</v>
      </c>
      <c r="H1830" s="626">
        <v>1</v>
      </c>
      <c r="I1830" s="626">
        <v>5</v>
      </c>
      <c r="J1830" s="626">
        <f>COUNTIF(Elan!$C$13:$F$25,Tablas!E1830)+COUNTIF(Elan!$U$13:$X$25,Tablas!E1830)</f>
        <v>0</v>
      </c>
      <c r="K1830" s="626">
        <f>F$1829*J1830</f>
        <v>0</v>
      </c>
      <c r="L1830" s="5793" t="s">
        <v>6872</v>
      </c>
      <c r="M1830" s="5793"/>
      <c r="N1830" s="5793"/>
      <c r="O1830" s="5793"/>
      <c r="P1830" s="5793"/>
      <c r="Q1830" s="5794"/>
      <c r="R1830" s="1030">
        <f>IF(OR($J1830=0,$J1830="Aprendida"),0,SUM($J$1736:$J1830))</f>
        <v>0</v>
      </c>
      <c r="T1830" s="1157"/>
      <c r="U1830" s="1158"/>
      <c r="V1830" s="1158"/>
      <c r="W1830" s="1158"/>
      <c r="X1830" s="1158"/>
      <c r="Y1830" s="1355"/>
    </row>
    <row r="1831" spans="1:25" ht="12.75" customHeight="1" x14ac:dyDescent="0.2">
      <c r="A1831" s="237">
        <v>1831</v>
      </c>
      <c r="B1831" s="5838"/>
      <c r="E1831" s="1027" t="s">
        <v>6594</v>
      </c>
      <c r="F1831" s="626"/>
      <c r="G1831" s="626">
        <v>20</v>
      </c>
      <c r="H1831" s="626">
        <v>1</v>
      </c>
      <c r="I1831" s="626">
        <v>5</v>
      </c>
      <c r="J1831" s="626">
        <f>COUNTIF(Elan!$C$13:$F$25,Tablas!E1831)+COUNTIF(Elan!$U$13:$X$25,Tablas!E1831)</f>
        <v>0</v>
      </c>
      <c r="K1831" s="626">
        <f>F$1829*J1831</f>
        <v>0</v>
      </c>
      <c r="L1831" s="5793" t="s">
        <v>6876</v>
      </c>
      <c r="M1831" s="5793"/>
      <c r="N1831" s="5793"/>
      <c r="O1831" s="5793"/>
      <c r="P1831" s="5793"/>
      <c r="Q1831" s="5794"/>
      <c r="R1831" s="1030">
        <f>IF(OR($J1831=0,$J1831="Aprendida"),0,SUM($J$1736:$J1831))</f>
        <v>0</v>
      </c>
      <c r="T1831" s="1157"/>
      <c r="U1831" s="1158"/>
      <c r="V1831" s="1158"/>
      <c r="W1831" s="1158"/>
      <c r="X1831" s="1158"/>
      <c r="Y1831" s="1355"/>
    </row>
    <row r="1832" spans="1:25" ht="12.75" customHeight="1" x14ac:dyDescent="0.2">
      <c r="A1832" s="237">
        <v>1832</v>
      </c>
      <c r="B1832" s="5838"/>
      <c r="E1832" s="1027" t="s">
        <v>6595</v>
      </c>
      <c r="F1832" s="626"/>
      <c r="G1832" s="626">
        <v>30</v>
      </c>
      <c r="H1832" s="626">
        <v>1</v>
      </c>
      <c r="I1832" s="626">
        <v>5</v>
      </c>
      <c r="J1832" s="626">
        <f>COUNTIF(Elan!$C$13:$F$25,Tablas!E1832)+COUNTIF(Elan!$U$13:$X$25,Tablas!E1832)</f>
        <v>0</v>
      </c>
      <c r="K1832" s="626"/>
      <c r="L1832" s="5793" t="s">
        <v>6880</v>
      </c>
      <c r="M1832" s="5793"/>
      <c r="N1832" s="5793"/>
      <c r="O1832" s="5793"/>
      <c r="P1832" s="5793"/>
      <c r="Q1832" s="5794"/>
      <c r="R1832" s="1030">
        <f>IF(OR($J1832=0,$J1832="Aprendida"),0,SUM($J$1736:$J1832))</f>
        <v>0</v>
      </c>
      <c r="T1832" s="1152" t="str">
        <f>E1892</f>
        <v>Edamiel</v>
      </c>
      <c r="U1832" s="1153"/>
      <c r="V1832" s="1159"/>
      <c r="W1832" s="1153"/>
      <c r="X1832" s="1153"/>
      <c r="Y1832" s="1353"/>
    </row>
    <row r="1833" spans="1:25" ht="12.75" customHeight="1" x14ac:dyDescent="0.2">
      <c r="A1833" s="237">
        <v>1833</v>
      </c>
      <c r="B1833" s="5838"/>
      <c r="E1833" s="1027" t="s">
        <v>6596</v>
      </c>
      <c r="F1833" s="626"/>
      <c r="G1833" s="626">
        <v>40</v>
      </c>
      <c r="H1833" s="626">
        <v>1</v>
      </c>
      <c r="I1833" s="626">
        <v>10</v>
      </c>
      <c r="J1833" s="626">
        <f>COUNTIF(Elan!$C$13:$F$25,Tablas!E1833)+COUNTIF(Elan!$U$13:$X$25,Tablas!E1833)</f>
        <v>0</v>
      </c>
      <c r="K1833" s="626"/>
      <c r="L1833" s="5793" t="s">
        <v>6883</v>
      </c>
      <c r="M1833" s="5793"/>
      <c r="N1833" s="5793"/>
      <c r="O1833" s="5793"/>
      <c r="P1833" s="5793"/>
      <c r="Q1833" s="5794"/>
      <c r="R1833" s="1030">
        <f>IF(OR($J1833=0,$J1833="Aprendida"),0,SUM($J$1736:$J1833))</f>
        <v>0</v>
      </c>
      <c r="T1833" s="1154" t="s">
        <v>6988</v>
      </c>
      <c r="U1833" s="1155">
        <v>3</v>
      </c>
      <c r="V1833" s="1156" t="s">
        <v>6989</v>
      </c>
      <c r="W1833" s="1155">
        <v>2</v>
      </c>
      <c r="X1833" s="1155" t="s">
        <v>6990</v>
      </c>
      <c r="Y1833" s="1354">
        <v>-2</v>
      </c>
    </row>
    <row r="1834" spans="1:25" ht="12.75" customHeight="1" x14ac:dyDescent="0.2">
      <c r="A1834" s="237">
        <v>1834</v>
      </c>
      <c r="B1834" s="5838"/>
      <c r="E1834" s="1027" t="s">
        <v>6597</v>
      </c>
      <c r="F1834" s="626"/>
      <c r="G1834" s="626">
        <v>50</v>
      </c>
      <c r="H1834" s="626">
        <v>1</v>
      </c>
      <c r="I1834" s="626">
        <v>15</v>
      </c>
      <c r="J1834" s="626">
        <f>COUNTIF(Elan!$C$13:$F$25,Tablas!E1834)+COUNTIF(Elan!$U$13:$X$25,Tablas!E1834)</f>
        <v>0</v>
      </c>
      <c r="K1834" s="626"/>
      <c r="L1834" s="5793" t="s">
        <v>6885</v>
      </c>
      <c r="M1834" s="5793"/>
      <c r="N1834" s="5793"/>
      <c r="O1834" s="5793"/>
      <c r="P1834" s="5793"/>
      <c r="Q1834" s="5794"/>
      <c r="R1834" s="1030">
        <f>IF(OR($J1834=0,$J1834="Aprendida"),0,SUM($J$1736:$J1834))</f>
        <v>0</v>
      </c>
      <c r="T1834" s="1154" t="s">
        <v>6992</v>
      </c>
      <c r="U1834" s="1155">
        <v>3</v>
      </c>
      <c r="V1834" s="1156" t="s">
        <v>6993</v>
      </c>
      <c r="W1834" s="1155">
        <v>3</v>
      </c>
      <c r="X1834" s="1155" t="s">
        <v>6994</v>
      </c>
      <c r="Y1834" s="1354">
        <v>-2</v>
      </c>
    </row>
    <row r="1835" spans="1:25" ht="12.75" customHeight="1" x14ac:dyDescent="0.2">
      <c r="A1835" s="237">
        <v>1835</v>
      </c>
      <c r="B1835" s="5838"/>
      <c r="E1835" s="1027" t="s">
        <v>6598</v>
      </c>
      <c r="F1835" s="626"/>
      <c r="G1835" s="626">
        <v>60</v>
      </c>
      <c r="H1835" s="626">
        <v>1</v>
      </c>
      <c r="I1835" s="626">
        <v>10</v>
      </c>
      <c r="J1835" s="626">
        <f>COUNTIF(Elan!$C$13:$F$25,Tablas!E1835)+COUNTIF(Elan!$U$13:$X$25,Tablas!E1835)</f>
        <v>0</v>
      </c>
      <c r="K1835" s="626"/>
      <c r="L1835" s="5793" t="s">
        <v>6887</v>
      </c>
      <c r="M1835" s="5793"/>
      <c r="N1835" s="5793"/>
      <c r="O1835" s="5793"/>
      <c r="P1835" s="5793"/>
      <c r="Q1835" s="5794"/>
      <c r="R1835" s="1030">
        <f>IF(OR($J1835=0,$J1835="Aprendida"),0,SUM($J$1736:$J1835))</f>
        <v>0</v>
      </c>
      <c r="T1835" s="1154" t="s">
        <v>6996</v>
      </c>
      <c r="U1835" s="1155">
        <v>2</v>
      </c>
      <c r="V1835" s="1156" t="s">
        <v>6997</v>
      </c>
      <c r="W1835" s="1155">
        <v>1</v>
      </c>
      <c r="X1835" s="1155"/>
      <c r="Y1835" s="1354"/>
    </row>
    <row r="1836" spans="1:25" ht="12.75" customHeight="1" x14ac:dyDescent="0.2">
      <c r="A1836" s="237">
        <v>1836</v>
      </c>
      <c r="B1836" s="5838"/>
      <c r="E1836" s="1027" t="s">
        <v>6599</v>
      </c>
      <c r="F1836" s="626"/>
      <c r="G1836" s="626">
        <v>60</v>
      </c>
      <c r="H1836" s="626">
        <v>1</v>
      </c>
      <c r="I1836" s="626">
        <v>10</v>
      </c>
      <c r="J1836" s="626">
        <f>COUNTIF(Elan!$C$13:$F$25,Tablas!E1836)+COUNTIF(Elan!$U$13:$X$25,Tablas!E1836)</f>
        <v>0</v>
      </c>
      <c r="K1836" s="626"/>
      <c r="L1836" s="5793" t="s">
        <v>6889</v>
      </c>
      <c r="M1836" s="5793"/>
      <c r="N1836" s="5793"/>
      <c r="O1836" s="5793"/>
      <c r="P1836" s="5793"/>
      <c r="Q1836" s="5794"/>
      <c r="R1836" s="1030">
        <f>IF(OR($J1836=0,$J1836="Aprendida"),0,SUM($J$1736:$J1836))</f>
        <v>0</v>
      </c>
      <c r="T1836" s="1154" t="s">
        <v>6999</v>
      </c>
      <c r="U1836" s="1155">
        <v>5</v>
      </c>
      <c r="V1836" s="1156" t="s">
        <v>7000</v>
      </c>
      <c r="W1836" s="1155">
        <v>4</v>
      </c>
      <c r="X1836" s="1155"/>
      <c r="Y1836" s="1354"/>
    </row>
    <row r="1837" spans="1:25" ht="12.75" customHeight="1" x14ac:dyDescent="0.2">
      <c r="A1837" s="237">
        <v>1837</v>
      </c>
      <c r="B1837" s="5838"/>
      <c r="E1837" s="1027" t="s">
        <v>6600</v>
      </c>
      <c r="F1837" s="626"/>
      <c r="G1837" s="626">
        <v>70</v>
      </c>
      <c r="H1837" s="626">
        <v>1</v>
      </c>
      <c r="I1837" s="626">
        <v>20</v>
      </c>
      <c r="J1837" s="626">
        <f>COUNTIF(Elan!$C$13:$F$25,Tablas!E1837)+COUNTIF(Elan!$U$13:$X$25,Tablas!E1837)</f>
        <v>0</v>
      </c>
      <c r="K1837" s="626"/>
      <c r="L1837" s="5793" t="s">
        <v>6890</v>
      </c>
      <c r="M1837" s="5793"/>
      <c r="N1837" s="5793"/>
      <c r="O1837" s="5793"/>
      <c r="P1837" s="5793"/>
      <c r="Q1837" s="5794"/>
      <c r="R1837" s="1030">
        <f>IF(OR($J1837=0,$J1837="Aprendida"),0,SUM($J$1736:$J1837))</f>
        <v>0</v>
      </c>
      <c r="T1837" s="1154" t="s">
        <v>7002</v>
      </c>
      <c r="U1837" s="1155">
        <v>4</v>
      </c>
      <c r="V1837" s="1156"/>
      <c r="W1837" s="1155"/>
      <c r="X1837" s="1155"/>
      <c r="Y1837" s="1354"/>
    </row>
    <row r="1838" spans="1:25" ht="12.75" customHeight="1" x14ac:dyDescent="0.2">
      <c r="A1838" s="237">
        <v>1838</v>
      </c>
      <c r="B1838" s="5838"/>
      <c r="E1838" s="1027" t="s">
        <v>6601</v>
      </c>
      <c r="F1838" s="626"/>
      <c r="G1838" s="626">
        <v>80</v>
      </c>
      <c r="H1838" s="626">
        <v>1</v>
      </c>
      <c r="I1838" s="626">
        <v>15</v>
      </c>
      <c r="J1838" s="626">
        <f>COUNTIF(Elan!$C$13:$F$25,Tablas!E1838)+COUNTIF(Elan!$U$13:$X$25,Tablas!E1838)</f>
        <v>0</v>
      </c>
      <c r="K1838" s="626"/>
      <c r="L1838" s="5793" t="s">
        <v>6891</v>
      </c>
      <c r="M1838" s="5793"/>
      <c r="N1838" s="5793"/>
      <c r="O1838" s="5793"/>
      <c r="P1838" s="5793"/>
      <c r="Q1838" s="5794"/>
      <c r="R1838" s="1030">
        <f>IF(OR($J1838=0,$J1838="Aprendida"),0,SUM($J$1736:$J1838))</f>
        <v>0</v>
      </c>
      <c r="T1838" s="1157"/>
      <c r="U1838" s="1158"/>
      <c r="V1838" s="1158"/>
      <c r="W1838" s="1158"/>
      <c r="X1838" s="1158"/>
      <c r="Y1838" s="1355"/>
    </row>
    <row r="1839" spans="1:25" ht="12.75" customHeight="1" x14ac:dyDescent="0.2">
      <c r="A1839" s="237">
        <v>1839</v>
      </c>
      <c r="B1839" s="5838"/>
      <c r="E1839" s="1027" t="s">
        <v>6602</v>
      </c>
      <c r="F1839" s="626"/>
      <c r="G1839" s="626">
        <v>90</v>
      </c>
      <c r="H1839" s="626">
        <f>IF(J1837,1,0)</f>
        <v>0</v>
      </c>
      <c r="I1839" s="626">
        <v>10</v>
      </c>
      <c r="J1839" s="626">
        <f>COUNTIF(Elan!$C$13:$F$25,Tablas!E1839)+COUNTIF(Elan!$U$13:$X$25,Tablas!E1839)</f>
        <v>0</v>
      </c>
      <c r="K1839" s="626"/>
      <c r="L1839" s="5793" t="s">
        <v>6892</v>
      </c>
      <c r="M1839" s="5793"/>
      <c r="N1839" s="5793"/>
      <c r="O1839" s="5793"/>
      <c r="P1839" s="5793"/>
      <c r="Q1839" s="5794"/>
      <c r="R1839" s="1030">
        <f>IF(OR($J1839=0,$J1839="Aprendida"),0,SUM($J$1736:$J1839))</f>
        <v>0</v>
      </c>
      <c r="T1839" s="1157"/>
      <c r="U1839" s="1158"/>
      <c r="V1839" s="1158"/>
      <c r="W1839" s="1158"/>
      <c r="X1839" s="1158"/>
      <c r="Y1839" s="1355"/>
    </row>
    <row r="1840" spans="1:25" ht="12.75" customHeight="1" x14ac:dyDescent="0.2">
      <c r="A1840" s="237">
        <v>1840</v>
      </c>
      <c r="B1840" s="5838"/>
      <c r="E1840" s="1027" t="s">
        <v>6603</v>
      </c>
      <c r="F1840" s="626"/>
      <c r="G1840" s="626">
        <v>100</v>
      </c>
      <c r="H1840" s="626">
        <v>1</v>
      </c>
      <c r="I1840" s="626">
        <v>10</v>
      </c>
      <c r="J1840" s="626">
        <f>COUNTIF(Elan!$C$13:$F$25,Tablas!E1840)+COUNTIF(Elan!$U$13:$X$25,Tablas!E1840)</f>
        <v>0</v>
      </c>
      <c r="K1840" s="626"/>
      <c r="L1840" s="5793" t="s">
        <v>6893</v>
      </c>
      <c r="M1840" s="5793"/>
      <c r="N1840" s="5793"/>
      <c r="O1840" s="5793"/>
      <c r="P1840" s="5793"/>
      <c r="Q1840" s="5794"/>
      <c r="R1840" s="1030">
        <f>IF(OR($J1840=0,$J1840="Aprendida"),0,SUM($J$1736:$J1840))</f>
        <v>0</v>
      </c>
      <c r="T1840" s="1152" t="str">
        <f>E1904</f>
        <v>Meseguis</v>
      </c>
      <c r="U1840" s="1153"/>
      <c r="V1840" s="1159"/>
      <c r="W1840" s="1153"/>
      <c r="X1840" s="1153"/>
      <c r="Y1840" s="1353"/>
    </row>
    <row r="1841" spans="1:25" ht="12.75" customHeight="1" x14ac:dyDescent="0.2">
      <c r="A1841" s="237">
        <v>1841</v>
      </c>
      <c r="B1841" s="5838"/>
      <c r="E1841" s="1026" t="s">
        <v>6506</v>
      </c>
      <c r="F1841" s="1465">
        <f>IF(Elan!$C$11=Tablas!$E1841,Elan!$G$11,IF(Elan!$U$11=Tablas!$E1841,Elan!$Y$11,0))</f>
        <v>0</v>
      </c>
      <c r="G1841" s="1019" t="s">
        <v>1824</v>
      </c>
      <c r="H1841" s="1019" t="s">
        <v>8507</v>
      </c>
      <c r="I1841" s="1019" t="s">
        <v>1493</v>
      </c>
      <c r="J1841" s="1019" t="s">
        <v>6512</v>
      </c>
      <c r="K1841" s="1019" t="s">
        <v>7268</v>
      </c>
      <c r="L1841" s="1019" t="s">
        <v>1553</v>
      </c>
      <c r="M1841" s="627"/>
      <c r="N1841" s="627"/>
      <c r="O1841" s="627"/>
      <c r="P1841" s="627"/>
      <c r="Q1841" s="1024"/>
      <c r="R1841" s="1030">
        <f>IF(OR($J1841=0,$J1841="Aprendida"),0,SUM($J$1736:$J1841))</f>
        <v>0</v>
      </c>
      <c r="T1841" s="1154" t="s">
        <v>7010</v>
      </c>
      <c r="U1841" s="1155">
        <v>8</v>
      </c>
      <c r="V1841" s="1156" t="s">
        <v>7011</v>
      </c>
      <c r="W1841" s="1155">
        <v>2</v>
      </c>
      <c r="X1841" s="1155" t="s">
        <v>7012</v>
      </c>
      <c r="Y1841" s="1354">
        <v>-3</v>
      </c>
    </row>
    <row r="1842" spans="1:25" ht="12.75" customHeight="1" x14ac:dyDescent="0.2">
      <c r="A1842" s="237">
        <v>1842</v>
      </c>
      <c r="B1842" s="5838"/>
      <c r="E1842" s="1027" t="s">
        <v>6604</v>
      </c>
      <c r="F1842" s="626"/>
      <c r="G1842" s="626">
        <v>10</v>
      </c>
      <c r="H1842" s="626">
        <v>1</v>
      </c>
      <c r="I1842" s="626">
        <v>5</v>
      </c>
      <c r="J1842" s="626">
        <f>COUNTIF(Elan!$C$13:$F$25,Tablas!E1842)+COUNTIF(Elan!$U$13:$X$25,Tablas!E1842)</f>
        <v>0</v>
      </c>
      <c r="K1842" s="626">
        <f>F$1841*J1842</f>
        <v>0</v>
      </c>
      <c r="L1842" s="5793" t="s">
        <v>6894</v>
      </c>
      <c r="M1842" s="5793"/>
      <c r="N1842" s="5793"/>
      <c r="O1842" s="5793"/>
      <c r="P1842" s="5793"/>
      <c r="Q1842" s="5794"/>
      <c r="R1842" s="1030">
        <f>IF(OR($J1842=0,$J1842="Aprendida"),0,SUM($J$1736:$J1842))</f>
        <v>0</v>
      </c>
      <c r="T1842" s="1154" t="s">
        <v>7014</v>
      </c>
      <c r="U1842" s="1155">
        <v>8</v>
      </c>
      <c r="V1842" s="1156" t="s">
        <v>7015</v>
      </c>
      <c r="W1842" s="1155">
        <v>1</v>
      </c>
      <c r="X1842" s="1155" t="s">
        <v>7016</v>
      </c>
      <c r="Y1842" s="1354">
        <v>-4</v>
      </c>
    </row>
    <row r="1843" spans="1:25" ht="12.75" customHeight="1" x14ac:dyDescent="0.2">
      <c r="A1843" s="237">
        <v>1843</v>
      </c>
      <c r="B1843" s="5838"/>
      <c r="E1843" s="1027" t="s">
        <v>6605</v>
      </c>
      <c r="F1843" s="626"/>
      <c r="G1843" s="626">
        <v>20</v>
      </c>
      <c r="H1843" s="626">
        <v>1</v>
      </c>
      <c r="I1843" s="626">
        <v>5</v>
      </c>
      <c r="J1843" s="626">
        <f>COUNTIF(Elan!$C$13:$F$25,Tablas!E1843)+COUNTIF(Elan!$U$13:$X$25,Tablas!E1843)</f>
        <v>0</v>
      </c>
      <c r="K1843" s="626">
        <f>F$1841*J1843</f>
        <v>0</v>
      </c>
      <c r="L1843" s="5793" t="s">
        <v>6898</v>
      </c>
      <c r="M1843" s="5793"/>
      <c r="N1843" s="5793"/>
      <c r="O1843" s="5793"/>
      <c r="P1843" s="5793"/>
      <c r="Q1843" s="5794"/>
      <c r="R1843" s="1030">
        <f>IF(OR($J1843=0,$J1843="Aprendida"),0,SUM($J$1736:$J1843))</f>
        <v>0</v>
      </c>
      <c r="T1843" s="1154"/>
      <c r="U1843" s="1155"/>
      <c r="V1843" s="1156" t="s">
        <v>7018</v>
      </c>
      <c r="W1843" s="1155">
        <v>4</v>
      </c>
      <c r="X1843" s="1155"/>
      <c r="Y1843" s="1354"/>
    </row>
    <row r="1844" spans="1:25" ht="12.75" customHeight="1" x14ac:dyDescent="0.2">
      <c r="A1844" s="237">
        <v>1844</v>
      </c>
      <c r="B1844" s="5838"/>
      <c r="E1844" s="1027" t="s">
        <v>6606</v>
      </c>
      <c r="F1844" s="626"/>
      <c r="G1844" s="626">
        <v>30</v>
      </c>
      <c r="H1844" s="626">
        <v>1</v>
      </c>
      <c r="I1844" s="626">
        <v>10</v>
      </c>
      <c r="J1844" s="626">
        <f>COUNTIF(Elan!$C$13:$F$25,Tablas!E1844)+COUNTIF(Elan!$U$13:$X$25,Tablas!E1844)</f>
        <v>0</v>
      </c>
      <c r="K1844" s="626"/>
      <c r="L1844" s="5793" t="s">
        <v>6902</v>
      </c>
      <c r="M1844" s="5793"/>
      <c r="N1844" s="5793"/>
      <c r="O1844" s="5793"/>
      <c r="P1844" s="5793"/>
      <c r="Q1844" s="5794"/>
      <c r="R1844" s="1030">
        <f>IF(OR($J1844=0,$J1844="Aprendida"),0,SUM($J$1736:$J1844))</f>
        <v>0</v>
      </c>
      <c r="T1844" s="1157"/>
      <c r="U1844" s="1158"/>
      <c r="V1844" s="1158"/>
      <c r="W1844" s="1158"/>
      <c r="X1844" s="1158"/>
      <c r="Y1844" s="1355"/>
    </row>
    <row r="1845" spans="1:25" ht="12.75" customHeight="1" x14ac:dyDescent="0.2">
      <c r="A1845" s="237">
        <v>1845</v>
      </c>
      <c r="B1845" s="5838"/>
      <c r="E1845" s="1027" t="s">
        <v>6607</v>
      </c>
      <c r="F1845" s="626"/>
      <c r="G1845" s="626">
        <v>40</v>
      </c>
      <c r="H1845" s="626">
        <v>1</v>
      </c>
      <c r="I1845" s="626">
        <v>10</v>
      </c>
      <c r="J1845" s="626">
        <f>COUNTIF(Elan!$C$13:$F$25,Tablas!E1845)+COUNTIF(Elan!$U$13:$X$25,Tablas!E1845)</f>
        <v>0</v>
      </c>
      <c r="K1845" s="626"/>
      <c r="L1845" s="5793" t="s">
        <v>6906</v>
      </c>
      <c r="M1845" s="5793"/>
      <c r="N1845" s="5793"/>
      <c r="O1845" s="5793"/>
      <c r="P1845" s="5793"/>
      <c r="Q1845" s="5794"/>
      <c r="R1845" s="1030">
        <f>IF(OR($J1845=0,$J1845="Aprendida"),0,SUM($J$1736:$J1845))</f>
        <v>0</v>
      </c>
      <c r="T1845" s="1157"/>
      <c r="U1845" s="1158"/>
      <c r="V1845" s="1158"/>
      <c r="W1845" s="1158"/>
      <c r="X1845" s="1158"/>
      <c r="Y1845" s="1355"/>
    </row>
    <row r="1846" spans="1:25" ht="12.75" customHeight="1" x14ac:dyDescent="0.2">
      <c r="A1846" s="237">
        <v>1846</v>
      </c>
      <c r="B1846" s="5838"/>
      <c r="E1846" s="1027" t="s">
        <v>6608</v>
      </c>
      <c r="F1846" s="626"/>
      <c r="G1846" s="626">
        <v>50</v>
      </c>
      <c r="H1846" s="626">
        <v>1</v>
      </c>
      <c r="I1846" s="626">
        <v>5</v>
      </c>
      <c r="J1846" s="626">
        <f>COUNTIF(Elan!$C$13:$F$25,Tablas!E1846)+COUNTIF(Elan!$U$13:$X$25,Tablas!E1846)</f>
        <v>0</v>
      </c>
      <c r="K1846" s="626"/>
      <c r="L1846" s="5793" t="s">
        <v>6909</v>
      </c>
      <c r="M1846" s="5793"/>
      <c r="N1846" s="5793"/>
      <c r="O1846" s="5793"/>
      <c r="P1846" s="5793"/>
      <c r="Q1846" s="5794"/>
      <c r="R1846" s="1030">
        <f>IF(OR($J1846=0,$J1846="Aprendida"),0,SUM($J$1736:$J1846))</f>
        <v>0</v>
      </c>
      <c r="T1846" s="1157"/>
      <c r="U1846" s="1158"/>
      <c r="V1846" s="1158"/>
      <c r="W1846" s="1158"/>
      <c r="X1846" s="1158"/>
      <c r="Y1846" s="1355"/>
    </row>
    <row r="1847" spans="1:25" ht="12.75" customHeight="1" x14ac:dyDescent="0.2">
      <c r="A1847" s="237">
        <v>1847</v>
      </c>
      <c r="B1847" s="5838"/>
      <c r="E1847" s="1027" t="s">
        <v>6609</v>
      </c>
      <c r="F1847" s="626"/>
      <c r="G1847" s="626">
        <v>60</v>
      </c>
      <c r="H1847" s="626">
        <f>IF(J1846,1,0)</f>
        <v>0</v>
      </c>
      <c r="I1847" s="626">
        <v>10</v>
      </c>
      <c r="J1847" s="626">
        <f>COUNTIF(Elan!$C$13:$F$25,Tablas!E1847)+COUNTIF(Elan!$U$13:$X$25,Tablas!E1847)</f>
        <v>0</v>
      </c>
      <c r="K1847" s="626"/>
      <c r="L1847" s="5793" t="s">
        <v>6911</v>
      </c>
      <c r="M1847" s="5793"/>
      <c r="N1847" s="5793"/>
      <c r="O1847" s="5793"/>
      <c r="P1847" s="5793"/>
      <c r="Q1847" s="5794"/>
      <c r="R1847" s="1030">
        <f>IF(OR($J1847=0,$J1847="Aprendida"),0,SUM($J$1736:$J1847))</f>
        <v>0</v>
      </c>
      <c r="T1847" s="1157"/>
      <c r="U1847" s="1158"/>
      <c r="V1847" s="1158"/>
      <c r="W1847" s="1158"/>
      <c r="X1847" s="1158"/>
      <c r="Y1847" s="1355"/>
    </row>
    <row r="1848" spans="1:25" ht="12.75" customHeight="1" x14ac:dyDescent="0.2">
      <c r="A1848" s="237">
        <v>1848</v>
      </c>
      <c r="B1848" s="5838"/>
      <c r="E1848" s="1027" t="s">
        <v>195</v>
      </c>
      <c r="F1848" s="626"/>
      <c r="G1848" s="626">
        <v>60</v>
      </c>
      <c r="H1848" s="626">
        <v>1</v>
      </c>
      <c r="I1848" s="626">
        <v>15</v>
      </c>
      <c r="J1848" s="626">
        <f>COUNTIF(Elan!$C$13:$F$25,Tablas!E1848)+COUNTIF(Elan!$U$13:$X$25,Tablas!E1848)</f>
        <v>0</v>
      </c>
      <c r="K1848" s="626"/>
      <c r="L1848" s="5793" t="s">
        <v>6913</v>
      </c>
      <c r="M1848" s="5793"/>
      <c r="N1848" s="5793"/>
      <c r="O1848" s="5793"/>
      <c r="P1848" s="5793"/>
      <c r="Q1848" s="5794"/>
      <c r="R1848" s="1030">
        <f>IF(OR($J1848=0,$J1848="Aprendida"),0,SUM($J$1736:$J1848))</f>
        <v>0</v>
      </c>
      <c r="T1848" s="1160" t="str">
        <f>E1918</f>
        <v>ElanPersonalizado</v>
      </c>
      <c r="U1848" s="1153"/>
      <c r="V1848" s="1159"/>
      <c r="W1848" s="1153"/>
      <c r="X1848" s="1153"/>
      <c r="Y1848" s="1353"/>
    </row>
    <row r="1849" spans="1:25" ht="12.75" customHeight="1" x14ac:dyDescent="0.2">
      <c r="A1849" s="237">
        <v>1849</v>
      </c>
      <c r="B1849" s="5838"/>
      <c r="E1849" s="1027" t="s">
        <v>6610</v>
      </c>
      <c r="F1849" s="626"/>
      <c r="G1849" s="626">
        <v>70</v>
      </c>
      <c r="H1849" s="626">
        <v>1</v>
      </c>
      <c r="I1849" s="626">
        <v>15</v>
      </c>
      <c r="J1849" s="626">
        <f>COUNTIF(Elan!$C$13:$F$25,Tablas!E1849)+COUNTIF(Elan!$U$13:$X$25,Tablas!E1849)</f>
        <v>0</v>
      </c>
      <c r="K1849" s="626"/>
      <c r="L1849" s="5793" t="s">
        <v>6915</v>
      </c>
      <c r="M1849" s="5793"/>
      <c r="N1849" s="5793"/>
      <c r="O1849" s="5793"/>
      <c r="P1849" s="5793"/>
      <c r="Q1849" s="5794"/>
      <c r="R1849" s="1030">
        <f>IF(OR($J1849=0,$J1849="Aprendida"),0,SUM($J$1736:$J1849))</f>
        <v>0</v>
      </c>
      <c r="T1849" s="1154">
        <f>Personalización!E106</f>
        <v>0</v>
      </c>
      <c r="U1849" s="1155">
        <f>Personalización!K106</f>
        <v>0</v>
      </c>
      <c r="V1849" s="1156">
        <f>Personalización!E114</f>
        <v>0</v>
      </c>
      <c r="W1849" s="1155">
        <f>Personalización!K114</f>
        <v>0</v>
      </c>
      <c r="X1849" s="1155">
        <f>Personalización!L106</f>
        <v>0</v>
      </c>
      <c r="Y1849" s="1354">
        <f>Personalización!O106</f>
        <v>0</v>
      </c>
    </row>
    <row r="1850" spans="1:25" ht="12.75" customHeight="1" x14ac:dyDescent="0.2">
      <c r="A1850" s="237">
        <v>1850</v>
      </c>
      <c r="B1850" s="5838"/>
      <c r="E1850" s="1027" t="s">
        <v>6611</v>
      </c>
      <c r="F1850" s="626"/>
      <c r="G1850" s="626">
        <v>70</v>
      </c>
      <c r="H1850" s="626">
        <v>1</v>
      </c>
      <c r="I1850" s="626">
        <v>20</v>
      </c>
      <c r="J1850" s="626">
        <f>COUNTIF(Elan!$C$13:$F$25,Tablas!E1850)+COUNTIF(Elan!$U$13:$X$25,Tablas!E1850)</f>
        <v>0</v>
      </c>
      <c r="K1850" s="626"/>
      <c r="L1850" s="5793" t="s">
        <v>6916</v>
      </c>
      <c r="M1850" s="5793"/>
      <c r="N1850" s="5793"/>
      <c r="O1850" s="5793"/>
      <c r="P1850" s="5793"/>
      <c r="Q1850" s="5794"/>
      <c r="R1850" s="1030">
        <f>IF(OR($J1850=0,$J1850="Aprendida"),0,SUM($J$1736:$J1850))</f>
        <v>0</v>
      </c>
      <c r="T1850" s="1154">
        <f>Personalización!E107</f>
        <v>0</v>
      </c>
      <c r="U1850" s="1155">
        <f>Personalización!K107</f>
        <v>0</v>
      </c>
      <c r="V1850" s="1156">
        <f>Personalización!E115</f>
        <v>0</v>
      </c>
      <c r="W1850" s="1155">
        <f>Personalización!K115</f>
        <v>0</v>
      </c>
      <c r="X1850" s="1155">
        <f>Personalización!L109</f>
        <v>0</v>
      </c>
      <c r="Y1850" s="1354">
        <f>Personalización!O109</f>
        <v>0</v>
      </c>
    </row>
    <row r="1851" spans="1:25" ht="12.75" customHeight="1" x14ac:dyDescent="0.2">
      <c r="A1851" s="237">
        <v>1851</v>
      </c>
      <c r="B1851" s="5838"/>
      <c r="E1851" s="1027" t="s">
        <v>6612</v>
      </c>
      <c r="F1851" s="626"/>
      <c r="G1851" s="626">
        <v>80</v>
      </c>
      <c r="H1851" s="626">
        <v>1</v>
      </c>
      <c r="I1851" s="626">
        <v>10</v>
      </c>
      <c r="J1851" s="626">
        <f>COUNTIF(Elan!$C$13:$F$25,Tablas!E1851)+COUNTIF(Elan!$U$13:$X$25,Tablas!E1851)</f>
        <v>0</v>
      </c>
      <c r="K1851" s="626">
        <f>IF(J1851&gt;0,1,0)</f>
        <v>0</v>
      </c>
      <c r="L1851" s="5793" t="s">
        <v>6917</v>
      </c>
      <c r="M1851" s="5793"/>
      <c r="N1851" s="5793"/>
      <c r="O1851" s="5793"/>
      <c r="P1851" s="5793"/>
      <c r="Q1851" s="5794"/>
      <c r="R1851" s="1030">
        <f>IF(OR($J1851=0,$J1851="Aprendida"),0,SUM($J$1736:$J1851))</f>
        <v>0</v>
      </c>
      <c r="T1851" s="1154">
        <f>Personalización!E108</f>
        <v>0</v>
      </c>
      <c r="U1851" s="1155">
        <f>Personalización!K108</f>
        <v>0</v>
      </c>
      <c r="V1851" s="1156">
        <f>Personalización!E116</f>
        <v>0</v>
      </c>
      <c r="W1851" s="1155">
        <f>Personalización!K116</f>
        <v>0</v>
      </c>
      <c r="X1851" s="1155">
        <f>Personalización!L112</f>
        <v>0</v>
      </c>
      <c r="Y1851" s="1354">
        <f>Personalización!O112</f>
        <v>0</v>
      </c>
    </row>
    <row r="1852" spans="1:25" ht="12.75" customHeight="1" x14ac:dyDescent="0.2">
      <c r="A1852" s="237">
        <v>1852</v>
      </c>
      <c r="B1852" s="5838"/>
      <c r="E1852" s="1027" t="s">
        <v>6613</v>
      </c>
      <c r="F1852" s="626"/>
      <c r="G1852" s="626">
        <v>90</v>
      </c>
      <c r="H1852" s="626">
        <f>IF(J1847,1,0)</f>
        <v>0</v>
      </c>
      <c r="I1852" s="626">
        <v>15</v>
      </c>
      <c r="J1852" s="626">
        <f>COUNTIF(Elan!$C$13:$F$25,Tablas!E1852)+COUNTIF(Elan!$U$13:$X$25,Tablas!E1852)</f>
        <v>0</v>
      </c>
      <c r="K1852" s="626"/>
      <c r="L1852" s="5793" t="s">
        <v>6918</v>
      </c>
      <c r="M1852" s="5793"/>
      <c r="N1852" s="5793"/>
      <c r="O1852" s="5793"/>
      <c r="P1852" s="5793"/>
      <c r="Q1852" s="5794"/>
      <c r="R1852" s="1030">
        <f>IF(OR($J1852=0,$J1852="Aprendida"),0,SUM($J$1736:$J1852))</f>
        <v>0</v>
      </c>
      <c r="T1852" s="1154">
        <f>Personalización!E109</f>
        <v>0</v>
      </c>
      <c r="U1852" s="1155">
        <f>Personalización!K109</f>
        <v>0</v>
      </c>
      <c r="V1852" s="1156">
        <f>Personalización!E117</f>
        <v>0</v>
      </c>
      <c r="W1852" s="1155">
        <f>Personalización!K117</f>
        <v>0</v>
      </c>
      <c r="X1852" s="1155">
        <f>Personalización!L115</f>
        <v>0</v>
      </c>
      <c r="Y1852" s="1354">
        <f>Personalización!O115</f>
        <v>0</v>
      </c>
    </row>
    <row r="1853" spans="1:25" ht="12.75" customHeight="1" x14ac:dyDescent="0.2">
      <c r="A1853" s="237">
        <v>1853</v>
      </c>
      <c r="B1853" s="5838"/>
      <c r="E1853" s="1027" t="s">
        <v>6614</v>
      </c>
      <c r="F1853" s="626"/>
      <c r="G1853" s="626">
        <v>100</v>
      </c>
      <c r="H1853" s="626">
        <v>1</v>
      </c>
      <c r="I1853" s="626">
        <v>10</v>
      </c>
      <c r="J1853" s="626">
        <f>COUNTIF(Elan!$C$13:$F$25,Tablas!E1853)+COUNTIF(Elan!$U$13:$X$25,Tablas!E1853)</f>
        <v>0</v>
      </c>
      <c r="K1853" s="626"/>
      <c r="L1853" s="5793" t="s">
        <v>6919</v>
      </c>
      <c r="M1853" s="5793"/>
      <c r="N1853" s="5793"/>
      <c r="O1853" s="5793"/>
      <c r="P1853" s="5793"/>
      <c r="Q1853" s="5794"/>
      <c r="R1853" s="1030">
        <f>IF(OR($J1853=0,$J1853="Aprendida"),0,SUM($J$1736:$J1853))</f>
        <v>0</v>
      </c>
      <c r="T1853" s="1154">
        <f>Personalización!E110</f>
        <v>0</v>
      </c>
      <c r="U1853" s="1155">
        <f>Personalización!K110</f>
        <v>0</v>
      </c>
      <c r="V1853" s="1156">
        <f>Personalización!E118</f>
        <v>0</v>
      </c>
      <c r="W1853" s="1155">
        <f>Personalización!K118</f>
        <v>0</v>
      </c>
      <c r="X1853" s="1155">
        <f>Personalización!L118</f>
        <v>0</v>
      </c>
      <c r="Y1853" s="1354">
        <f>Personalización!O118</f>
        <v>0</v>
      </c>
    </row>
    <row r="1854" spans="1:25" ht="12.75" customHeight="1" x14ac:dyDescent="0.2">
      <c r="A1854" s="237">
        <v>1854</v>
      </c>
      <c r="B1854" s="5838"/>
      <c r="E1854" s="1026" t="s">
        <v>6507</v>
      </c>
      <c r="F1854" s="1465">
        <f>IF(Elan!$C$11=Tablas!$E1854,Elan!$G$11,IF(Elan!$U$11=Tablas!$E1854,Elan!$Y$11,0))</f>
        <v>0</v>
      </c>
      <c r="G1854" s="1019" t="s">
        <v>1824</v>
      </c>
      <c r="H1854" s="1019" t="s">
        <v>8507</v>
      </c>
      <c r="I1854" s="1019" t="s">
        <v>1493</v>
      </c>
      <c r="J1854" s="1019" t="s">
        <v>6512</v>
      </c>
      <c r="K1854" s="1019" t="s">
        <v>7268</v>
      </c>
      <c r="L1854" s="1019" t="s">
        <v>1553</v>
      </c>
      <c r="M1854" s="627"/>
      <c r="N1854" s="627"/>
      <c r="O1854" s="627"/>
      <c r="P1854" s="627"/>
      <c r="Q1854" s="1024"/>
      <c r="R1854" s="1030">
        <f>IF(OR($J1854=0,$J1854="Aprendida"),0,SUM($J$1736:$J1854))</f>
        <v>0</v>
      </c>
      <c r="T1854" s="1154">
        <f>Personalización!E111</f>
        <v>0</v>
      </c>
      <c r="U1854" s="1155">
        <f>Personalización!K111</f>
        <v>0</v>
      </c>
      <c r="V1854" s="1156">
        <f>Personalización!E119</f>
        <v>0</v>
      </c>
      <c r="W1854" s="1155">
        <f>Personalización!K119</f>
        <v>0</v>
      </c>
      <c r="X1854" s="1155"/>
      <c r="Y1854" s="1354"/>
    </row>
    <row r="1855" spans="1:25" ht="12.75" customHeight="1" thickBot="1" x14ac:dyDescent="0.25">
      <c r="A1855" s="237">
        <v>1855</v>
      </c>
      <c r="B1855" s="5838"/>
      <c r="E1855" s="1027" t="s">
        <v>6615</v>
      </c>
      <c r="F1855" s="626"/>
      <c r="G1855" s="626">
        <v>10</v>
      </c>
      <c r="H1855" s="626">
        <v>1</v>
      </c>
      <c r="I1855" s="626">
        <v>10</v>
      </c>
      <c r="J1855" s="626">
        <f>COUNTIF(Elan!$C$13:$F$25,Tablas!E1855)+COUNTIF(Elan!$U$13:$X$25,Tablas!E1855)</f>
        <v>0</v>
      </c>
      <c r="K1855" s="626"/>
      <c r="L1855" s="5793" t="s">
        <v>6920</v>
      </c>
      <c r="M1855" s="5793"/>
      <c r="N1855" s="5793"/>
      <c r="O1855" s="5793"/>
      <c r="P1855" s="5793"/>
      <c r="Q1855" s="5794"/>
      <c r="R1855" s="1030">
        <f>IF(OR($J1855=0,$J1855="Aprendida"),0,SUM($J$1736:$J1855))</f>
        <v>0</v>
      </c>
      <c r="T1855" s="1161">
        <f>Personalización!E112</f>
        <v>0</v>
      </c>
      <c r="U1855" s="1162">
        <f>Personalización!K112</f>
        <v>0</v>
      </c>
      <c r="V1855" s="1163">
        <f>Personalización!E120</f>
        <v>0</v>
      </c>
      <c r="W1855" s="1162">
        <f>Personalización!K120</f>
        <v>0</v>
      </c>
      <c r="X1855" s="1162"/>
      <c r="Y1855" s="1356"/>
    </row>
    <row r="1856" spans="1:25" ht="12.75" customHeight="1" x14ac:dyDescent="0.2">
      <c r="A1856" s="237">
        <v>1856</v>
      </c>
      <c r="B1856" s="5838"/>
      <c r="E1856" s="1027" t="s">
        <v>6616</v>
      </c>
      <c r="F1856" s="626"/>
      <c r="G1856" s="626">
        <v>20</v>
      </c>
      <c r="H1856" s="626">
        <v>1</v>
      </c>
      <c r="I1856" s="626">
        <v>5</v>
      </c>
      <c r="J1856" s="626">
        <f>COUNTIF(Elan!$C$13:$F$25,Tablas!E1856)+COUNTIF(Elan!$U$13:$X$25,Tablas!E1856)</f>
        <v>0</v>
      </c>
      <c r="K1856" s="626"/>
      <c r="L1856" s="5793" t="s">
        <v>6923</v>
      </c>
      <c r="M1856" s="5793"/>
      <c r="N1856" s="5793"/>
      <c r="O1856" s="5793"/>
      <c r="P1856" s="5793"/>
      <c r="Q1856" s="5794"/>
      <c r="R1856" s="1030">
        <f>IF(OR($J1856=0,$J1856="Aprendida"),0,SUM($J$1736:$J1856))</f>
        <v>0</v>
      </c>
    </row>
    <row r="1857" spans="1:18" ht="12.75" customHeight="1" x14ac:dyDescent="0.2">
      <c r="A1857" s="237">
        <v>1857</v>
      </c>
      <c r="B1857" s="5838"/>
      <c r="E1857" s="1027" t="s">
        <v>6617</v>
      </c>
      <c r="F1857" s="626"/>
      <c r="G1857" s="626">
        <v>30</v>
      </c>
      <c r="H1857" s="626">
        <v>1</v>
      </c>
      <c r="I1857" s="626">
        <v>10</v>
      </c>
      <c r="J1857" s="626">
        <f>COUNTIF(Elan!$C$13:$F$25,Tablas!E1857)+COUNTIF(Elan!$U$13:$X$25,Tablas!E1857)</f>
        <v>0</v>
      </c>
      <c r="K1857" s="626"/>
      <c r="L1857" s="5793" t="s">
        <v>6927</v>
      </c>
      <c r="M1857" s="5793"/>
      <c r="N1857" s="5793"/>
      <c r="O1857" s="5793"/>
      <c r="P1857" s="5793"/>
      <c r="Q1857" s="5794"/>
      <c r="R1857" s="1030">
        <f>IF(OR($J1857=0,$J1857="Aprendida"),0,SUM($J$1736:$J1857))</f>
        <v>0</v>
      </c>
    </row>
    <row r="1858" spans="1:18" ht="12.75" customHeight="1" x14ac:dyDescent="0.2">
      <c r="A1858" s="237">
        <v>1858</v>
      </c>
      <c r="B1858" s="5838"/>
      <c r="E1858" s="1027" t="s">
        <v>6618</v>
      </c>
      <c r="F1858" s="626"/>
      <c r="G1858" s="626">
        <v>40</v>
      </c>
      <c r="H1858" s="626">
        <v>1</v>
      </c>
      <c r="I1858" s="626">
        <v>5</v>
      </c>
      <c r="J1858" s="626">
        <f>COUNTIF(Elan!$C$13:$F$25,Tablas!E1858)+COUNTIF(Elan!$U$13:$X$25,Tablas!E1858)</f>
        <v>0</v>
      </c>
      <c r="K1858" s="626"/>
      <c r="L1858" s="5793" t="s">
        <v>6929</v>
      </c>
      <c r="M1858" s="5793"/>
      <c r="N1858" s="5793"/>
      <c r="O1858" s="5793"/>
      <c r="P1858" s="5793"/>
      <c r="Q1858" s="5794"/>
      <c r="R1858" s="1030">
        <f>IF(OR($J1858=0,$J1858="Aprendida"),0,SUM($J$1736:$J1858))</f>
        <v>0</v>
      </c>
    </row>
    <row r="1859" spans="1:18" ht="12.75" customHeight="1" x14ac:dyDescent="0.2">
      <c r="A1859" s="237">
        <v>1859</v>
      </c>
      <c r="B1859" s="5838"/>
      <c r="E1859" s="1027" t="s">
        <v>6619</v>
      </c>
      <c r="F1859" s="626"/>
      <c r="G1859" s="626">
        <v>50</v>
      </c>
      <c r="H1859" s="626">
        <v>1</v>
      </c>
      <c r="I1859" s="626">
        <v>15</v>
      </c>
      <c r="J1859" s="626">
        <f>COUNTIF(Elan!$C$13:$F$25,Tablas!E1859)+COUNTIF(Elan!$U$13:$X$25,Tablas!E1859)</f>
        <v>0</v>
      </c>
      <c r="K1859" s="626"/>
      <c r="L1859" s="5793" t="s">
        <v>6931</v>
      </c>
      <c r="M1859" s="5793"/>
      <c r="N1859" s="5793"/>
      <c r="O1859" s="5793"/>
      <c r="P1859" s="5793"/>
      <c r="Q1859" s="5794"/>
      <c r="R1859" s="1030">
        <f>IF(OR($J1859=0,$J1859="Aprendida"),0,SUM($J$1736:$J1859))</f>
        <v>0</v>
      </c>
    </row>
    <row r="1860" spans="1:18" ht="12.75" customHeight="1" x14ac:dyDescent="0.2">
      <c r="A1860" s="237">
        <v>1860</v>
      </c>
      <c r="B1860" s="5838"/>
      <c r="E1860" s="1027" t="s">
        <v>6620</v>
      </c>
      <c r="F1860" s="626"/>
      <c r="G1860" s="626">
        <v>60</v>
      </c>
      <c r="H1860" s="626">
        <f>IF(J1858,1,0)</f>
        <v>0</v>
      </c>
      <c r="I1860" s="626">
        <v>10</v>
      </c>
      <c r="J1860" s="626">
        <f>COUNTIF(Elan!$C$13:$F$25,Tablas!E1860)+COUNTIF(Elan!$U$13:$X$25,Tablas!E1860)</f>
        <v>0</v>
      </c>
      <c r="K1860" s="626">
        <f>2*J1860*F1854</f>
        <v>0</v>
      </c>
      <c r="L1860" s="5793" t="s">
        <v>6933</v>
      </c>
      <c r="M1860" s="5793"/>
      <c r="N1860" s="5793"/>
      <c r="O1860" s="5793"/>
      <c r="P1860" s="5793"/>
      <c r="Q1860" s="5794"/>
      <c r="R1860" s="1030">
        <f>IF(OR($J1860=0,$J1860="Aprendida"),0,SUM($J$1736:$J1860))</f>
        <v>0</v>
      </c>
    </row>
    <row r="1861" spans="1:18" ht="12.75" customHeight="1" x14ac:dyDescent="0.2">
      <c r="A1861" s="237">
        <v>1861</v>
      </c>
      <c r="B1861" s="5838"/>
      <c r="E1861" s="1027" t="s">
        <v>6621</v>
      </c>
      <c r="F1861" s="626"/>
      <c r="G1861" s="626">
        <v>70</v>
      </c>
      <c r="H1861" s="626">
        <v>1</v>
      </c>
      <c r="I1861" s="626">
        <v>15</v>
      </c>
      <c r="J1861" s="626">
        <f>COUNTIF(Elan!$C$13:$F$25,Tablas!E1861)+COUNTIF(Elan!$U$13:$X$25,Tablas!E1861)</f>
        <v>0</v>
      </c>
      <c r="K1861" s="626"/>
      <c r="L1861" s="5793" t="s">
        <v>6934</v>
      </c>
      <c r="M1861" s="5793"/>
      <c r="N1861" s="5793"/>
      <c r="O1861" s="5793"/>
      <c r="P1861" s="5793"/>
      <c r="Q1861" s="5794"/>
      <c r="R1861" s="1030">
        <f>IF(OR($J1861=0,$J1861="Aprendida"),0,SUM($J$1736:$J1861))</f>
        <v>0</v>
      </c>
    </row>
    <row r="1862" spans="1:18" ht="12.75" customHeight="1" x14ac:dyDescent="0.2">
      <c r="A1862" s="237">
        <v>1862</v>
      </c>
      <c r="B1862" s="5838"/>
      <c r="E1862" s="1027" t="s">
        <v>6622</v>
      </c>
      <c r="F1862" s="626"/>
      <c r="G1862" s="626">
        <v>80</v>
      </c>
      <c r="H1862" s="626">
        <f>IF(J1858,1,0)</f>
        <v>0</v>
      </c>
      <c r="I1862" s="626">
        <v>10</v>
      </c>
      <c r="J1862" s="626">
        <f>COUNTIF(Elan!$C$13:$F$25,Tablas!E1862)+COUNTIF(Elan!$U$13:$X$25,Tablas!E1862)</f>
        <v>0</v>
      </c>
      <c r="K1862" s="626"/>
      <c r="L1862" s="5793" t="s">
        <v>6935</v>
      </c>
      <c r="M1862" s="5793"/>
      <c r="N1862" s="5793"/>
      <c r="O1862" s="5793"/>
      <c r="P1862" s="5793"/>
      <c r="Q1862" s="5794"/>
      <c r="R1862" s="1030">
        <f>IF(OR($J1862=0,$J1862="Aprendida"),0,SUM($J$1736:$J1862))</f>
        <v>0</v>
      </c>
    </row>
    <row r="1863" spans="1:18" ht="12.75" customHeight="1" x14ac:dyDescent="0.2">
      <c r="A1863" s="237">
        <v>1863</v>
      </c>
      <c r="B1863" s="5838"/>
      <c r="E1863" s="1027" t="s">
        <v>6623</v>
      </c>
      <c r="F1863" s="626"/>
      <c r="G1863" s="626">
        <v>80</v>
      </c>
      <c r="H1863" s="626">
        <v>1</v>
      </c>
      <c r="I1863" s="626">
        <v>15</v>
      </c>
      <c r="J1863" s="626">
        <f>COUNTIF(Elan!$C$13:$F$25,Tablas!E1863)+COUNTIF(Elan!$U$13:$X$25,Tablas!E1863)</f>
        <v>0</v>
      </c>
      <c r="K1863" s="626"/>
      <c r="L1863" s="5793" t="s">
        <v>6936</v>
      </c>
      <c r="M1863" s="5793"/>
      <c r="N1863" s="5793"/>
      <c r="O1863" s="5793"/>
      <c r="P1863" s="5793"/>
      <c r="Q1863" s="5794"/>
      <c r="R1863" s="1030">
        <f>IF(OR($J1863=0,$J1863="Aprendida"),0,SUM($J$1736:$J1863))</f>
        <v>0</v>
      </c>
    </row>
    <row r="1864" spans="1:18" ht="12.75" customHeight="1" x14ac:dyDescent="0.2">
      <c r="A1864" s="237">
        <v>1864</v>
      </c>
      <c r="B1864" s="5838"/>
      <c r="E1864" s="1027" t="s">
        <v>6624</v>
      </c>
      <c r="F1864" s="626"/>
      <c r="G1864" s="626">
        <v>90</v>
      </c>
      <c r="H1864" s="626">
        <v>1</v>
      </c>
      <c r="I1864" s="626">
        <v>15</v>
      </c>
      <c r="J1864" s="626">
        <f>COUNTIF(Elan!$C$13:$F$25,Tablas!E1864)+COUNTIF(Elan!$U$13:$X$25,Tablas!E1864)</f>
        <v>0</v>
      </c>
      <c r="K1864" s="626"/>
      <c r="L1864" s="5793" t="s">
        <v>6937</v>
      </c>
      <c r="M1864" s="5793"/>
      <c r="N1864" s="5793"/>
      <c r="O1864" s="5793"/>
      <c r="P1864" s="5793"/>
      <c r="Q1864" s="5794"/>
      <c r="R1864" s="1030">
        <f>IF(OR($J1864=0,$J1864="Aprendida"),0,SUM($J$1736:$J1864))</f>
        <v>0</v>
      </c>
    </row>
    <row r="1865" spans="1:18" ht="12.75" customHeight="1" x14ac:dyDescent="0.2">
      <c r="A1865" s="237">
        <v>1865</v>
      </c>
      <c r="B1865" s="5838"/>
      <c r="E1865" s="1027" t="s">
        <v>6625</v>
      </c>
      <c r="F1865" s="626"/>
      <c r="G1865" s="626">
        <v>100</v>
      </c>
      <c r="H1865" s="626">
        <v>1</v>
      </c>
      <c r="I1865" s="626">
        <v>10</v>
      </c>
      <c r="J1865" s="626">
        <f>COUNTIF(Elan!$C$13:$F$25,Tablas!E1865)+COUNTIF(Elan!$U$13:$X$25,Tablas!E1865)</f>
        <v>0</v>
      </c>
      <c r="K1865" s="626"/>
      <c r="L1865" s="5793" t="s">
        <v>6938</v>
      </c>
      <c r="M1865" s="5793"/>
      <c r="N1865" s="5793"/>
      <c r="O1865" s="5793"/>
      <c r="P1865" s="5793"/>
      <c r="Q1865" s="5794"/>
      <c r="R1865" s="1030">
        <f>IF(OR($J1865=0,$J1865="Aprendida"),0,SUM($J$1736:$J1865))</f>
        <v>0</v>
      </c>
    </row>
    <row r="1866" spans="1:18" ht="12.75" customHeight="1" x14ac:dyDescent="0.2">
      <c r="A1866" s="237">
        <v>1866</v>
      </c>
      <c r="B1866" s="5838"/>
      <c r="E1866" s="1026" t="s">
        <v>6508</v>
      </c>
      <c r="F1866" s="1465">
        <f>IF(Elan!$C$11=Tablas!$E1866,Elan!$G$11,IF(Elan!$U$11=Tablas!$E1866,Elan!$Y$11,0))</f>
        <v>0</v>
      </c>
      <c r="G1866" s="1019" t="s">
        <v>1824</v>
      </c>
      <c r="H1866" s="1019" t="s">
        <v>8507</v>
      </c>
      <c r="I1866" s="1019" t="s">
        <v>1493</v>
      </c>
      <c r="J1866" s="1019" t="s">
        <v>6512</v>
      </c>
      <c r="K1866" s="1019" t="s">
        <v>7268</v>
      </c>
      <c r="L1866" s="1019" t="s">
        <v>1553</v>
      </c>
      <c r="M1866" s="627"/>
      <c r="N1866" s="627"/>
      <c r="O1866" s="627"/>
      <c r="P1866" s="627"/>
      <c r="Q1866" s="1024"/>
      <c r="R1866" s="1030">
        <f>IF(OR($J1866=0,$J1866="Aprendida"),0,SUM($J$1736:$J1866))</f>
        <v>0</v>
      </c>
    </row>
    <row r="1867" spans="1:18" ht="12.75" customHeight="1" x14ac:dyDescent="0.2">
      <c r="A1867" s="237">
        <v>1867</v>
      </c>
      <c r="B1867" s="5838"/>
      <c r="E1867" s="1027" t="s">
        <v>6626</v>
      </c>
      <c r="F1867" s="626"/>
      <c r="G1867" s="626">
        <v>10</v>
      </c>
      <c r="H1867" s="626">
        <v>1</v>
      </c>
      <c r="I1867" s="626">
        <v>5</v>
      </c>
      <c r="J1867" s="626">
        <f>COUNTIF(Elan!$C$13:$F$25,Tablas!E1867)+COUNTIF(Elan!$U$13:$X$25,Tablas!E1867)</f>
        <v>0</v>
      </c>
      <c r="K1867" s="626">
        <f>F$1866*J1867</f>
        <v>0</v>
      </c>
      <c r="L1867" s="5793" t="s">
        <v>6939</v>
      </c>
      <c r="M1867" s="5793"/>
      <c r="N1867" s="5793"/>
      <c r="O1867" s="5793"/>
      <c r="P1867" s="5793"/>
      <c r="Q1867" s="5794"/>
      <c r="R1867" s="1030">
        <f>IF(OR($J1867=0,$J1867="Aprendida"),0,SUM($J$1736:$J1867))</f>
        <v>0</v>
      </c>
    </row>
    <row r="1868" spans="1:18" ht="12.75" customHeight="1" x14ac:dyDescent="0.2">
      <c r="A1868" s="237">
        <v>1868</v>
      </c>
      <c r="B1868" s="5838"/>
      <c r="E1868" s="1027" t="s">
        <v>6627</v>
      </c>
      <c r="F1868" s="626"/>
      <c r="G1868" s="626">
        <v>20</v>
      </c>
      <c r="H1868" s="626">
        <v>1</v>
      </c>
      <c r="I1868" s="626">
        <v>10</v>
      </c>
      <c r="J1868" s="626">
        <f>COUNTIF(Elan!$C$13:$F$25,Tablas!E1868)+COUNTIF(Elan!$U$13:$X$25,Tablas!E1868)</f>
        <v>0</v>
      </c>
      <c r="K1868" s="626"/>
      <c r="L1868" s="5793" t="s">
        <v>6943</v>
      </c>
      <c r="M1868" s="5793"/>
      <c r="N1868" s="5793"/>
      <c r="O1868" s="5793"/>
      <c r="P1868" s="5793"/>
      <c r="Q1868" s="5794"/>
      <c r="R1868" s="1030">
        <f>IF(OR($J1868=0,$J1868="Aprendida"),0,SUM($J$1736:$J1868))</f>
        <v>0</v>
      </c>
    </row>
    <row r="1869" spans="1:18" ht="12.75" customHeight="1" x14ac:dyDescent="0.2">
      <c r="A1869" s="237">
        <v>1869</v>
      </c>
      <c r="B1869" s="5838"/>
      <c r="E1869" s="1027" t="s">
        <v>6628</v>
      </c>
      <c r="F1869" s="626"/>
      <c r="G1869" s="626">
        <v>30</v>
      </c>
      <c r="H1869" s="626">
        <v>1</v>
      </c>
      <c r="I1869" s="626">
        <v>10</v>
      </c>
      <c r="J1869" s="626">
        <f>COUNTIF(Elan!$C$13:$F$25,Tablas!E1869)+COUNTIF(Elan!$U$13:$X$25,Tablas!E1869)</f>
        <v>0</v>
      </c>
      <c r="K1869" s="626">
        <f>F$1866*J1869</f>
        <v>0</v>
      </c>
      <c r="L1869" s="5793" t="s">
        <v>6947</v>
      </c>
      <c r="M1869" s="5793"/>
      <c r="N1869" s="5793"/>
      <c r="O1869" s="5793"/>
      <c r="P1869" s="5793"/>
      <c r="Q1869" s="5794"/>
      <c r="R1869" s="1030">
        <f>IF(OR($J1869=0,$J1869="Aprendida"),0,SUM($J$1736:$J1869))</f>
        <v>0</v>
      </c>
    </row>
    <row r="1870" spans="1:18" ht="12.75" customHeight="1" x14ac:dyDescent="0.2">
      <c r="A1870" s="237">
        <v>1870</v>
      </c>
      <c r="B1870" s="5838"/>
      <c r="E1870" s="1027" t="s">
        <v>6629</v>
      </c>
      <c r="F1870" s="626"/>
      <c r="G1870" s="626">
        <v>40</v>
      </c>
      <c r="H1870" s="626">
        <v>1</v>
      </c>
      <c r="I1870" s="626">
        <v>10</v>
      </c>
      <c r="J1870" s="626">
        <f>COUNTIF(Elan!$C$13:$F$25,Tablas!E1870)+COUNTIF(Elan!$U$13:$X$25,Tablas!E1870)</f>
        <v>0</v>
      </c>
      <c r="K1870" s="626"/>
      <c r="L1870" s="5793" t="s">
        <v>6951</v>
      </c>
      <c r="M1870" s="5793"/>
      <c r="N1870" s="5793"/>
      <c r="O1870" s="5793"/>
      <c r="P1870" s="5793"/>
      <c r="Q1870" s="5794"/>
      <c r="R1870" s="1030">
        <f>IF(OR($J1870=0,$J1870="Aprendida"),0,SUM($J$1736:$J1870))</f>
        <v>0</v>
      </c>
    </row>
    <row r="1871" spans="1:18" ht="12.75" customHeight="1" x14ac:dyDescent="0.2">
      <c r="A1871" s="237">
        <v>1871</v>
      </c>
      <c r="B1871" s="5838"/>
      <c r="E1871" s="1027" t="s">
        <v>6630</v>
      </c>
      <c r="F1871" s="626"/>
      <c r="G1871" s="626">
        <v>40</v>
      </c>
      <c r="H1871" s="626">
        <v>1</v>
      </c>
      <c r="I1871" s="626">
        <v>5</v>
      </c>
      <c r="J1871" s="626">
        <f>COUNTIF(Elan!$C$13:$F$25,Tablas!E1871)+COUNTIF(Elan!$U$13:$X$25,Tablas!E1871)</f>
        <v>0</v>
      </c>
      <c r="K1871" s="626"/>
      <c r="L1871" s="5793" t="s">
        <v>6954</v>
      </c>
      <c r="M1871" s="5793"/>
      <c r="N1871" s="5793"/>
      <c r="O1871" s="5793"/>
      <c r="P1871" s="5793"/>
      <c r="Q1871" s="5794"/>
      <c r="R1871" s="1030">
        <f>IF(OR($J1871=0,$J1871="Aprendida"),0,SUM($J$1736:$J1871))</f>
        <v>0</v>
      </c>
    </row>
    <row r="1872" spans="1:18" ht="12.75" customHeight="1" x14ac:dyDescent="0.2">
      <c r="A1872" s="237">
        <v>1872</v>
      </c>
      <c r="B1872" s="5838"/>
      <c r="D1872" s="810"/>
      <c r="E1872" s="1027" t="s">
        <v>6631</v>
      </c>
      <c r="F1872" s="626"/>
      <c r="G1872" s="626">
        <v>50</v>
      </c>
      <c r="H1872" s="626">
        <f>IF(J1873,1,0)</f>
        <v>0</v>
      </c>
      <c r="I1872" s="626">
        <v>15</v>
      </c>
      <c r="J1872" s="626">
        <f>COUNTIF(Elan!$C$13:$F$25,Tablas!E1872)+COUNTIF(Elan!$U$13:$X$25,Tablas!E1872)</f>
        <v>0</v>
      </c>
      <c r="K1872" s="626"/>
      <c r="L1872" s="5793" t="s">
        <v>6956</v>
      </c>
      <c r="M1872" s="5793"/>
      <c r="N1872" s="5793"/>
      <c r="O1872" s="5793"/>
      <c r="P1872" s="5793"/>
      <c r="Q1872" s="5794"/>
      <c r="R1872" s="1030">
        <f>IF(OR($J1872=0,$J1872="Aprendida"),0,SUM($J$1736:$J1872))</f>
        <v>0</v>
      </c>
    </row>
    <row r="1873" spans="1:18" ht="12.75" customHeight="1" x14ac:dyDescent="0.2">
      <c r="A1873" s="237">
        <v>1873</v>
      </c>
      <c r="B1873" s="5838"/>
      <c r="E1873" s="1027" t="s">
        <v>6632</v>
      </c>
      <c r="F1873" s="626"/>
      <c r="G1873" s="626">
        <v>50</v>
      </c>
      <c r="H1873" s="626">
        <v>1</v>
      </c>
      <c r="I1873" s="626">
        <v>5</v>
      </c>
      <c r="J1873" s="626">
        <f>COUNTIF(Elan!$C$13:$F$25,Tablas!E1873)+COUNTIF(Elan!$U$13:$X$25,Tablas!E1873)</f>
        <v>0</v>
      </c>
      <c r="K1873" s="626"/>
      <c r="L1873" s="5793" t="s">
        <v>6958</v>
      </c>
      <c r="M1873" s="5793"/>
      <c r="N1873" s="5793"/>
      <c r="O1873" s="5793"/>
      <c r="P1873" s="5793"/>
      <c r="Q1873" s="5794"/>
      <c r="R1873" s="1030">
        <f>IF(OR($J1873=0,$J1873="Aprendida"),0,SUM($J$1736:$J1873))</f>
        <v>0</v>
      </c>
    </row>
    <row r="1874" spans="1:18" ht="12.75" customHeight="1" x14ac:dyDescent="0.2">
      <c r="A1874" s="237">
        <v>1874</v>
      </c>
      <c r="B1874" s="5838"/>
      <c r="E1874" s="1027" t="s">
        <v>6633</v>
      </c>
      <c r="F1874" s="626"/>
      <c r="G1874" s="626">
        <v>60</v>
      </c>
      <c r="H1874" s="626">
        <v>1</v>
      </c>
      <c r="I1874" s="626">
        <v>10</v>
      </c>
      <c r="J1874" s="626">
        <f>COUNTIF(Elan!$C$13:$F$25,Tablas!E1874)+COUNTIF(Elan!$U$13:$X$25,Tablas!E1874)</f>
        <v>0</v>
      </c>
      <c r="K1874" s="626"/>
      <c r="L1874" s="5793" t="s">
        <v>6959</v>
      </c>
      <c r="M1874" s="5793"/>
      <c r="N1874" s="5793"/>
      <c r="O1874" s="5793"/>
      <c r="P1874" s="5793"/>
      <c r="Q1874" s="5794"/>
      <c r="R1874" s="1030">
        <f>IF(OR($J1874=0,$J1874="Aprendida"),0,SUM($J$1736:$J1874))</f>
        <v>0</v>
      </c>
    </row>
    <row r="1875" spans="1:18" ht="12.75" customHeight="1" x14ac:dyDescent="0.2">
      <c r="A1875" s="237">
        <v>1875</v>
      </c>
      <c r="B1875" s="5838"/>
      <c r="E1875" s="1027" t="s">
        <v>6634</v>
      </c>
      <c r="F1875" s="626"/>
      <c r="G1875" s="626">
        <v>70</v>
      </c>
      <c r="H1875" s="626">
        <v>1</v>
      </c>
      <c r="I1875" s="626">
        <v>20</v>
      </c>
      <c r="J1875" s="626">
        <f>COUNTIF(Elan!$C$13:$F$25,Tablas!E1875)+COUNTIF(Elan!$U$13:$X$25,Tablas!E1875)</f>
        <v>0</v>
      </c>
      <c r="K1875" s="626"/>
      <c r="L1875" s="5793" t="s">
        <v>6960</v>
      </c>
      <c r="M1875" s="5793"/>
      <c r="N1875" s="5793"/>
      <c r="O1875" s="5793"/>
      <c r="P1875" s="5793"/>
      <c r="Q1875" s="5794"/>
      <c r="R1875" s="1030">
        <f>IF(OR($J1875=0,$J1875="Aprendida"),0,SUM($J$1736:$J1875))</f>
        <v>0</v>
      </c>
    </row>
    <row r="1876" spans="1:18" ht="12.75" customHeight="1" x14ac:dyDescent="0.2">
      <c r="A1876" s="237">
        <v>1876</v>
      </c>
      <c r="B1876" s="5838"/>
      <c r="E1876" s="1027" t="s">
        <v>6635</v>
      </c>
      <c r="F1876" s="626"/>
      <c r="G1876" s="626">
        <v>70</v>
      </c>
      <c r="H1876" s="626">
        <v>1</v>
      </c>
      <c r="I1876" s="626">
        <v>10</v>
      </c>
      <c r="J1876" s="626">
        <f>COUNTIF(Elan!$C$13:$F$25,Tablas!E1876)+COUNTIF(Elan!$U$13:$X$25,Tablas!E1876)</f>
        <v>0</v>
      </c>
      <c r="K1876" s="626"/>
      <c r="L1876" s="5793" t="s">
        <v>6961</v>
      </c>
      <c r="M1876" s="5793"/>
      <c r="N1876" s="5793"/>
      <c r="O1876" s="5793"/>
      <c r="P1876" s="5793"/>
      <c r="Q1876" s="5794"/>
      <c r="R1876" s="1030">
        <f>IF(OR($J1876=0,$J1876="Aprendida"),0,SUM($J$1736:$J1876))</f>
        <v>0</v>
      </c>
    </row>
    <row r="1877" spans="1:18" ht="12.75" customHeight="1" x14ac:dyDescent="0.2">
      <c r="A1877" s="237">
        <v>1877</v>
      </c>
      <c r="B1877" s="5838"/>
      <c r="E1877" s="1027" t="s">
        <v>6636</v>
      </c>
      <c r="F1877" s="626"/>
      <c r="G1877" s="626">
        <v>80</v>
      </c>
      <c r="H1877" s="626">
        <f>IF(J1872,1,0)</f>
        <v>0</v>
      </c>
      <c r="I1877" s="626">
        <v>20</v>
      </c>
      <c r="J1877" s="626">
        <f>COUNTIF(Elan!$C$13:$F$25,Tablas!E1877)+COUNTIF(Elan!$U$13:$X$25,Tablas!E1877)</f>
        <v>0</v>
      </c>
      <c r="K1877" s="626"/>
      <c r="L1877" s="5793" t="s">
        <v>6962</v>
      </c>
      <c r="M1877" s="5793"/>
      <c r="N1877" s="5793"/>
      <c r="O1877" s="5793"/>
      <c r="P1877" s="5793"/>
      <c r="Q1877" s="5794"/>
      <c r="R1877" s="1030">
        <f>IF(OR($J1877=0,$J1877="Aprendida"),0,SUM($J$1736:$J1877))</f>
        <v>0</v>
      </c>
    </row>
    <row r="1878" spans="1:18" ht="12.75" customHeight="1" x14ac:dyDescent="0.2">
      <c r="A1878" s="237">
        <v>1878</v>
      </c>
      <c r="B1878" s="5838"/>
      <c r="E1878" s="1027" t="s">
        <v>472</v>
      </c>
      <c r="F1878" s="626"/>
      <c r="G1878" s="626">
        <v>90</v>
      </c>
      <c r="H1878" s="626">
        <f>IF(J1872,1,0)</f>
        <v>0</v>
      </c>
      <c r="I1878" s="626">
        <v>10</v>
      </c>
      <c r="J1878" s="626">
        <f>COUNTIF(Elan!$C$13:$F$25,Tablas!E1878)+COUNTIF(Elan!$U$13:$X$25,Tablas!E1878)</f>
        <v>0</v>
      </c>
      <c r="K1878" s="626"/>
      <c r="L1878" s="5793" t="s">
        <v>6963</v>
      </c>
      <c r="M1878" s="5793"/>
      <c r="N1878" s="5793"/>
      <c r="O1878" s="5793"/>
      <c r="P1878" s="5793"/>
      <c r="Q1878" s="5794"/>
      <c r="R1878" s="1030">
        <f>IF(OR($J1878=0,$J1878="Aprendida"),0,SUM($J$1736:$J1878))</f>
        <v>0</v>
      </c>
    </row>
    <row r="1879" spans="1:18" ht="12.75" customHeight="1" x14ac:dyDescent="0.2">
      <c r="A1879" s="237">
        <v>1879</v>
      </c>
      <c r="B1879" s="5838"/>
      <c r="E1879" s="1027" t="s">
        <v>6637</v>
      </c>
      <c r="F1879" s="626"/>
      <c r="G1879" s="626">
        <v>100</v>
      </c>
      <c r="H1879" s="626">
        <v>1</v>
      </c>
      <c r="I1879" s="626">
        <v>10</v>
      </c>
      <c r="J1879" s="626">
        <f>COUNTIF(Elan!$C$13:$F$25,Tablas!E1879)+COUNTIF(Elan!$U$13:$X$25,Tablas!E1879)</f>
        <v>0</v>
      </c>
      <c r="K1879" s="626"/>
      <c r="L1879" s="5793" t="s">
        <v>6964</v>
      </c>
      <c r="M1879" s="5793"/>
      <c r="N1879" s="5793"/>
      <c r="O1879" s="5793"/>
      <c r="P1879" s="5793"/>
      <c r="Q1879" s="5794"/>
      <c r="R1879" s="1030">
        <f>IF(OR($J1879=0,$J1879="Aprendida"),0,SUM($J$1736:$J1879))</f>
        <v>0</v>
      </c>
    </row>
    <row r="1880" spans="1:18" ht="12.75" customHeight="1" x14ac:dyDescent="0.2">
      <c r="A1880" s="237">
        <v>1880</v>
      </c>
      <c r="B1880" s="5838"/>
      <c r="E1880" s="1026" t="s">
        <v>6509</v>
      </c>
      <c r="F1880" s="1465">
        <f>IF(Elan!$C$11=Tablas!$E1880,Elan!$G$11,IF(Elan!$U$11=Tablas!$E1880,Elan!$Y$11,0))</f>
        <v>0</v>
      </c>
      <c r="G1880" s="1019" t="s">
        <v>1824</v>
      </c>
      <c r="H1880" s="1019" t="s">
        <v>8507</v>
      </c>
      <c r="I1880" s="1019" t="s">
        <v>1493</v>
      </c>
      <c r="J1880" s="1019" t="s">
        <v>6512</v>
      </c>
      <c r="K1880" s="1019" t="s">
        <v>7268</v>
      </c>
      <c r="L1880" s="1019" t="s">
        <v>1553</v>
      </c>
      <c r="M1880" s="627"/>
      <c r="N1880" s="627"/>
      <c r="O1880" s="627"/>
      <c r="P1880" s="627"/>
      <c r="Q1880" s="1024"/>
      <c r="R1880" s="1030">
        <f>IF(OR($J1880=0,$J1880="Aprendida"),0,SUM($J$1736:$J1880))</f>
        <v>0</v>
      </c>
    </row>
    <row r="1881" spans="1:18" ht="12.75" customHeight="1" x14ac:dyDescent="0.2">
      <c r="A1881" s="237">
        <v>1881</v>
      </c>
      <c r="B1881" s="5838"/>
      <c r="E1881" s="1027" t="s">
        <v>6638</v>
      </c>
      <c r="F1881" s="626"/>
      <c r="G1881" s="626">
        <v>10</v>
      </c>
      <c r="H1881" s="626">
        <v>1</v>
      </c>
      <c r="I1881" s="626">
        <v>10</v>
      </c>
      <c r="J1881" s="626">
        <f>COUNTIF(Elan!$C$13:$F$25,Tablas!E1881)+COUNTIF(Elan!$U$13:$X$25,Tablas!E1881)</f>
        <v>0</v>
      </c>
      <c r="K1881" s="626"/>
      <c r="L1881" s="5793" t="s">
        <v>6965</v>
      </c>
      <c r="M1881" s="5793"/>
      <c r="N1881" s="5793"/>
      <c r="O1881" s="5793"/>
      <c r="P1881" s="5793"/>
      <c r="Q1881" s="5794"/>
      <c r="R1881" s="1030">
        <f>IF(OR($J1881=0,$J1881="Aprendida"),0,SUM($J$1736:$J1881))</f>
        <v>0</v>
      </c>
    </row>
    <row r="1882" spans="1:18" ht="12.75" customHeight="1" x14ac:dyDescent="0.2">
      <c r="A1882" s="237">
        <v>1882</v>
      </c>
      <c r="B1882" s="5838"/>
      <c r="E1882" s="1027" t="s">
        <v>6639</v>
      </c>
      <c r="F1882" s="626"/>
      <c r="G1882" s="626">
        <v>20</v>
      </c>
      <c r="H1882" s="626">
        <v>1</v>
      </c>
      <c r="I1882" s="626">
        <v>5</v>
      </c>
      <c r="J1882" s="626">
        <f>COUNTIF(Elan!$C$13:$F$25,Tablas!E1882)+COUNTIF(Elan!$U$13:$X$25,Tablas!E1882)</f>
        <v>0</v>
      </c>
      <c r="K1882" s="626"/>
      <c r="L1882" s="5793" t="s">
        <v>6969</v>
      </c>
      <c r="M1882" s="5793"/>
      <c r="N1882" s="5793"/>
      <c r="O1882" s="5793"/>
      <c r="P1882" s="5793"/>
      <c r="Q1882" s="5794"/>
      <c r="R1882" s="1030">
        <f>IF(OR($J1882=0,$J1882="Aprendida"),0,SUM($J$1736:$J1882))</f>
        <v>0</v>
      </c>
    </row>
    <row r="1883" spans="1:18" ht="12.75" customHeight="1" x14ac:dyDescent="0.2">
      <c r="A1883" s="237">
        <v>1883</v>
      </c>
      <c r="B1883" s="5838"/>
      <c r="E1883" s="1027" t="s">
        <v>6640</v>
      </c>
      <c r="F1883" s="626"/>
      <c r="G1883" s="626">
        <v>30</v>
      </c>
      <c r="H1883" s="626">
        <v>1</v>
      </c>
      <c r="I1883" s="626">
        <v>5</v>
      </c>
      <c r="J1883" s="626">
        <f>COUNTIF(Elan!$C$13:$F$25,Tablas!E1883)+COUNTIF(Elan!$U$13:$X$25,Tablas!E1883)</f>
        <v>0</v>
      </c>
      <c r="K1883" s="626"/>
      <c r="L1883" s="5793" t="s">
        <v>6973</v>
      </c>
      <c r="M1883" s="5793"/>
      <c r="N1883" s="5793"/>
      <c r="O1883" s="5793"/>
      <c r="P1883" s="5793"/>
      <c r="Q1883" s="5794"/>
      <c r="R1883" s="1030">
        <f>IF(OR($J1883=0,$J1883="Aprendida"),0,SUM($J$1736:$J1883))</f>
        <v>0</v>
      </c>
    </row>
    <row r="1884" spans="1:18" ht="12.75" customHeight="1" x14ac:dyDescent="0.2">
      <c r="A1884" s="237">
        <v>1884</v>
      </c>
      <c r="B1884" s="5838"/>
      <c r="E1884" s="1027" t="s">
        <v>6641</v>
      </c>
      <c r="F1884" s="626"/>
      <c r="G1884" s="626">
        <v>40</v>
      </c>
      <c r="H1884" s="626">
        <v>1</v>
      </c>
      <c r="I1884" s="626">
        <v>10</v>
      </c>
      <c r="J1884" s="626">
        <f>COUNTIF(Elan!$C$13:$F$25,Tablas!E1884)+COUNTIF(Elan!$U$13:$X$25,Tablas!E1884)</f>
        <v>0</v>
      </c>
      <c r="K1884" s="626"/>
      <c r="L1884" s="5793" t="s">
        <v>6977</v>
      </c>
      <c r="M1884" s="5793"/>
      <c r="N1884" s="5793"/>
      <c r="O1884" s="5793"/>
      <c r="P1884" s="5793"/>
      <c r="Q1884" s="5794"/>
      <c r="R1884" s="1030">
        <f>IF(OR($J1884=0,$J1884="Aprendida"),0,SUM($J$1736:$J1884))</f>
        <v>0</v>
      </c>
    </row>
    <row r="1885" spans="1:18" ht="12.75" customHeight="1" x14ac:dyDescent="0.2">
      <c r="A1885" s="237">
        <v>1885</v>
      </c>
      <c r="B1885" s="5838"/>
      <c r="E1885" s="1027" t="s">
        <v>6642</v>
      </c>
      <c r="F1885" s="626"/>
      <c r="G1885" s="626">
        <v>50</v>
      </c>
      <c r="H1885" s="626">
        <v>1</v>
      </c>
      <c r="I1885" s="626">
        <v>10</v>
      </c>
      <c r="J1885" s="626">
        <f>COUNTIF(Elan!$C$13:$F$25,Tablas!E1885)+COUNTIF(Elan!$U$13:$X$25,Tablas!E1885)</f>
        <v>0</v>
      </c>
      <c r="K1885" s="626"/>
      <c r="L1885" s="5793" t="s">
        <v>6979</v>
      </c>
      <c r="M1885" s="5793"/>
      <c r="N1885" s="5793"/>
      <c r="O1885" s="5793"/>
      <c r="P1885" s="5793"/>
      <c r="Q1885" s="5794"/>
      <c r="R1885" s="1030">
        <f>IF(OR($J1885=0,$J1885="Aprendida"),0,SUM($J$1736:$J1885))</f>
        <v>0</v>
      </c>
    </row>
    <row r="1886" spans="1:18" ht="12.75" customHeight="1" x14ac:dyDescent="0.2">
      <c r="A1886" s="237">
        <v>1886</v>
      </c>
      <c r="B1886" s="5838"/>
      <c r="E1886" s="1027" t="s">
        <v>6643</v>
      </c>
      <c r="F1886" s="626"/>
      <c r="G1886" s="626">
        <v>50</v>
      </c>
      <c r="H1886" s="626">
        <v>1</v>
      </c>
      <c r="I1886" s="626">
        <v>15</v>
      </c>
      <c r="J1886" s="626">
        <f>COUNTIF(Elan!$C$13:$F$25,Tablas!E1886)+COUNTIF(Elan!$U$13:$X$25,Tablas!E1886)</f>
        <v>0</v>
      </c>
      <c r="K1886" s="626"/>
      <c r="L1886" s="5793" t="s">
        <v>6981</v>
      </c>
      <c r="M1886" s="5793"/>
      <c r="N1886" s="5793"/>
      <c r="O1886" s="5793"/>
      <c r="P1886" s="5793"/>
      <c r="Q1886" s="5794"/>
      <c r="R1886" s="1030">
        <f>IF(OR($J1886=0,$J1886="Aprendida"),0,SUM($J$1736:$J1886))</f>
        <v>0</v>
      </c>
    </row>
    <row r="1887" spans="1:18" ht="12.75" customHeight="1" x14ac:dyDescent="0.2">
      <c r="A1887" s="237">
        <v>1887</v>
      </c>
      <c r="B1887" s="5838"/>
      <c r="E1887" s="1027" t="s">
        <v>497</v>
      </c>
      <c r="F1887" s="626"/>
      <c r="G1887" s="626">
        <v>60</v>
      </c>
      <c r="H1887" s="626">
        <v>1</v>
      </c>
      <c r="I1887" s="626">
        <v>10</v>
      </c>
      <c r="J1887" s="626">
        <f>COUNTIF(Elan!$C$13:$F$25,Tablas!E1887)+COUNTIF(Elan!$U$13:$X$25,Tablas!E1887)</f>
        <v>0</v>
      </c>
      <c r="K1887" s="626"/>
      <c r="L1887" s="5793" t="s">
        <v>6982</v>
      </c>
      <c r="M1887" s="5793"/>
      <c r="N1887" s="5793"/>
      <c r="O1887" s="5793"/>
      <c r="P1887" s="5793"/>
      <c r="Q1887" s="5794"/>
      <c r="R1887" s="1030">
        <f>IF(OR($J1887=0,$J1887="Aprendida"),0,SUM($J$1736:$J1887))</f>
        <v>0</v>
      </c>
    </row>
    <row r="1888" spans="1:18" ht="12.75" customHeight="1" x14ac:dyDescent="0.2">
      <c r="A1888" s="237">
        <v>1888</v>
      </c>
      <c r="B1888" s="5838"/>
      <c r="E1888" s="1027" t="s">
        <v>6644</v>
      </c>
      <c r="F1888" s="626"/>
      <c r="G1888" s="626">
        <v>70</v>
      </c>
      <c r="H1888" s="626">
        <f>IF(J1885,1,0)</f>
        <v>0</v>
      </c>
      <c r="I1888" s="626">
        <v>15</v>
      </c>
      <c r="J1888" s="626">
        <f>COUNTIF(Elan!$C$13:$F$25,Tablas!E1888)+COUNTIF(Elan!$U$13:$X$25,Tablas!E1888)</f>
        <v>0</v>
      </c>
      <c r="K1888" s="626"/>
      <c r="L1888" s="5793" t="s">
        <v>6983</v>
      </c>
      <c r="M1888" s="5793"/>
      <c r="N1888" s="5793"/>
      <c r="O1888" s="5793"/>
      <c r="P1888" s="5793"/>
      <c r="Q1888" s="5794"/>
      <c r="R1888" s="1030">
        <f>IF(OR($J1888=0,$J1888="Aprendida"),0,SUM($J$1736:$J1888))</f>
        <v>0</v>
      </c>
    </row>
    <row r="1889" spans="1:18" ht="12.75" customHeight="1" x14ac:dyDescent="0.2">
      <c r="A1889" s="237">
        <v>1889</v>
      </c>
      <c r="B1889" s="5838"/>
      <c r="E1889" s="1027" t="s">
        <v>6645</v>
      </c>
      <c r="F1889" s="626"/>
      <c r="G1889" s="626">
        <v>80</v>
      </c>
      <c r="H1889" s="626">
        <v>1</v>
      </c>
      <c r="I1889" s="626">
        <v>15</v>
      </c>
      <c r="J1889" s="626">
        <f>COUNTIF(Elan!$C$13:$F$25,Tablas!E1889)+COUNTIF(Elan!$U$13:$X$25,Tablas!E1889)</f>
        <v>0</v>
      </c>
      <c r="K1889" s="626"/>
      <c r="L1889" s="5793" t="s">
        <v>6984</v>
      </c>
      <c r="M1889" s="5793"/>
      <c r="N1889" s="5793"/>
      <c r="O1889" s="5793"/>
      <c r="P1889" s="5793"/>
      <c r="Q1889" s="5794"/>
      <c r="R1889" s="1030">
        <f>IF(OR($J1889=0,$J1889="Aprendida"),0,SUM($J$1736:$J1889))</f>
        <v>0</v>
      </c>
    </row>
    <row r="1890" spans="1:18" ht="12.75" customHeight="1" x14ac:dyDescent="0.2">
      <c r="A1890" s="237">
        <v>1890</v>
      </c>
      <c r="B1890" s="5838"/>
      <c r="E1890" s="1027" t="s">
        <v>6646</v>
      </c>
      <c r="F1890" s="626"/>
      <c r="G1890" s="626">
        <v>90</v>
      </c>
      <c r="H1890" s="626">
        <v>1</v>
      </c>
      <c r="I1890" s="626">
        <v>15</v>
      </c>
      <c r="J1890" s="626">
        <f>COUNTIF(Elan!$C$13:$F$25,Tablas!E1890)+COUNTIF(Elan!$U$13:$X$25,Tablas!E1890)</f>
        <v>0</v>
      </c>
      <c r="K1890" s="626"/>
      <c r="L1890" s="5793" t="s">
        <v>6985</v>
      </c>
      <c r="M1890" s="5793"/>
      <c r="N1890" s="5793"/>
      <c r="O1890" s="5793"/>
      <c r="P1890" s="5793"/>
      <c r="Q1890" s="5794"/>
      <c r="R1890" s="1030">
        <f>IF(OR($J1890=0,$J1890="Aprendida"),0,SUM($J$1736:$J1890))</f>
        <v>0</v>
      </c>
    </row>
    <row r="1891" spans="1:18" ht="12.75" customHeight="1" x14ac:dyDescent="0.2">
      <c r="A1891" s="237">
        <v>1891</v>
      </c>
      <c r="B1891" s="5838"/>
      <c r="E1891" s="1027" t="s">
        <v>6647</v>
      </c>
      <c r="F1891" s="626"/>
      <c r="G1891" s="626">
        <v>100</v>
      </c>
      <c r="H1891" s="626">
        <f>IF(J1887,1,0)</f>
        <v>0</v>
      </c>
      <c r="I1891" s="626">
        <v>10</v>
      </c>
      <c r="J1891" s="626">
        <f>COUNTIF(Elan!$C$13:$F$25,Tablas!E1891)+COUNTIF(Elan!$U$13:$X$25,Tablas!E1891)</f>
        <v>0</v>
      </c>
      <c r="K1891" s="626"/>
      <c r="L1891" s="5793" t="s">
        <v>6986</v>
      </c>
      <c r="M1891" s="5793"/>
      <c r="N1891" s="5793"/>
      <c r="O1891" s="5793"/>
      <c r="P1891" s="5793"/>
      <c r="Q1891" s="5794"/>
      <c r="R1891" s="1030">
        <f>IF(OR($J1891=0,$J1891="Aprendida"),0,SUM($J$1736:$J1891))</f>
        <v>0</v>
      </c>
    </row>
    <row r="1892" spans="1:18" ht="12.75" customHeight="1" x14ac:dyDescent="0.2">
      <c r="A1892" s="237">
        <v>1892</v>
      </c>
      <c r="B1892" s="5838"/>
      <c r="E1892" s="1026" t="s">
        <v>6510</v>
      </c>
      <c r="F1892" s="1465">
        <f>IF(Elan!$C$11=Tablas!$E1892,Elan!$G$11,IF(Elan!$U$11=Tablas!$E1892,Elan!$Y$11,0))</f>
        <v>0</v>
      </c>
      <c r="G1892" s="1019" t="s">
        <v>1824</v>
      </c>
      <c r="H1892" s="1019" t="s">
        <v>8507</v>
      </c>
      <c r="I1892" s="1019" t="s">
        <v>1493</v>
      </c>
      <c r="J1892" s="1019" t="s">
        <v>6512</v>
      </c>
      <c r="K1892" s="1019" t="s">
        <v>7268</v>
      </c>
      <c r="L1892" s="1019" t="s">
        <v>1553</v>
      </c>
      <c r="M1892" s="627"/>
      <c r="N1892" s="627"/>
      <c r="O1892" s="627"/>
      <c r="P1892" s="627"/>
      <c r="Q1892" s="1024"/>
      <c r="R1892" s="1030">
        <f>IF(OR($J1892=0,$J1892="Aprendida"),0,SUM($J$1736:$J1892))</f>
        <v>0</v>
      </c>
    </row>
    <row r="1893" spans="1:18" ht="12.75" customHeight="1" x14ac:dyDescent="0.2">
      <c r="A1893" s="237">
        <v>1893</v>
      </c>
      <c r="B1893" s="5838"/>
      <c r="E1893" s="1027" t="s">
        <v>6648</v>
      </c>
      <c r="F1893" s="626"/>
      <c r="G1893" s="626">
        <v>10</v>
      </c>
      <c r="H1893" s="626">
        <v>1</v>
      </c>
      <c r="I1893" s="626">
        <v>5</v>
      </c>
      <c r="J1893" s="626">
        <f>COUNTIF(Elan!$C$13:$F$25,Tablas!E1893)+COUNTIF(Elan!$U$13:$X$25,Tablas!E1893)</f>
        <v>0</v>
      </c>
      <c r="K1893" s="626"/>
      <c r="L1893" s="5793" t="s">
        <v>6987</v>
      </c>
      <c r="M1893" s="5793"/>
      <c r="N1893" s="5793"/>
      <c r="O1893" s="5793"/>
      <c r="P1893" s="5793"/>
      <c r="Q1893" s="5794"/>
      <c r="R1893" s="1030">
        <f>IF(OR($J1893=0,$J1893="Aprendida"),0,SUM($J$1736:$J1893))</f>
        <v>0</v>
      </c>
    </row>
    <row r="1894" spans="1:18" ht="12.75" customHeight="1" x14ac:dyDescent="0.2">
      <c r="A1894" s="237">
        <v>1894</v>
      </c>
      <c r="B1894" s="5838"/>
      <c r="E1894" s="1027" t="s">
        <v>6649</v>
      </c>
      <c r="F1894" s="626"/>
      <c r="G1894" s="626">
        <v>20</v>
      </c>
      <c r="H1894" s="626">
        <v>1</v>
      </c>
      <c r="I1894" s="626">
        <v>5</v>
      </c>
      <c r="J1894" s="626">
        <f>COUNTIF(Elan!$C$13:$F$25,Tablas!E1894)+COUNTIF(Elan!$U$13:$X$25,Tablas!E1894)</f>
        <v>0</v>
      </c>
      <c r="K1894" s="626"/>
      <c r="L1894" s="5793" t="s">
        <v>6991</v>
      </c>
      <c r="M1894" s="5793"/>
      <c r="N1894" s="5793"/>
      <c r="O1894" s="5793"/>
      <c r="P1894" s="5793"/>
      <c r="Q1894" s="5794"/>
      <c r="R1894" s="1030">
        <f>IF(OR($J1894=0,$J1894="Aprendida"),0,SUM($J$1736:$J1894))</f>
        <v>0</v>
      </c>
    </row>
    <row r="1895" spans="1:18" ht="12.75" customHeight="1" x14ac:dyDescent="0.2">
      <c r="A1895" s="237">
        <v>1895</v>
      </c>
      <c r="B1895" s="5838"/>
      <c r="E1895" s="1027" t="s">
        <v>6650</v>
      </c>
      <c r="F1895" s="626"/>
      <c r="G1895" s="626">
        <v>30</v>
      </c>
      <c r="H1895" s="626">
        <v>1</v>
      </c>
      <c r="I1895" s="626">
        <v>5</v>
      </c>
      <c r="J1895" s="626">
        <f>COUNTIF(Elan!$C$13:$F$25,Tablas!E1895)+COUNTIF(Elan!$U$13:$X$25,Tablas!E1895)</f>
        <v>0</v>
      </c>
      <c r="K1895" s="626">
        <f>F1892*J1895</f>
        <v>0</v>
      </c>
      <c r="L1895" s="5793" t="s">
        <v>6995</v>
      </c>
      <c r="M1895" s="5793"/>
      <c r="N1895" s="5793"/>
      <c r="O1895" s="5793"/>
      <c r="P1895" s="5793"/>
      <c r="Q1895" s="5794"/>
      <c r="R1895" s="1030">
        <f>IF(OR($J1895=0,$J1895="Aprendida"),0,SUM($J$1736:$J1895))</f>
        <v>0</v>
      </c>
    </row>
    <row r="1896" spans="1:18" ht="12.75" customHeight="1" x14ac:dyDescent="0.2">
      <c r="A1896" s="237">
        <v>1896</v>
      </c>
      <c r="B1896" s="5838"/>
      <c r="E1896" s="1027" t="s">
        <v>6651</v>
      </c>
      <c r="F1896" s="626"/>
      <c r="G1896" s="626">
        <v>40</v>
      </c>
      <c r="H1896" s="626">
        <v>1</v>
      </c>
      <c r="I1896" s="626">
        <v>10</v>
      </c>
      <c r="J1896" s="626">
        <f>COUNTIF(Elan!$C$13:$F$25,Tablas!E1896)+COUNTIF(Elan!$U$13:$X$25,Tablas!E1896)</f>
        <v>0</v>
      </c>
      <c r="K1896" s="626"/>
      <c r="L1896" s="5793" t="s">
        <v>6998</v>
      </c>
      <c r="M1896" s="5793"/>
      <c r="N1896" s="5793"/>
      <c r="O1896" s="5793"/>
      <c r="P1896" s="5793"/>
      <c r="Q1896" s="5794"/>
      <c r="R1896" s="1030">
        <f>IF(OR($J1896=0,$J1896="Aprendida"),0,SUM($J$1736:$J1896))</f>
        <v>0</v>
      </c>
    </row>
    <row r="1897" spans="1:18" ht="12.75" customHeight="1" x14ac:dyDescent="0.2">
      <c r="A1897" s="237">
        <v>1897</v>
      </c>
      <c r="B1897" s="5838"/>
      <c r="E1897" s="1027" t="s">
        <v>8508</v>
      </c>
      <c r="F1897" s="626"/>
      <c r="G1897" s="626">
        <v>50</v>
      </c>
      <c r="H1897" s="626">
        <v>1</v>
      </c>
      <c r="I1897" s="626">
        <v>10</v>
      </c>
      <c r="J1897" s="626">
        <f>COUNTIF(Elan!$C$13:$F$25,Tablas!E1897)+COUNTIF(Elan!$U$13:$X$25,Tablas!E1897)</f>
        <v>0</v>
      </c>
      <c r="K1897" s="626"/>
      <c r="L1897" s="5793" t="s">
        <v>7001</v>
      </c>
      <c r="M1897" s="5793"/>
      <c r="N1897" s="5793"/>
      <c r="O1897" s="5793"/>
      <c r="P1897" s="5793"/>
      <c r="Q1897" s="5794"/>
      <c r="R1897" s="1030">
        <f>IF(OR($J1897=0,$J1897="Aprendida"),0,SUM($J$1736:$J1897))</f>
        <v>0</v>
      </c>
    </row>
    <row r="1898" spans="1:18" ht="12.75" customHeight="1" x14ac:dyDescent="0.2">
      <c r="A1898" s="237">
        <v>1898</v>
      </c>
      <c r="B1898" s="5838"/>
      <c r="E1898" s="1027" t="s">
        <v>6652</v>
      </c>
      <c r="F1898" s="626"/>
      <c r="G1898" s="626">
        <v>60</v>
      </c>
      <c r="H1898" s="626">
        <v>1</v>
      </c>
      <c r="I1898" s="626">
        <v>10</v>
      </c>
      <c r="J1898" s="626">
        <f>COUNTIF(Elan!$C$13:$F$25,Tablas!E1898)+COUNTIF(Elan!$U$13:$X$25,Tablas!E1898)</f>
        <v>0</v>
      </c>
      <c r="K1898" s="626"/>
      <c r="L1898" s="5793" t="s">
        <v>7003</v>
      </c>
      <c r="M1898" s="5793"/>
      <c r="N1898" s="5793"/>
      <c r="O1898" s="5793"/>
      <c r="P1898" s="5793"/>
      <c r="Q1898" s="5794"/>
      <c r="R1898" s="1030">
        <f>IF(OR($J1898=0,$J1898="Aprendida"),0,SUM($J$1736:$J1898))</f>
        <v>0</v>
      </c>
    </row>
    <row r="1899" spans="1:18" ht="12.75" customHeight="1" x14ac:dyDescent="0.2">
      <c r="A1899" s="237">
        <v>1899</v>
      </c>
      <c r="B1899" s="5838"/>
      <c r="E1899" s="1027" t="s">
        <v>6653</v>
      </c>
      <c r="F1899" s="626"/>
      <c r="G1899" s="626">
        <v>60</v>
      </c>
      <c r="H1899" s="626">
        <v>1</v>
      </c>
      <c r="I1899" s="626">
        <v>15</v>
      </c>
      <c r="J1899" s="626">
        <f>COUNTIF(Elan!$C$13:$F$25,Tablas!E1899)+COUNTIF(Elan!$U$13:$X$25,Tablas!E1899)</f>
        <v>0</v>
      </c>
      <c r="K1899" s="626"/>
      <c r="L1899" s="5793" t="s">
        <v>7004</v>
      </c>
      <c r="M1899" s="5793"/>
      <c r="N1899" s="5793"/>
      <c r="O1899" s="5793"/>
      <c r="P1899" s="5793"/>
      <c r="Q1899" s="5794"/>
      <c r="R1899" s="1030">
        <f>IF(OR($J1899=0,$J1899="Aprendida"),0,SUM($J$1736:$J1899))</f>
        <v>0</v>
      </c>
    </row>
    <row r="1900" spans="1:18" ht="12.75" customHeight="1" x14ac:dyDescent="0.2">
      <c r="A1900" s="237">
        <v>1900</v>
      </c>
      <c r="B1900" s="5838"/>
      <c r="E1900" s="1027" t="s">
        <v>6654</v>
      </c>
      <c r="F1900" s="626"/>
      <c r="G1900" s="626">
        <v>70</v>
      </c>
      <c r="H1900" s="626">
        <f>IF(J1898,1,0)</f>
        <v>0</v>
      </c>
      <c r="I1900" s="626">
        <v>15</v>
      </c>
      <c r="J1900" s="626">
        <f>COUNTIF(Elan!$C$13:$F$25,Tablas!E1900)+COUNTIF(Elan!$U$13:$X$25,Tablas!E1900)</f>
        <v>0</v>
      </c>
      <c r="K1900" s="626"/>
      <c r="L1900" s="5793" t="s">
        <v>7005</v>
      </c>
      <c r="M1900" s="5793"/>
      <c r="N1900" s="5793"/>
      <c r="O1900" s="5793"/>
      <c r="P1900" s="5793"/>
      <c r="Q1900" s="5794"/>
      <c r="R1900" s="1030">
        <f>IF(OR($J1900=0,$J1900="Aprendida"),0,SUM($J$1736:$J1900))</f>
        <v>0</v>
      </c>
    </row>
    <row r="1901" spans="1:18" ht="12.75" customHeight="1" x14ac:dyDescent="0.2">
      <c r="A1901" s="237">
        <v>1901</v>
      </c>
      <c r="B1901" s="5838"/>
      <c r="E1901" s="1027" t="s">
        <v>6655</v>
      </c>
      <c r="F1901" s="626"/>
      <c r="G1901" s="626">
        <v>80</v>
      </c>
      <c r="H1901" s="626">
        <v>1</v>
      </c>
      <c r="I1901" s="626">
        <v>15</v>
      </c>
      <c r="J1901" s="626">
        <f>COUNTIF(Elan!$C$13:$F$25,Tablas!E1901)+COUNTIF(Elan!$U$13:$X$25,Tablas!E1901)</f>
        <v>0</v>
      </c>
      <c r="K1901" s="626"/>
      <c r="L1901" s="5793" t="s">
        <v>7006</v>
      </c>
      <c r="M1901" s="5793"/>
      <c r="N1901" s="5793"/>
      <c r="O1901" s="5793"/>
      <c r="P1901" s="5793"/>
      <c r="Q1901" s="5794"/>
      <c r="R1901" s="1030">
        <f>IF(OR($J1901=0,$J1901="Aprendida"),0,SUM($J$1736:$J1901))</f>
        <v>0</v>
      </c>
    </row>
    <row r="1902" spans="1:18" ht="12.75" customHeight="1" x14ac:dyDescent="0.2">
      <c r="A1902" s="237">
        <v>1902</v>
      </c>
      <c r="B1902" s="5838"/>
      <c r="E1902" s="1027" t="s">
        <v>6656</v>
      </c>
      <c r="F1902" s="626"/>
      <c r="G1902" s="626">
        <v>90</v>
      </c>
      <c r="H1902" s="626">
        <v>1</v>
      </c>
      <c r="I1902" s="626">
        <v>25</v>
      </c>
      <c r="J1902" s="626">
        <f>COUNTIF(Elan!$C$13:$F$25,Tablas!E1902)+COUNTIF(Elan!$U$13:$X$25,Tablas!E1902)</f>
        <v>0</v>
      </c>
      <c r="K1902" s="626"/>
      <c r="L1902" s="5793" t="s">
        <v>7007</v>
      </c>
      <c r="M1902" s="5793"/>
      <c r="N1902" s="5793"/>
      <c r="O1902" s="5793"/>
      <c r="P1902" s="5793"/>
      <c r="Q1902" s="5794"/>
      <c r="R1902" s="1030">
        <f>IF(OR($J1902=0,$J1902="Aprendida"),0,SUM($J$1736:$J1902))</f>
        <v>0</v>
      </c>
    </row>
    <row r="1903" spans="1:18" ht="12.75" customHeight="1" x14ac:dyDescent="0.2">
      <c r="A1903" s="237">
        <v>1903</v>
      </c>
      <c r="B1903" s="5838"/>
      <c r="E1903" s="1027" t="s">
        <v>6657</v>
      </c>
      <c r="F1903" s="626"/>
      <c r="G1903" s="626">
        <v>100</v>
      </c>
      <c r="H1903" s="626">
        <v>1</v>
      </c>
      <c r="I1903" s="626">
        <v>10</v>
      </c>
      <c r="J1903" s="626">
        <f>COUNTIF(Elan!$C$13:$F$25,Tablas!E1903)+COUNTIF(Elan!$U$13:$X$25,Tablas!E1903)</f>
        <v>0</v>
      </c>
      <c r="K1903" s="626"/>
      <c r="L1903" s="5793" t="s">
        <v>7008</v>
      </c>
      <c r="M1903" s="5793"/>
      <c r="N1903" s="5793"/>
      <c r="O1903" s="5793"/>
      <c r="P1903" s="5793"/>
      <c r="Q1903" s="5794"/>
      <c r="R1903" s="1030">
        <f>IF(OR($J1903=0,$J1903="Aprendida"),0,SUM($J$1736:$J1903))</f>
        <v>0</v>
      </c>
    </row>
    <row r="1904" spans="1:18" ht="12.75" customHeight="1" x14ac:dyDescent="0.2">
      <c r="A1904" s="237">
        <v>1904</v>
      </c>
      <c r="B1904" s="5838"/>
      <c r="E1904" s="1033" t="s">
        <v>6511</v>
      </c>
      <c r="F1904" s="1465">
        <f>IF(Elan!$C$11=Tablas!$E1904,Elan!$G$11,IF(Elan!$U$11=Tablas!$E1904,Elan!$Y$11,0))</f>
        <v>0</v>
      </c>
      <c r="G1904" s="1019" t="s">
        <v>1824</v>
      </c>
      <c r="H1904" s="1019" t="s">
        <v>8507</v>
      </c>
      <c r="I1904" s="1019" t="s">
        <v>1493</v>
      </c>
      <c r="J1904" s="1019" t="s">
        <v>6512</v>
      </c>
      <c r="K1904" s="1019" t="s">
        <v>7268</v>
      </c>
      <c r="L1904" s="1019" t="s">
        <v>1553</v>
      </c>
      <c r="M1904" s="627"/>
      <c r="N1904" s="627"/>
      <c r="O1904" s="627"/>
      <c r="P1904" s="627"/>
      <c r="Q1904" s="1024"/>
      <c r="R1904" s="1030">
        <f>IF(OR($J1904=0,$J1904="Aprendida"),0,SUM($J$1736:$J1904))</f>
        <v>0</v>
      </c>
    </row>
    <row r="1905" spans="1:18" ht="12.75" customHeight="1" x14ac:dyDescent="0.2">
      <c r="A1905" s="237">
        <v>1905</v>
      </c>
      <c r="B1905" s="5838"/>
      <c r="E1905" s="1027" t="s">
        <v>6658</v>
      </c>
      <c r="F1905" s="626"/>
      <c r="G1905" s="626">
        <v>10</v>
      </c>
      <c r="H1905" s="626">
        <v>1</v>
      </c>
      <c r="I1905" s="626">
        <v>5</v>
      </c>
      <c r="J1905" s="626">
        <f>COUNTIF(Elan!$C$13:$F$25,Tablas!E1905)+COUNTIF(Elan!$U$13:$X$25,Tablas!E1905)</f>
        <v>0</v>
      </c>
      <c r="K1905" s="626">
        <f>F1904*J1905</f>
        <v>0</v>
      </c>
      <c r="L1905" s="5793" t="s">
        <v>7009</v>
      </c>
      <c r="M1905" s="5793"/>
      <c r="N1905" s="5793"/>
      <c r="O1905" s="5793"/>
      <c r="P1905" s="5793"/>
      <c r="Q1905" s="5794"/>
      <c r="R1905" s="1030">
        <f>IF(OR($J1905=0,$J1905="Aprendida"),0,SUM($J$1736:$J1905))</f>
        <v>0</v>
      </c>
    </row>
    <row r="1906" spans="1:18" ht="12.75" customHeight="1" x14ac:dyDescent="0.2">
      <c r="A1906" s="237">
        <v>1906</v>
      </c>
      <c r="B1906" s="5838"/>
      <c r="E1906" s="1027" t="s">
        <v>6659</v>
      </c>
      <c r="F1906" s="626"/>
      <c r="G1906" s="626">
        <v>20</v>
      </c>
      <c r="H1906" s="626">
        <v>1</v>
      </c>
      <c r="I1906" s="626">
        <v>5</v>
      </c>
      <c r="J1906" s="626">
        <f>COUNTIF(Elan!$C$13:$F$25,Tablas!E1906)+COUNTIF(Elan!$U$13:$X$25,Tablas!E1906)</f>
        <v>0</v>
      </c>
      <c r="K1906" s="626"/>
      <c r="L1906" s="5793" t="s">
        <v>7013</v>
      </c>
      <c r="M1906" s="5793"/>
      <c r="N1906" s="5793"/>
      <c r="O1906" s="5793"/>
      <c r="P1906" s="5793"/>
      <c r="Q1906" s="5794"/>
      <c r="R1906" s="1030">
        <f>IF(OR($J1906=0,$J1906="Aprendida"),0,SUM($J$1736:$J1906))</f>
        <v>0</v>
      </c>
    </row>
    <row r="1907" spans="1:18" ht="12.75" customHeight="1" x14ac:dyDescent="0.2">
      <c r="A1907" s="237">
        <v>1907</v>
      </c>
      <c r="B1907" s="5838"/>
      <c r="E1907" s="1027" t="s">
        <v>6660</v>
      </c>
      <c r="F1907" s="626"/>
      <c r="G1907" s="626">
        <v>30</v>
      </c>
      <c r="H1907" s="626">
        <v>1</v>
      </c>
      <c r="I1907" s="626">
        <v>10</v>
      </c>
      <c r="J1907" s="626">
        <f>COUNTIF(Elan!$C$13:$F$25,Tablas!E1907)+COUNTIF(Elan!$U$13:$X$25,Tablas!E1907)</f>
        <v>0</v>
      </c>
      <c r="K1907" s="626"/>
      <c r="L1907" s="5793" t="s">
        <v>7017</v>
      </c>
      <c r="M1907" s="5793"/>
      <c r="N1907" s="5793"/>
      <c r="O1907" s="5793"/>
      <c r="P1907" s="5793"/>
      <c r="Q1907" s="5794"/>
      <c r="R1907" s="1030">
        <f>IF(OR($J1907=0,$J1907="Aprendida"),0,SUM($J$1736:$J1907))</f>
        <v>0</v>
      </c>
    </row>
    <row r="1908" spans="1:18" ht="12.75" customHeight="1" x14ac:dyDescent="0.2">
      <c r="A1908" s="237">
        <v>1908</v>
      </c>
      <c r="B1908" s="5838"/>
      <c r="E1908" s="1027" t="s">
        <v>6661</v>
      </c>
      <c r="F1908" s="626"/>
      <c r="G1908" s="626">
        <v>30</v>
      </c>
      <c r="H1908" s="626">
        <v>1</v>
      </c>
      <c r="I1908" s="626">
        <v>5</v>
      </c>
      <c r="J1908" s="626">
        <f>COUNTIF(Elan!$C$13:$F$25,Tablas!E1908)+COUNTIF(Elan!$U$13:$X$25,Tablas!E1908)</f>
        <v>0</v>
      </c>
      <c r="K1908" s="626"/>
      <c r="L1908" s="5793" t="s">
        <v>7019</v>
      </c>
      <c r="M1908" s="5793"/>
      <c r="N1908" s="5793"/>
      <c r="O1908" s="5793"/>
      <c r="P1908" s="5793"/>
      <c r="Q1908" s="5794"/>
      <c r="R1908" s="1030">
        <f>IF(OR($J1908=0,$J1908="Aprendida"),0,SUM($J$1736:$J1908))</f>
        <v>0</v>
      </c>
    </row>
    <row r="1909" spans="1:18" ht="12.75" customHeight="1" x14ac:dyDescent="0.2">
      <c r="A1909" s="237">
        <v>1909</v>
      </c>
      <c r="B1909" s="5838"/>
      <c r="E1909" s="1027" t="s">
        <v>6662</v>
      </c>
      <c r="F1909" s="626"/>
      <c r="G1909" s="626">
        <v>40</v>
      </c>
      <c r="H1909" s="626">
        <v>1</v>
      </c>
      <c r="I1909" s="626">
        <v>10</v>
      </c>
      <c r="J1909" s="626">
        <f>COUNTIF(Elan!$C$13:$F$25,Tablas!E1909)+COUNTIF(Elan!$U$13:$X$25,Tablas!E1909)</f>
        <v>0</v>
      </c>
      <c r="K1909" s="626"/>
      <c r="L1909" s="5793" t="s">
        <v>7020</v>
      </c>
      <c r="M1909" s="5793"/>
      <c r="N1909" s="5793"/>
      <c r="O1909" s="5793"/>
      <c r="P1909" s="5793"/>
      <c r="Q1909" s="5794"/>
      <c r="R1909" s="1030">
        <f>IF(OR($J1909=0,$J1909="Aprendida"),0,SUM($J$1736:$J1909))</f>
        <v>0</v>
      </c>
    </row>
    <row r="1910" spans="1:18" ht="12.75" customHeight="1" x14ac:dyDescent="0.2">
      <c r="A1910" s="237">
        <v>1910</v>
      </c>
      <c r="B1910" s="5838"/>
      <c r="E1910" s="1027" t="s">
        <v>6663</v>
      </c>
      <c r="F1910" s="626"/>
      <c r="G1910" s="626">
        <v>40</v>
      </c>
      <c r="H1910" s="626">
        <v>1</v>
      </c>
      <c r="I1910" s="626">
        <v>10</v>
      </c>
      <c r="J1910" s="626">
        <f>COUNTIF(Elan!$C$13:$F$25,Tablas!E1910)+COUNTIF(Elan!$U$13:$X$25,Tablas!E1910)</f>
        <v>0</v>
      </c>
      <c r="K1910" s="626"/>
      <c r="L1910" s="5793" t="s">
        <v>7021</v>
      </c>
      <c r="M1910" s="5793"/>
      <c r="N1910" s="5793"/>
      <c r="O1910" s="5793"/>
      <c r="P1910" s="5793"/>
      <c r="Q1910" s="5794"/>
      <c r="R1910" s="1030">
        <f>IF(OR($J1910=0,$J1910="Aprendida"),0,SUM($J$1736:$J1910))</f>
        <v>0</v>
      </c>
    </row>
    <row r="1911" spans="1:18" ht="12.75" customHeight="1" x14ac:dyDescent="0.2">
      <c r="A1911" s="237">
        <v>1911</v>
      </c>
      <c r="B1911" s="5838"/>
      <c r="E1911" s="1027" t="s">
        <v>6664</v>
      </c>
      <c r="F1911" s="626"/>
      <c r="G1911" s="626">
        <v>50</v>
      </c>
      <c r="H1911" s="626">
        <v>1</v>
      </c>
      <c r="I1911" s="626">
        <v>10</v>
      </c>
      <c r="J1911" s="626">
        <f>COUNTIF(Elan!$C$13:$F$25,Tablas!E1911)+COUNTIF(Elan!$U$13:$X$25,Tablas!E1911)</f>
        <v>0</v>
      </c>
      <c r="K1911" s="626"/>
      <c r="L1911" s="5793" t="s">
        <v>7022</v>
      </c>
      <c r="M1911" s="5793"/>
      <c r="N1911" s="5793"/>
      <c r="O1911" s="5793"/>
      <c r="P1911" s="5793"/>
      <c r="Q1911" s="5794"/>
      <c r="R1911" s="1030">
        <f>IF(OR($J1911=0,$J1911="Aprendida"),0,SUM($J$1736:$J1911))</f>
        <v>0</v>
      </c>
    </row>
    <row r="1912" spans="1:18" ht="12.75" customHeight="1" x14ac:dyDescent="0.2">
      <c r="A1912" s="237">
        <v>1912</v>
      </c>
      <c r="B1912" s="5838"/>
      <c r="E1912" s="1027" t="s">
        <v>6665</v>
      </c>
      <c r="F1912" s="626"/>
      <c r="G1912" s="626">
        <v>60</v>
      </c>
      <c r="H1912" s="626">
        <v>1</v>
      </c>
      <c r="I1912" s="626">
        <v>10</v>
      </c>
      <c r="J1912" s="626">
        <f>COUNTIF(Elan!$C$13:$F$25,Tablas!E1912)+COUNTIF(Elan!$U$13:$X$25,Tablas!E1912)</f>
        <v>0</v>
      </c>
      <c r="K1912" s="626"/>
      <c r="L1912" s="5793" t="s">
        <v>7023</v>
      </c>
      <c r="M1912" s="5793"/>
      <c r="N1912" s="5793"/>
      <c r="O1912" s="5793"/>
      <c r="P1912" s="5793"/>
      <c r="Q1912" s="5794"/>
      <c r="R1912" s="1030">
        <f>IF(OR($J1912=0,$J1912="Aprendida"),0,SUM($J$1736:$J1912))</f>
        <v>0</v>
      </c>
    </row>
    <row r="1913" spans="1:18" ht="12.75" customHeight="1" x14ac:dyDescent="0.2">
      <c r="A1913" s="237">
        <v>1913</v>
      </c>
      <c r="B1913" s="5838"/>
      <c r="E1913" s="1027" t="s">
        <v>6666</v>
      </c>
      <c r="F1913" s="626"/>
      <c r="G1913" s="626">
        <v>60</v>
      </c>
      <c r="H1913" s="626">
        <f>IF(J1909,1,0)</f>
        <v>0</v>
      </c>
      <c r="I1913" s="626">
        <v>15</v>
      </c>
      <c r="J1913" s="626">
        <f>COUNTIF(Elan!$C$13:$F$25,Tablas!E1913)+COUNTIF(Elan!$U$13:$X$25,Tablas!E1913)</f>
        <v>0</v>
      </c>
      <c r="K1913" s="626"/>
      <c r="L1913" s="5793" t="s">
        <v>7024</v>
      </c>
      <c r="M1913" s="5793"/>
      <c r="N1913" s="5793"/>
      <c r="O1913" s="5793"/>
      <c r="P1913" s="5793"/>
      <c r="Q1913" s="5794"/>
      <c r="R1913" s="1030">
        <f>IF(OR($J1913=0,$J1913="Aprendida"),0,SUM($J$1736:$J1913))</f>
        <v>0</v>
      </c>
    </row>
    <row r="1914" spans="1:18" ht="12.75" customHeight="1" x14ac:dyDescent="0.2">
      <c r="A1914" s="237">
        <v>1914</v>
      </c>
      <c r="B1914" s="5838"/>
      <c r="E1914" s="1027" t="s">
        <v>6667</v>
      </c>
      <c r="F1914" s="626"/>
      <c r="G1914" s="626">
        <v>70</v>
      </c>
      <c r="H1914" s="626">
        <v>1</v>
      </c>
      <c r="I1914" s="626">
        <v>10</v>
      </c>
      <c r="J1914" s="626">
        <f>COUNTIF(Elan!$C$13:$F$25,Tablas!E1914)+COUNTIF(Elan!$U$13:$X$25,Tablas!E1914)</f>
        <v>0</v>
      </c>
      <c r="K1914" s="626"/>
      <c r="L1914" s="5793" t="s">
        <v>7025</v>
      </c>
      <c r="M1914" s="5793"/>
      <c r="N1914" s="5793"/>
      <c r="O1914" s="5793"/>
      <c r="P1914" s="5793"/>
      <c r="Q1914" s="5794"/>
      <c r="R1914" s="1030">
        <f>IF(OR($J1914=0,$J1914="Aprendida"),0,SUM($J$1736:$J1914))</f>
        <v>0</v>
      </c>
    </row>
    <row r="1915" spans="1:18" ht="12.75" customHeight="1" x14ac:dyDescent="0.2">
      <c r="A1915" s="237">
        <v>1915</v>
      </c>
      <c r="B1915" s="5838"/>
      <c r="E1915" s="1027" t="s">
        <v>6668</v>
      </c>
      <c r="F1915" s="626"/>
      <c r="G1915" s="626">
        <v>80</v>
      </c>
      <c r="H1915" s="626">
        <f>IF(J1912,1,0)</f>
        <v>0</v>
      </c>
      <c r="I1915" s="626">
        <v>10</v>
      </c>
      <c r="J1915" s="626">
        <f>COUNTIF(Elan!$C$13:$F$25,Tablas!E1915)+COUNTIF(Elan!$U$13:$X$25,Tablas!E1915)</f>
        <v>0</v>
      </c>
      <c r="K1915" s="626"/>
      <c r="L1915" s="5793" t="s">
        <v>7026</v>
      </c>
      <c r="M1915" s="5793"/>
      <c r="N1915" s="5793"/>
      <c r="O1915" s="5793"/>
      <c r="P1915" s="5793"/>
      <c r="Q1915" s="5794"/>
      <c r="R1915" s="1030">
        <f>IF(OR($J1915=0,$J1915="Aprendida"),0,SUM($J$1736:$J1915))</f>
        <v>0</v>
      </c>
    </row>
    <row r="1916" spans="1:18" ht="12.75" customHeight="1" x14ac:dyDescent="0.2">
      <c r="A1916" s="237">
        <v>1916</v>
      </c>
      <c r="B1916" s="5838"/>
      <c r="E1916" s="1027" t="s">
        <v>6669</v>
      </c>
      <c r="F1916" s="626"/>
      <c r="G1916" s="626">
        <v>90</v>
      </c>
      <c r="H1916" s="626">
        <v>1</v>
      </c>
      <c r="I1916" s="626">
        <v>15</v>
      </c>
      <c r="J1916" s="626">
        <f>COUNTIF(Elan!$C$13:$F$25,Tablas!E1916)+COUNTIF(Elan!$U$13:$X$25,Tablas!E1916)</f>
        <v>0</v>
      </c>
      <c r="K1916" s="626"/>
      <c r="L1916" s="5793" t="s">
        <v>7027</v>
      </c>
      <c r="M1916" s="5793"/>
      <c r="N1916" s="5793"/>
      <c r="O1916" s="5793"/>
      <c r="P1916" s="5793"/>
      <c r="Q1916" s="5794"/>
      <c r="R1916" s="1030">
        <f>IF(OR($J1916=0,$J1916="Aprendida"),0,SUM($J$1736:$J1916))</f>
        <v>0</v>
      </c>
    </row>
    <row r="1917" spans="1:18" ht="12.75" customHeight="1" thickBot="1" x14ac:dyDescent="0.25">
      <c r="A1917" s="237">
        <v>1917</v>
      </c>
      <c r="B1917" s="5838"/>
      <c r="E1917" s="1027" t="s">
        <v>6670</v>
      </c>
      <c r="F1917" s="629"/>
      <c r="G1917" s="629">
        <v>100</v>
      </c>
      <c r="H1917" s="629">
        <f>IF(J1911,1,0)</f>
        <v>0</v>
      </c>
      <c r="I1917" s="629">
        <v>10</v>
      </c>
      <c r="J1917" s="629">
        <f>COUNTIF(Elan!$C$13:$F$25,Tablas!E1917)+COUNTIF(Elan!$U$13:$X$25,Tablas!E1917)</f>
        <v>0</v>
      </c>
      <c r="K1917" s="629"/>
      <c r="L1917" s="5793" t="s">
        <v>7028</v>
      </c>
      <c r="M1917" s="5793"/>
      <c r="N1917" s="5793"/>
      <c r="O1917" s="5793"/>
      <c r="P1917" s="5793"/>
      <c r="Q1917" s="5794"/>
      <c r="R1917" s="1030">
        <f>IF(OR($J1917=0,$J1917="Aprendida"),0,SUM($J$1736:$J1917))</f>
        <v>0</v>
      </c>
    </row>
    <row r="1918" spans="1:18" ht="12.75" customHeight="1" x14ac:dyDescent="0.2">
      <c r="A1918" s="237">
        <v>1918</v>
      </c>
      <c r="B1918" s="5838"/>
      <c r="E1918" s="1028" t="str">
        <f>IF(Personalización!$F$86=0,"ElanPersonalizado",Personalización!$F$86)</f>
        <v>ElanPersonalizado</v>
      </c>
      <c r="F1918" s="1465">
        <f>IF(Elan!$C$11=Tablas!$E1918,Elan!$G$11,IF(Elan!$U$11=Tablas!$E1918,Elan!$Y$11,0))</f>
        <v>0</v>
      </c>
      <c r="G1918" s="1019" t="s">
        <v>1824</v>
      </c>
      <c r="H1918" s="1019" t="s">
        <v>8507</v>
      </c>
      <c r="I1918" s="1019" t="s">
        <v>1493</v>
      </c>
      <c r="J1918" s="1019" t="s">
        <v>6512</v>
      </c>
      <c r="K1918" s="1019" t="s">
        <v>7268</v>
      </c>
      <c r="L1918" s="1019" t="s">
        <v>1553</v>
      </c>
      <c r="M1918" s="627"/>
      <c r="N1918" s="627"/>
      <c r="O1918" s="627"/>
      <c r="P1918" s="627"/>
      <c r="Q1918" s="1024"/>
      <c r="R1918" s="1030">
        <f>IF(OR($J1918=0,$J1918="Aprendida"),0,SUM($J$1736:$J1918))</f>
        <v>0</v>
      </c>
    </row>
    <row r="1919" spans="1:18" ht="12.75" customHeight="1" x14ac:dyDescent="0.2">
      <c r="A1919" s="237">
        <v>1919</v>
      </c>
      <c r="B1919" s="5838"/>
      <c r="E1919" s="1027" t="str">
        <f>IF(Personalización!D88="","Poder no definido",Personalización!D88)</f>
        <v>Poder no definido</v>
      </c>
      <c r="F1919" s="626"/>
      <c r="G1919" s="626">
        <f>IF(E1919="Poder no definido",0,VLOOKUP(E1919,Personalización!$D$88:$Q$103,4,FALSE))</f>
        <v>0</v>
      </c>
      <c r="H1919" s="626" t="s">
        <v>1459</v>
      </c>
      <c r="I1919" s="626">
        <f>IF(E1919="Poder no definido",0,VLOOKUP(E1919,Personalización!$D$88:$Q$103,5,FALSE))</f>
        <v>0</v>
      </c>
      <c r="J1919" s="626">
        <f>COUNTIF(Elan!$C$13:$F$25,Tablas!E1919)+COUNTIF(Elan!$U$13:$X$25,Tablas!E1919)</f>
        <v>0</v>
      </c>
      <c r="K1919" s="626"/>
      <c r="L1919" s="5793">
        <f>IF(E1919="Poder no definido",0,VLOOKUP(E1919,Personalización!$D$88:$Q$103,6,FALSE))</f>
        <v>0</v>
      </c>
      <c r="M1919" s="5793"/>
      <c r="N1919" s="5793"/>
      <c r="O1919" s="5793"/>
      <c r="P1919" s="5793"/>
      <c r="Q1919" s="5794"/>
      <c r="R1919" s="1030">
        <f>IF(OR($J1919=0,$J1919="Aprendida"),0,SUM($J$1736:$J1919))</f>
        <v>0</v>
      </c>
    </row>
    <row r="1920" spans="1:18" ht="12.75" customHeight="1" x14ac:dyDescent="0.2">
      <c r="A1920" s="237">
        <v>1920</v>
      </c>
      <c r="B1920" s="5838"/>
      <c r="E1920" s="1027" t="str">
        <f>IF(Personalización!D89="","Poder no definido",Personalización!D89)</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93">
        <f>IF(E1920="Poder no definido",0,VLOOKUP(E1920,Personalización!$D$88:$Q$103,6,FALSE))</f>
        <v>0</v>
      </c>
      <c r="M1920" s="5793"/>
      <c r="N1920" s="5793"/>
      <c r="O1920" s="5793"/>
      <c r="P1920" s="5793"/>
      <c r="Q1920" s="5794"/>
      <c r="R1920" s="1030">
        <f>IF(OR($J1920=0,$J1920="Aprendida"),0,SUM($J$1736:$J1920))</f>
        <v>0</v>
      </c>
    </row>
    <row r="1921" spans="1:33" ht="12.75" customHeight="1" x14ac:dyDescent="0.2">
      <c r="A1921" s="237">
        <v>1921</v>
      </c>
      <c r="B1921" s="5838"/>
      <c r="E1921" s="1027" t="str">
        <f>IF(Personalización!D90="","Poder no definido",Personalización!D90)</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93">
        <f>IF(E1921="Poder no definido",0,VLOOKUP(E1921,Personalización!$D$88:$Q$103,6,FALSE))</f>
        <v>0</v>
      </c>
      <c r="M1921" s="5793"/>
      <c r="N1921" s="5793"/>
      <c r="O1921" s="5793"/>
      <c r="P1921" s="5793"/>
      <c r="Q1921" s="5794"/>
      <c r="R1921" s="1030">
        <f>IF(OR($J1921=0,$J1921="Aprendida"),0,SUM($J$1736:$J1921))</f>
        <v>0</v>
      </c>
    </row>
    <row r="1922" spans="1:33" ht="12.75" customHeight="1" x14ac:dyDescent="0.2">
      <c r="A1922" s="237">
        <v>1922</v>
      </c>
      <c r="B1922" s="5838"/>
      <c r="E1922" s="1027" t="str">
        <f>IF(Personalización!D91="","Poder no definido",Personalización!D91)</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93">
        <f>IF(E1922="Poder no definido",0,VLOOKUP(E1922,Personalización!$D$88:$Q$103,6,FALSE))</f>
        <v>0</v>
      </c>
      <c r="M1922" s="5793"/>
      <c r="N1922" s="5793"/>
      <c r="O1922" s="5793"/>
      <c r="P1922" s="5793"/>
      <c r="Q1922" s="5794"/>
      <c r="R1922" s="1030">
        <f>IF(OR($J1922=0,$J1922="Aprendida"),0,SUM($J$1736:$J1922))</f>
        <v>0</v>
      </c>
    </row>
    <row r="1923" spans="1:33" ht="12.75" customHeight="1" x14ac:dyDescent="0.2">
      <c r="A1923" s="237">
        <v>1923</v>
      </c>
      <c r="B1923" s="5838"/>
      <c r="E1923" s="1027" t="str">
        <f>IF(Personalización!D92="","Poder no definido",Personalización!D92)</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93">
        <f>IF(E1923="Poder no definido",0,VLOOKUP(E1923,Personalización!$D$88:$Q$103,6,FALSE))</f>
        <v>0</v>
      </c>
      <c r="M1923" s="5793"/>
      <c r="N1923" s="5793"/>
      <c r="O1923" s="5793"/>
      <c r="P1923" s="5793"/>
      <c r="Q1923" s="5794"/>
      <c r="R1923" s="1030">
        <f>IF(OR($J1923=0,$J1923="Aprendida"),0,SUM($J$1736:$J1923))</f>
        <v>0</v>
      </c>
    </row>
    <row r="1924" spans="1:33" ht="12.75" customHeight="1" x14ac:dyDescent="0.2">
      <c r="A1924" s="237">
        <v>1924</v>
      </c>
      <c r="B1924" s="5838"/>
      <c r="E1924" s="1027" t="str">
        <f>IF(Personalización!D93="","Poder no definido",Personalización!D93)</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93">
        <f>IF(E1924="Poder no definido",0,VLOOKUP(E1924,Personalización!$D$88:$Q$103,6,FALSE))</f>
        <v>0</v>
      </c>
      <c r="M1924" s="5793"/>
      <c r="N1924" s="5793"/>
      <c r="O1924" s="5793"/>
      <c r="P1924" s="5793"/>
      <c r="Q1924" s="5794"/>
      <c r="R1924" s="1030">
        <f>IF(OR($J1924=0,$J1924="Aprendida"),0,SUM($J$1736:$J1924))</f>
        <v>0</v>
      </c>
    </row>
    <row r="1925" spans="1:33" ht="12.75" customHeight="1" x14ac:dyDescent="0.2">
      <c r="A1925" s="237">
        <v>1925</v>
      </c>
      <c r="B1925" s="5838"/>
      <c r="E1925" s="1027" t="str">
        <f>IF(Personalización!D94="","Poder no definido",Personalización!D94)</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93">
        <f>IF(E1925="Poder no definido",0,VLOOKUP(E1925,Personalización!$D$88:$Q$103,6,FALSE))</f>
        <v>0</v>
      </c>
      <c r="M1925" s="5793"/>
      <c r="N1925" s="5793"/>
      <c r="O1925" s="5793"/>
      <c r="P1925" s="5793"/>
      <c r="Q1925" s="5794"/>
      <c r="R1925" s="1030">
        <f>IF(OR($J1925=0,$J1925="Aprendida"),0,SUM($J$1736:$J1925))</f>
        <v>0</v>
      </c>
    </row>
    <row r="1926" spans="1:33" ht="12.75" customHeight="1" x14ac:dyDescent="0.2">
      <c r="A1926" s="237">
        <v>1926</v>
      </c>
      <c r="B1926" s="5838"/>
      <c r="E1926" s="1027" t="str">
        <f>IF(Personalización!D95="","Poder no definido",Personalización!D95)</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93">
        <f>IF(E1926="Poder no definido",0,VLOOKUP(E1926,Personalización!$D$88:$Q$103,6,FALSE))</f>
        <v>0</v>
      </c>
      <c r="M1926" s="5793"/>
      <c r="N1926" s="5793"/>
      <c r="O1926" s="5793"/>
      <c r="P1926" s="5793"/>
      <c r="Q1926" s="5794"/>
      <c r="R1926" s="1030">
        <f>IF(OR($J1926=0,$J1926="Aprendida"),0,SUM($J$1736:$J1926))</f>
        <v>0</v>
      </c>
    </row>
    <row r="1927" spans="1:33" ht="12.75" customHeight="1" x14ac:dyDescent="0.2">
      <c r="A1927" s="237">
        <v>1927</v>
      </c>
      <c r="B1927" s="5838"/>
      <c r="E1927" s="1027" t="str">
        <f>IF(Personalización!D96="","Poder no definido",Personalización!D96)</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93">
        <f>IF(E1927="Poder no definido",0,VLOOKUP(E1927,Personalización!$D$88:$Q$103,6,FALSE))</f>
        <v>0</v>
      </c>
      <c r="M1927" s="5793"/>
      <c r="N1927" s="5793"/>
      <c r="O1927" s="5793"/>
      <c r="P1927" s="5793"/>
      <c r="Q1927" s="5794"/>
      <c r="R1927" s="1030">
        <f>IF(OR($J1927=0,$J1927="Aprendida"),0,SUM($J$1736:$J1927))</f>
        <v>0</v>
      </c>
    </row>
    <row r="1928" spans="1:33" ht="12.75" customHeight="1" x14ac:dyDescent="0.2">
      <c r="A1928" s="237">
        <v>1928</v>
      </c>
      <c r="B1928" s="5838"/>
      <c r="E1928" s="1027" t="str">
        <f>IF(Personalización!D97="","Poder no definido",Personalización!D97)</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93">
        <f>IF(E1928="Poder no definido",0,VLOOKUP(E1928,Personalización!$D$88:$Q$103,6,FALSE))</f>
        <v>0</v>
      </c>
      <c r="M1928" s="5793"/>
      <c r="N1928" s="5793"/>
      <c r="O1928" s="5793"/>
      <c r="P1928" s="5793"/>
      <c r="Q1928" s="5794"/>
      <c r="R1928" s="1030">
        <f>IF(OR($J1928=0,$J1928="Aprendida"),0,SUM($J$1736:$J1928))</f>
        <v>0</v>
      </c>
    </row>
    <row r="1929" spans="1:33" ht="12.75" customHeight="1" x14ac:dyDescent="0.2">
      <c r="A1929" s="237">
        <v>1929</v>
      </c>
      <c r="B1929" s="5838"/>
      <c r="E1929" s="1027" t="str">
        <f>IF(Personalización!D98="","Poder no definido",Personalización!D98)</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93">
        <f>IF(E1929="Poder no definido",0,VLOOKUP(E1929,Personalización!$D$88:$Q$103,6,FALSE))</f>
        <v>0</v>
      </c>
      <c r="M1929" s="5793"/>
      <c r="N1929" s="5793"/>
      <c r="O1929" s="5793"/>
      <c r="P1929" s="5793"/>
      <c r="Q1929" s="5794"/>
      <c r="R1929" s="1030">
        <f>IF(OR($J1929=0,$J1929="Aprendida"),0,SUM($J$1736:$J1929))</f>
        <v>0</v>
      </c>
    </row>
    <row r="1930" spans="1:33" ht="12.75" customHeight="1" x14ac:dyDescent="0.2">
      <c r="A1930" s="237">
        <v>1930</v>
      </c>
      <c r="B1930" s="5838"/>
      <c r="E1930" s="1027" t="str">
        <f>IF(Personalización!D99="","Poder no definido",Personalización!D99)</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93">
        <f>IF(E1930="Poder no definido",0,VLOOKUP(E1930,Personalización!$D$88:$Q$103,6,FALSE))</f>
        <v>0</v>
      </c>
      <c r="M1930" s="5793"/>
      <c r="N1930" s="5793"/>
      <c r="O1930" s="5793"/>
      <c r="P1930" s="5793"/>
      <c r="Q1930" s="5794"/>
      <c r="R1930" s="1030">
        <f>IF(OR($J1930=0,$J1930="Aprendida"),0,SUM($J$1736:$J1930))</f>
        <v>0</v>
      </c>
    </row>
    <row r="1931" spans="1:33" ht="12.75" customHeight="1" x14ac:dyDescent="0.2">
      <c r="A1931" s="237">
        <v>1931</v>
      </c>
      <c r="B1931" s="5838"/>
      <c r="E1931" s="1027" t="str">
        <f>IF(Personalización!D100="","Poder no definido",Personalización!D100)</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93">
        <f>IF(E1931="Poder no definido",0,VLOOKUP(E1931,Personalización!$D$88:$Q$103,6,FALSE))</f>
        <v>0</v>
      </c>
      <c r="M1931" s="5793"/>
      <c r="N1931" s="5793"/>
      <c r="O1931" s="5793"/>
      <c r="P1931" s="5793"/>
      <c r="Q1931" s="5794"/>
      <c r="R1931" s="1030">
        <f>IF(OR($J1931=0,$J1931="Aprendida"),0,SUM($J$1736:$J1931))</f>
        <v>0</v>
      </c>
    </row>
    <row r="1932" spans="1:33" ht="12.75" customHeight="1" x14ac:dyDescent="0.2">
      <c r="A1932" s="237">
        <v>1932</v>
      </c>
      <c r="B1932" s="5838"/>
      <c r="E1932" s="1027" t="str">
        <f>IF(Personalización!D101="","Poder no definido",Personalización!D101)</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93">
        <f>IF(E1932="Poder no definido",0,VLOOKUP(E1932,Personalización!$D$88:$Q$103,6,FALSE))</f>
        <v>0</v>
      </c>
      <c r="M1932" s="5793"/>
      <c r="N1932" s="5793"/>
      <c r="O1932" s="5793"/>
      <c r="P1932" s="5793"/>
      <c r="Q1932" s="5794"/>
      <c r="R1932" s="1030">
        <f>IF(OR($J1932=0,$J1932="Aprendida"),0,SUM($J$1736:$J1932))</f>
        <v>0</v>
      </c>
    </row>
    <row r="1933" spans="1:33" ht="12.75" customHeight="1" x14ac:dyDescent="0.2">
      <c r="A1933" s="237">
        <v>1933</v>
      </c>
      <c r="B1933" s="5838"/>
      <c r="E1933" s="1027" t="str">
        <f>IF(Personalización!D102="","Poder no definido",Personalización!D102)</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93">
        <f>IF(E1933="Poder no definido",0,VLOOKUP(E1933,Personalización!$D$88:$Q$103,6,FALSE))</f>
        <v>0</v>
      </c>
      <c r="M1933" s="5793"/>
      <c r="N1933" s="5793"/>
      <c r="O1933" s="5793"/>
      <c r="P1933" s="5793"/>
      <c r="Q1933" s="5794"/>
      <c r="R1933" s="1030">
        <f>IF(OR($J1933=0,$J1933="Aprendida"),0,SUM($J$1736:$J1933))</f>
        <v>0</v>
      </c>
    </row>
    <row r="1934" spans="1:33" ht="12.75" customHeight="1" thickBot="1" x14ac:dyDescent="0.25">
      <c r="A1934" s="237">
        <v>1934</v>
      </c>
      <c r="B1934" s="5838"/>
      <c r="E1934" s="1029" t="str">
        <f>IF(Personalización!D103="","Poder no definido",Personalización!D103)</f>
        <v>Poder no definido</v>
      </c>
      <c r="F1934" s="629"/>
      <c r="G1934" s="629">
        <f>IF(E1934="Poder no definido",0,VLOOKUP(E1934,Personalización!$D$88:$Q$103,4,FALSE))</f>
        <v>0</v>
      </c>
      <c r="H1934" s="629" t="s">
        <v>1459</v>
      </c>
      <c r="I1934" s="629">
        <f>IF(E1934="Poder no definido",0,VLOOKUP(E1934,Personalización!$D$88:$Q$103,5,FALSE))</f>
        <v>0</v>
      </c>
      <c r="J1934" s="629">
        <f>COUNTIF(Elan!$C$13:$F$25,Tablas!E1934)+COUNTIF(Elan!$U$13:$X$25,Tablas!E1934)</f>
        <v>0</v>
      </c>
      <c r="K1934" s="629"/>
      <c r="L1934" s="5813">
        <f>IF(E1934="Poder no definido",0,VLOOKUP(E1934,Personalización!$D$88:$Q$103,6,FALSE))</f>
        <v>0</v>
      </c>
      <c r="M1934" s="5813"/>
      <c r="N1934" s="5813"/>
      <c r="O1934" s="5813"/>
      <c r="P1934" s="5813"/>
      <c r="Q1934" s="5814"/>
      <c r="R1934" s="1466">
        <f>IF(OR($J1934=0,$J1934="Aprendida"),0,SUM($J$1736:$J1934))</f>
        <v>0</v>
      </c>
    </row>
    <row r="1935" spans="1:33" ht="12.75" customHeight="1" x14ac:dyDescent="0.2">
      <c r="A1935" s="237">
        <v>1935</v>
      </c>
      <c r="B1935" s="5838"/>
      <c r="H1935"/>
      <c r="I1935" s="592"/>
      <c r="N1935"/>
      <c r="O1935" s="592"/>
    </row>
    <row r="1936" spans="1:33" ht="12.75" customHeight="1" x14ac:dyDescent="0.2">
      <c r="A1936" s="237">
        <v>1936</v>
      </c>
      <c r="B1936" s="5838"/>
      <c r="C1936" s="5812" t="s">
        <v>7510</v>
      </c>
      <c r="D1936" s="5812"/>
      <c r="E1936" s="5812"/>
      <c r="F1936" s="5812"/>
      <c r="G1936" s="5812"/>
      <c r="H1936" s="5812"/>
      <c r="I1936" s="5812"/>
      <c r="J1936" s="5812"/>
      <c r="K1936" s="5812"/>
      <c r="L1936" s="5812"/>
      <c r="M1936" s="5812"/>
      <c r="N1936" s="5812"/>
      <c r="O1936" s="5812"/>
      <c r="P1936" s="5812"/>
      <c r="Q1936" s="5812"/>
      <c r="R1936" s="5812"/>
      <c r="S1936" s="5812"/>
      <c r="T1936" s="5812"/>
      <c r="U1936" s="5812"/>
      <c r="V1936" s="5812"/>
      <c r="W1936" s="5812"/>
      <c r="X1936" s="5812"/>
      <c r="Y1936" s="5812"/>
      <c r="Z1936" s="5812"/>
      <c r="AA1936" s="5812"/>
      <c r="AB1936" s="5812"/>
      <c r="AC1936" s="5812"/>
      <c r="AD1936" s="5812"/>
      <c r="AE1936" s="5812"/>
      <c r="AF1936" s="5812"/>
      <c r="AG1936" s="5812"/>
    </row>
    <row r="1937" spans="1:34" ht="12.75" customHeight="1" x14ac:dyDescent="0.2">
      <c r="A1937" s="237">
        <v>1937</v>
      </c>
      <c r="B1937" s="5838"/>
      <c r="C1937" s="5812"/>
      <c r="D1937" s="5812"/>
      <c r="E1937" s="5812"/>
      <c r="F1937" s="5812"/>
      <c r="G1937" s="5812"/>
      <c r="H1937" s="5812"/>
      <c r="I1937" s="5812"/>
      <c r="J1937" s="5812"/>
      <c r="K1937" s="5812"/>
      <c r="L1937" s="5812"/>
      <c r="M1937" s="5812"/>
      <c r="N1937" s="5812"/>
      <c r="O1937" s="5812"/>
      <c r="P1937" s="5812"/>
      <c r="Q1937" s="5812"/>
      <c r="R1937" s="5812"/>
      <c r="S1937" s="5812"/>
      <c r="T1937" s="5812"/>
      <c r="U1937" s="5812"/>
      <c r="V1937" s="5812"/>
      <c r="W1937" s="5812"/>
      <c r="X1937" s="5812"/>
      <c r="Y1937" s="5812"/>
      <c r="Z1937" s="5812"/>
      <c r="AA1937" s="5812"/>
      <c r="AB1937" s="5812"/>
      <c r="AC1937" s="5812"/>
      <c r="AD1937" s="5812"/>
      <c r="AE1937" s="5812"/>
      <c r="AF1937" s="5812"/>
      <c r="AG1937" s="5812"/>
    </row>
    <row r="1938" spans="1:34" ht="12.75" customHeight="1" x14ac:dyDescent="0.2">
      <c r="A1938" s="237">
        <v>1938</v>
      </c>
      <c r="B1938" s="5838"/>
      <c r="C1938" s="5812"/>
      <c r="D1938" s="5812"/>
      <c r="E1938" s="5812"/>
      <c r="F1938" s="5812"/>
      <c r="G1938" s="5812"/>
      <c r="H1938" s="5812"/>
      <c r="I1938" s="5812"/>
      <c r="J1938" s="5812"/>
      <c r="K1938" s="5812"/>
      <c r="L1938" s="5812"/>
      <c r="M1938" s="5812"/>
      <c r="N1938" s="5812"/>
      <c r="O1938" s="5812"/>
      <c r="P1938" s="5812"/>
      <c r="Q1938" s="5812"/>
      <c r="R1938" s="5812"/>
      <c r="S1938" s="5812"/>
      <c r="T1938" s="5812"/>
      <c r="U1938" s="5812"/>
      <c r="V1938" s="5812"/>
      <c r="W1938" s="5812"/>
      <c r="X1938" s="5812"/>
      <c r="Y1938" s="5812"/>
      <c r="Z1938" s="5812"/>
      <c r="AA1938" s="5812"/>
      <c r="AB1938" s="5812"/>
      <c r="AC1938" s="5812"/>
      <c r="AD1938" s="5812"/>
      <c r="AE1938" s="5812"/>
      <c r="AF1938" s="5812"/>
      <c r="AG1938" s="5812"/>
    </row>
    <row r="1939" spans="1:34" ht="12.75" customHeight="1" thickBot="1" x14ac:dyDescent="0.25">
      <c r="A1939" s="237">
        <v>1939</v>
      </c>
      <c r="B1939" s="5838"/>
      <c r="H1939"/>
      <c r="I1939" s="592"/>
      <c r="N1939"/>
      <c r="O1939" s="592"/>
    </row>
    <row r="1940" spans="1:34" ht="12.75" customHeight="1" thickBot="1" x14ac:dyDescent="0.25">
      <c r="A1940" s="237">
        <v>1940</v>
      </c>
      <c r="B1940" s="5838"/>
      <c r="C1940" s="6076" t="s">
        <v>645</v>
      </c>
      <c r="D1940" s="6076"/>
      <c r="E1940" s="6076"/>
      <c r="F1940" s="285"/>
      <c r="G1940" s="6054" t="s">
        <v>9884</v>
      </c>
      <c r="H1940" s="6055"/>
      <c r="I1940" s="6056"/>
      <c r="J1940" s="2581"/>
      <c r="K1940" s="2998" t="s">
        <v>647</v>
      </c>
      <c r="L1940" s="2999"/>
      <c r="M1940" s="2999"/>
      <c r="N1940" s="3000"/>
      <c r="O1940" s="5801" t="s">
        <v>8658</v>
      </c>
      <c r="P1940" s="5797" t="b">
        <f>PDs!AF123</f>
        <v>0</v>
      </c>
      <c r="Q1940" s="5798"/>
      <c r="R1940" s="5801" t="s">
        <v>10278</v>
      </c>
      <c r="S1940" s="5797" t="b">
        <f>Resumen!$AN$102="Si"</f>
        <v>0</v>
      </c>
      <c r="T1940" s="5798"/>
      <c r="Y1940"/>
      <c r="Z1940"/>
      <c r="AA1940"/>
      <c r="AB1940"/>
    </row>
    <row r="1941" spans="1:34" ht="12.75" customHeight="1" thickBot="1" x14ac:dyDescent="0.25">
      <c r="A1941" s="237">
        <v>1941</v>
      </c>
      <c r="B1941" s="5838"/>
      <c r="C1941" s="6076"/>
      <c r="D1941" s="6076"/>
      <c r="E1941" s="6076"/>
      <c r="F1941" s="285"/>
      <c r="G1941" s="2585" t="s">
        <v>9887</v>
      </c>
      <c r="H1941" s="2588" t="s">
        <v>9885</v>
      </c>
      <c r="I1941" s="2589" t="s">
        <v>9886</v>
      </c>
      <c r="K1941" s="3314"/>
      <c r="L1941" s="5811"/>
      <c r="M1941" s="5811"/>
      <c r="N1941" s="3315"/>
      <c r="O1941" s="5802"/>
      <c r="P1941" s="5799"/>
      <c r="Q1941" s="5800"/>
      <c r="R1941" s="5802"/>
      <c r="S1941" s="5799"/>
      <c r="T1941" s="5800"/>
      <c r="Y1941"/>
      <c r="Z1941"/>
      <c r="AA1941"/>
      <c r="AB1941"/>
    </row>
    <row r="1942" spans="1:34" ht="12.75" customHeight="1" x14ac:dyDescent="0.2">
      <c r="A1942" s="237">
        <v>1942</v>
      </c>
      <c r="B1942" s="5838"/>
      <c r="C1942" s="288" t="str">
        <f>IF(UsodelKi,", "&amp;Ki!$K$10,"")</f>
        <v/>
      </c>
      <c r="D1942" s="54"/>
      <c r="E1942" s="91"/>
      <c r="F1942" s="285"/>
      <c r="G1942" s="336">
        <f>COUNTIF($H$1942:H1942,H1942)</f>
        <v>1</v>
      </c>
      <c r="H1942" s="2582" t="str">
        <f>IF(Principal!C35&lt;&gt;"",Principal!C35,"")</f>
        <v/>
      </c>
      <c r="I1942" s="654" t="str">
        <f>IFERROR(VLOOKUP(H1942,$G$1976:$I$1982,G1942+1,0),H1942)</f>
        <v/>
      </c>
      <c r="K1942" s="5830" t="s">
        <v>6480</v>
      </c>
      <c r="L1942" s="5831"/>
      <c r="M1942" s="5831" t="s">
        <v>9807</v>
      </c>
      <c r="N1942" s="5834"/>
      <c r="O1942" s="5801" t="s">
        <v>6495</v>
      </c>
      <c r="P1942" s="5795" t="s">
        <v>1444</v>
      </c>
      <c r="Q1942" s="5795" t="s">
        <v>8655</v>
      </c>
      <c r="R1942" s="5795" t="s">
        <v>6478</v>
      </c>
      <c r="S1942" s="5795" t="s">
        <v>8664</v>
      </c>
      <c r="T1942" s="5795" t="s">
        <v>8660</v>
      </c>
      <c r="U1942" s="5795" t="s">
        <v>8661</v>
      </c>
      <c r="V1942" s="5795" t="s">
        <v>8659</v>
      </c>
      <c r="W1942" s="5795" t="s">
        <v>8656</v>
      </c>
      <c r="X1942" s="5795" t="s">
        <v>8663</v>
      </c>
      <c r="Y1942" s="5795" t="s">
        <v>8666</v>
      </c>
      <c r="Z1942" s="5795" t="s">
        <v>8662</v>
      </c>
      <c r="AA1942" s="5795" t="s">
        <v>8665</v>
      </c>
      <c r="AB1942" s="5795" t="s">
        <v>8657</v>
      </c>
      <c r="AC1942" s="5828" t="s">
        <v>6480</v>
      </c>
      <c r="AD1942" s="5829"/>
      <c r="AE1942" s="5805" t="s">
        <v>6497</v>
      </c>
      <c r="AF1942" s="5805" t="s">
        <v>1210</v>
      </c>
    </row>
    <row r="1943" spans="1:34" ht="12.75" customHeight="1" thickBot="1" x14ac:dyDescent="0.25">
      <c r="A1943" s="237">
        <v>1943</v>
      </c>
      <c r="B1943" s="5838"/>
      <c r="C1943" s="289" t="str">
        <f>IF(Ki!$P$12="-",", "&amp;Ki!$K$12,"")</f>
        <v/>
      </c>
      <c r="D1943" s="23"/>
      <c r="E1943" s="39"/>
      <c r="F1943" s="285"/>
      <c r="G1943" s="336">
        <f>COUNTIF($H$1942:H1943,H1943)</f>
        <v>2</v>
      </c>
      <c r="H1943" s="2582" t="str">
        <f>IF(Principal!C36&lt;&gt;"",Principal!C36,"")</f>
        <v/>
      </c>
      <c r="I1943" s="654" t="str">
        <f t="shared" ref="I1943:I1972" si="279">IFERROR(VLOOKUP(H1943,$G$1976:$I$1982,G1943+1,0),H1943)</f>
        <v/>
      </c>
      <c r="K1943" s="5832"/>
      <c r="L1943" s="5833"/>
      <c r="M1943" s="5833"/>
      <c r="N1943" s="5835"/>
      <c r="O1943" s="5810"/>
      <c r="P1943" s="5796"/>
      <c r="Q1943" s="5796"/>
      <c r="R1943" s="5796"/>
      <c r="S1943" s="5796"/>
      <c r="T1943" s="5796"/>
      <c r="U1943" s="5796"/>
      <c r="V1943" s="5796"/>
      <c r="W1943" s="5796"/>
      <c r="X1943" s="5796"/>
      <c r="Y1943" s="5796"/>
      <c r="Z1943" s="5796"/>
      <c r="AA1943" s="5796"/>
      <c r="AB1943" s="5796"/>
      <c r="AC1943" s="1357" t="s">
        <v>6492</v>
      </c>
      <c r="AD1943" s="1358" t="s">
        <v>6493</v>
      </c>
      <c r="AE1943" s="5806"/>
      <c r="AF1943" s="5806"/>
    </row>
    <row r="1944" spans="1:34" ht="12.75" customHeight="1" x14ac:dyDescent="0.2">
      <c r="A1944" s="237">
        <v>1944</v>
      </c>
      <c r="B1944" s="5838"/>
      <c r="C1944" s="289" t="str">
        <f>IF(Ki!$P$13="-",", "&amp;Ki!$L$13&amp;" "&amp;Ki!$F$35,"")</f>
        <v/>
      </c>
      <c r="D1944" s="23"/>
      <c r="E1944" s="39"/>
      <c r="F1944" s="285"/>
      <c r="G1944" s="336">
        <f>COUNTIF($H$1942:H1944,H1944)</f>
        <v>3</v>
      </c>
      <c r="H1944" s="2582" t="str">
        <f>IF(Principal!C37&lt;&gt;"",Principal!C37,"")</f>
        <v/>
      </c>
      <c r="I1944" s="654" t="str">
        <f t="shared" si="279"/>
        <v/>
      </c>
      <c r="K1944" s="513" t="str">
        <f t="shared" ref="K1944:K1975" si="280">IF(AD1944&lt;&gt;"",", "&amp;AD1944,"")</f>
        <v/>
      </c>
      <c r="L1944" s="23"/>
      <c r="M1944" s="2336"/>
      <c r="N1944" s="2339" t="str">
        <f>IF($O1944,", "&amp;AB1944,"")</f>
        <v/>
      </c>
      <c r="O1944" s="892" t="b">
        <f>OR($S$1940,AND(NOT(Acrobacias_final="-"),OR(PDs!T126&gt;4,PDs!W126&gt;0,PDs!X126&gt;0,$G$311&gt;0)))</f>
        <v>0</v>
      </c>
      <c r="P1944" s="618" t="s">
        <v>1408</v>
      </c>
      <c r="Q1944" s="1980">
        <f>PDs!AA126</f>
        <v>-30</v>
      </c>
      <c r="R1944" s="616" t="str">
        <f>IF(PDs!I126=0,"",P1944&amp;" ("&amp;PDs!I126&amp;")")</f>
        <v/>
      </c>
      <c r="S1944" s="616">
        <f>LEFT(PDs!AG126,2)+LEFT(PDs!AH126,2)</f>
        <v>0</v>
      </c>
      <c r="T1944" s="616" t="str">
        <f>IF(PDs!AI126,MID(PDs!AH126,4,25)&amp;MID(PDs!AG126,4,25),"")</f>
        <v/>
      </c>
      <c r="U1944" s="1277"/>
      <c r="V1944" s="1277"/>
      <c r="W1944" s="616">
        <f t="shared" ref="W1944:W1964" si="281">IFERROR(Q1944+AF1944+IF(R1944="",0,-80)+IF(T1944="",0,IF(R1944=T1944,-S1944,0)),"-")</f>
        <v>-30</v>
      </c>
      <c r="X1944" s="616" t="str">
        <f>IFERROR(IF(AND(NOT(R1944=""),R1944=T1944,$P$1940),W1944+S1944+80,""),"-")</f>
        <v/>
      </c>
      <c r="Y1944" s="616" t="str">
        <f t="shared" ref="Y1944:Y1964" si="282">IFERROR(IF(AND(X1944="",NOT(T1944=""),$P$1940),W1944+S1944,""),"")</f>
        <v/>
      </c>
      <c r="Z1944" s="1277" t="str">
        <f t="shared" ref="Z1944:Z1975" si="283">IFERROR(IF(AND(X1944="",NOT(V1944="")),W1944+U1944,""),"")</f>
        <v/>
      </c>
      <c r="AA1944" s="616" t="str">
        <f t="shared" ref="AA1944:AA1991" si="284">IFERROR(IF(AND(X1944="",NOT(R1944="")),W1944+80,""),"-")</f>
        <v/>
      </c>
      <c r="AB1944" s="616" t="str">
        <f>P1944&amp;" "&amp;W1944&amp;IF(AF1944&lt;0," ("&amp;W1944-AF1944&amp;")","")&amp;IF(X1944="","",", "&amp;T1944&amp;" "&amp;X1944&amp;IF(AF1944&lt;0," ("&amp;X1944-AF1944&amp;")",""))&amp;IF(Y1944="","",", "&amp;T1944&amp;" "&amp;Y1944&amp;IF(AF1944&lt;0," ("&amp;Y1944-AF1944&amp;")",""))&amp;IF(Z1944="","",", "&amp;V1944&amp;" "&amp;Z1944&amp;IF(AF1944&lt;0," ("&amp;Z1944-AF1944&amp;")",""))&amp;IF(AA1944="","",", "&amp;R1944&amp;" "&amp;AA1944&amp;IF(AF1944&lt;0," ("&amp;AA1944-AF1944&amp;")",""))</f>
        <v>Acrobacias -30</v>
      </c>
      <c r="AC1944" s="618">
        <f t="shared" ref="AC1944:AC1975" si="285">COUNTIF($P$1944:$P$1999,"&lt;="&amp;P1944)</f>
        <v>1</v>
      </c>
      <c r="AD1944" s="618" t="str">
        <f>IF(INDEX($O$1944:$O$1999,MATCH($A1,$AC$1944:$AC$1999,0)),INDEX($AB$1944:$AB$1999,MATCH($A1,$AC$1944:$AC$1999,0)),"")</f>
        <v/>
      </c>
      <c r="AE1944" s="6071" t="s">
        <v>7310</v>
      </c>
      <c r="AF1944" s="1359">
        <f>Principal!O22</f>
        <v>0</v>
      </c>
      <c r="AH1944" s="2572"/>
    </row>
    <row r="1945" spans="1:34" ht="12.75" customHeight="1" x14ac:dyDescent="0.2">
      <c r="A1945" s="237">
        <v>1945</v>
      </c>
      <c r="B1945" s="5838"/>
      <c r="C1945" s="289" t="str">
        <f>IF(Erudición,", "&amp;Ki!$M$14,"")</f>
        <v/>
      </c>
      <c r="D1945" s="23"/>
      <c r="E1945" s="39"/>
      <c r="F1945" s="285"/>
      <c r="G1945" s="336">
        <f>COUNTIF($H$1942:H1945,H1945)</f>
        <v>4</v>
      </c>
      <c r="H1945" s="2582" t="str">
        <f>IF(Principal!C38&lt;&gt;"",Principal!C38,"")</f>
        <v/>
      </c>
      <c r="I1945" s="654" t="str">
        <f t="shared" si="279"/>
        <v/>
      </c>
      <c r="K1945" s="513" t="str">
        <f t="shared" si="280"/>
        <v/>
      </c>
      <c r="L1945" s="23"/>
      <c r="M1945" s="2337"/>
      <c r="N1945" s="2339" t="str">
        <f t="shared" ref="N1945:N1976" si="286">IF(O1945,", "&amp;AB1945,"")</f>
        <v/>
      </c>
      <c r="O1945" s="892" t="b">
        <f>OR($S$1940,AND(NOT(Atletismo_final="-"),OR(PDs!T127&gt;4,PDs!W127&gt;0,PDs!X127&gt;0,$G$311&gt;0)))</f>
        <v>0</v>
      </c>
      <c r="P1945" s="618" t="s">
        <v>1409</v>
      </c>
      <c r="Q1945" s="617">
        <f>PDs!AA127</f>
        <v>-30</v>
      </c>
      <c r="R1945" s="616" t="str">
        <f>IF(PDs!I127=0,"",P1945&amp;" ("&amp;PDs!I127&amp;")")</f>
        <v/>
      </c>
      <c r="S1945" s="616">
        <f>LEFT(PDs!AG127,2)+LEFT(PDs!AH127,2)</f>
        <v>0</v>
      </c>
      <c r="T1945" s="616" t="str">
        <f>IF(PDs!AI127,MID(PDs!AH127,4,25)&amp;MID(PDs!AG127,4,25),"")</f>
        <v/>
      </c>
      <c r="U1945" s="1277"/>
      <c r="V1945" s="1277"/>
      <c r="W1945" s="616">
        <f t="shared" si="281"/>
        <v>-30</v>
      </c>
      <c r="X1945" s="616" t="str">
        <f t="shared" ref="X1945:X1964" si="287">IFERROR(IF(AND(NOT(R1945=""),R1945=T1945,$P$1940),W1945+S1945+80,""),"-")</f>
        <v/>
      </c>
      <c r="Y1945" s="616" t="str">
        <f t="shared" si="282"/>
        <v/>
      </c>
      <c r="Z1945" s="1277" t="str">
        <f t="shared" si="283"/>
        <v/>
      </c>
      <c r="AA1945" s="616" t="str">
        <f t="shared" si="284"/>
        <v/>
      </c>
      <c r="AB1945" s="616" t="str">
        <f t="shared" ref="AB1945:AB1999" si="288">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Atletismo -30</v>
      </c>
      <c r="AC1945" s="618">
        <f t="shared" si="285"/>
        <v>7</v>
      </c>
      <c r="AD1945" s="618" t="str">
        <f>IF(INDEX($O$1944:$O$1999,MATCH($A2,$AC$1944:$AC$1999,0)),INDEX($AB$1944:$AB$1999,MATCH($A2,$AC$1944:$AC$1999,0)),"")</f>
        <v/>
      </c>
      <c r="AE1945" s="6071"/>
      <c r="AF1945" s="1359">
        <f>Principal!O23</f>
        <v>0</v>
      </c>
      <c r="AH1945" s="2572"/>
    </row>
    <row r="1946" spans="1:34" ht="12.75" customHeight="1" x14ac:dyDescent="0.2">
      <c r="A1946" s="237">
        <v>1946</v>
      </c>
      <c r="B1946" s="5838"/>
      <c r="C1946" s="289" t="str">
        <f>IF(Ki!$P$15="-",", "&amp;Ki!$L$15,"")</f>
        <v/>
      </c>
      <c r="D1946" s="23"/>
      <c r="E1946" s="39"/>
      <c r="F1946" s="285"/>
      <c r="G1946" s="336">
        <f>COUNTIF($H$1942:H1946,H1946)</f>
        <v>5</v>
      </c>
      <c r="H1946" s="2582" t="str">
        <f>IF(Principal!C39&lt;&gt;"",Principal!C39,"")</f>
        <v/>
      </c>
      <c r="I1946" s="654" t="str">
        <f t="shared" si="279"/>
        <v/>
      </c>
      <c r="K1946" s="513" t="str">
        <f t="shared" si="280"/>
        <v/>
      </c>
      <c r="L1946" s="23"/>
      <c r="M1946" s="2337"/>
      <c r="N1946" s="2339" t="str">
        <f t="shared" si="286"/>
        <v/>
      </c>
      <c r="O1946" s="892" t="b">
        <f>OR($S$1940,AND(NOT(Montar_final="-"),OR(PDs!T128&gt;4,PDs!W128&gt;0,PDs!X128&gt;0,$G$311&gt;0)))</f>
        <v>0</v>
      </c>
      <c r="P1946" s="618" t="s">
        <v>1412</v>
      </c>
      <c r="Q1946" s="617">
        <f>PDs!AA128</f>
        <v>-30</v>
      </c>
      <c r="R1946" s="616" t="str">
        <f>IF(PDs!I128=0,"",P1946&amp;" ("&amp;PDs!I128&amp;")")</f>
        <v/>
      </c>
      <c r="S1946" s="616">
        <f>LEFT(PDs!AG128,2)+LEFT(PDs!AH128,2)</f>
        <v>0</v>
      </c>
      <c r="T1946" s="616" t="str">
        <f>IF(PDs!AI128,MID(PDs!AH128,4,25)&amp;MID(PDs!AG128,4,25),"")</f>
        <v/>
      </c>
      <c r="U1946" s="1277"/>
      <c r="V1946" s="1277"/>
      <c r="W1946" s="616">
        <f t="shared" si="281"/>
        <v>-30</v>
      </c>
      <c r="X1946" s="616" t="str">
        <f t="shared" si="287"/>
        <v/>
      </c>
      <c r="Y1946" s="616" t="str">
        <f t="shared" si="282"/>
        <v/>
      </c>
      <c r="Z1946" s="1277" t="str">
        <f t="shared" si="283"/>
        <v/>
      </c>
      <c r="AA1946" s="616" t="str">
        <f t="shared" si="284"/>
        <v/>
      </c>
      <c r="AB1946" s="616" t="str">
        <f t="shared" si="288"/>
        <v>Montar -30</v>
      </c>
      <c r="AC1946" s="618">
        <f t="shared" si="285"/>
        <v>29</v>
      </c>
      <c r="AD1946" s="618" t="str">
        <f>IF(INDEX($O$1944:$O$1999,MATCH($A3,$AC$1944:$AC$1999,0)),INDEX($AB$1944:$AB$1999,MATCH($A3,$AC$1944:$AC$1999,0)),"")</f>
        <v/>
      </c>
      <c r="AE1946" s="6071"/>
      <c r="AF1946" s="1359">
        <f>Principal!O24</f>
        <v>0</v>
      </c>
      <c r="AH1946" s="2572"/>
    </row>
    <row r="1947" spans="1:34" ht="12.75" customHeight="1" x14ac:dyDescent="0.2">
      <c r="A1947" s="237">
        <v>1947</v>
      </c>
      <c r="B1947" s="5838"/>
      <c r="C1947" s="289" t="str">
        <f>IF(Ki!$P$16="-",", "&amp;Ki!$L$16,"")</f>
        <v/>
      </c>
      <c r="D1947" s="23"/>
      <c r="E1947" s="39"/>
      <c r="F1947" s="285"/>
      <c r="G1947" s="336">
        <f>COUNTIF($H$1942:H1947,H1947)</f>
        <v>6</v>
      </c>
      <c r="H1947" s="2582" t="str">
        <f>IF(Principal!C40&lt;&gt;"",Principal!C40,"")</f>
        <v/>
      </c>
      <c r="I1947" s="654" t="str">
        <f t="shared" si="279"/>
        <v/>
      </c>
      <c r="K1947" s="513" t="str">
        <f t="shared" si="280"/>
        <v/>
      </c>
      <c r="L1947" s="23"/>
      <c r="M1947" s="2337"/>
      <c r="N1947" s="2339" t="str">
        <f t="shared" si="286"/>
        <v/>
      </c>
      <c r="O1947" s="892" t="b">
        <f>OR($S$1940,AND(NOT(Nadar_final="-"),OR(PDs!T129&gt;4,PDs!W129&gt;0,PDs!X129&gt;0,$G$311&gt;0)))</f>
        <v>0</v>
      </c>
      <c r="P1947" s="618" t="s">
        <v>1416</v>
      </c>
      <c r="Q1947" s="617">
        <f>PDs!AA129</f>
        <v>-30</v>
      </c>
      <c r="R1947" s="616" t="str">
        <f>IF(PDs!I129=0,"",P1947&amp;" ("&amp;PDs!I129&amp;")")</f>
        <v/>
      </c>
      <c r="S1947" s="616">
        <f>LEFT(PDs!AG129,2)+LEFT(PDs!AH129,2)</f>
        <v>0</v>
      </c>
      <c r="T1947" s="616" t="str">
        <f>IF(PDs!AI129,MID(PDs!AH129,4,25)&amp;MID(PDs!AG129,4,25),"")</f>
        <v/>
      </c>
      <c r="U1947" s="1277"/>
      <c r="V1947" s="1277"/>
      <c r="W1947" s="616">
        <f t="shared" si="281"/>
        <v>-30</v>
      </c>
      <c r="X1947" s="616" t="str">
        <f t="shared" si="287"/>
        <v/>
      </c>
      <c r="Y1947" s="616" t="str">
        <f t="shared" si="282"/>
        <v/>
      </c>
      <c r="Z1947" s="1277" t="str">
        <f t="shared" si="283"/>
        <v/>
      </c>
      <c r="AA1947" s="616" t="str">
        <f t="shared" si="284"/>
        <v/>
      </c>
      <c r="AB1947" s="616" t="str">
        <f t="shared" si="288"/>
        <v>Nadar -30</v>
      </c>
      <c r="AC1947" s="618">
        <f t="shared" si="285"/>
        <v>31</v>
      </c>
      <c r="AD1947" s="618" t="str">
        <f>IF(INDEX($O$1944:$O$1999,MATCH($A4,$AC$1944:$AC$1999,0)),INDEX($AB$1944:$AB$1999,MATCH($A4,$AC$1944:$AC$1999,0)),"")</f>
        <v/>
      </c>
      <c r="AE1947" s="6071"/>
      <c r="AF1947" s="1359">
        <f>Principal!O25</f>
        <v>0</v>
      </c>
      <c r="AH1947" s="2572"/>
    </row>
    <row r="1948" spans="1:34" ht="12.75" customHeight="1" x14ac:dyDescent="0.2">
      <c r="A1948" s="237">
        <v>1948</v>
      </c>
      <c r="B1948" s="5838"/>
      <c r="C1948" s="289" t="str">
        <f>IF(Ki!$P$17="-",", "&amp;Ki!$M$17,"")</f>
        <v/>
      </c>
      <c r="D1948" s="23"/>
      <c r="E1948" s="39"/>
      <c r="F1948" s="285"/>
      <c r="G1948" s="336">
        <f>COUNTIF($H$1942:H1948,H1948)</f>
        <v>7</v>
      </c>
      <c r="H1948" s="2582" t="str">
        <f>IF(Principal!C41&lt;&gt;"",Principal!C41,"")</f>
        <v/>
      </c>
      <c r="I1948" s="654" t="str">
        <f t="shared" si="279"/>
        <v/>
      </c>
      <c r="K1948" s="513" t="str">
        <f t="shared" si="280"/>
        <v/>
      </c>
      <c r="L1948" s="23"/>
      <c r="M1948" s="2337"/>
      <c r="N1948" s="2339" t="str">
        <f t="shared" si="286"/>
        <v/>
      </c>
      <c r="O1948" s="892" t="b">
        <f>OR($S$1940,OR($S$1940,AND(NOT(Trepar_final="-"),OR(PDs!T130&gt;4,PDs!W130&gt;0,PDs!X130&gt;0,$G$311&gt;0))))</f>
        <v>0</v>
      </c>
      <c r="P1948" s="618" t="s">
        <v>1419</v>
      </c>
      <c r="Q1948" s="617">
        <f>PDs!AA130</f>
        <v>-30</v>
      </c>
      <c r="R1948" s="616" t="str">
        <f>IF(PDs!I130=0,"",P1948&amp;" ("&amp;PDs!I130&amp;")")</f>
        <v/>
      </c>
      <c r="S1948" s="616">
        <f>LEFT(PDs!AG130,2)+LEFT(PDs!AH130,2)</f>
        <v>0</v>
      </c>
      <c r="T1948" s="616" t="str">
        <f>IF(PDs!AI130,MID(PDs!AH130,4,25)&amp;MID(PDs!AG130,4,25),"")</f>
        <v/>
      </c>
      <c r="U1948" s="1277"/>
      <c r="V1948" s="1277"/>
      <c r="W1948" s="616">
        <f t="shared" si="281"/>
        <v>-30</v>
      </c>
      <c r="X1948" s="616" t="str">
        <f t="shared" si="287"/>
        <v/>
      </c>
      <c r="Y1948" s="616" t="str">
        <f t="shared" si="282"/>
        <v/>
      </c>
      <c r="Z1948" s="1277" t="str">
        <f t="shared" si="283"/>
        <v/>
      </c>
      <c r="AA1948" s="616" t="str">
        <f t="shared" si="284"/>
        <v/>
      </c>
      <c r="AB1948" s="616" t="str">
        <f t="shared" si="288"/>
        <v>Trepar -30</v>
      </c>
      <c r="AC1948" s="618">
        <f t="shared" si="285"/>
        <v>54</v>
      </c>
      <c r="AD1948" s="618" t="str">
        <f>IF(INDEX($O$1944:$O$1999,MATCH($A5,$AC$1944:$AC$1999,0)),INDEX($AB$1944:$AB$1999,MATCH($A5,$AC$1944:$AC$1999,0)),"")</f>
        <v/>
      </c>
      <c r="AE1948" s="6071"/>
      <c r="AF1948" s="1359">
        <f>Principal!O26</f>
        <v>0</v>
      </c>
      <c r="AH1948" s="2572"/>
    </row>
    <row r="1949" spans="1:34" ht="12.75" customHeight="1" x14ac:dyDescent="0.2">
      <c r="A1949" s="237">
        <v>1949</v>
      </c>
      <c r="B1949" s="5838"/>
      <c r="C1949" s="289" t="str">
        <f>IF(Ki!$P$18="-",", "&amp;Ki!$N$18,"")</f>
        <v/>
      </c>
      <c r="D1949" s="23"/>
      <c r="E1949" s="39"/>
      <c r="F1949" s="285"/>
      <c r="G1949" s="336">
        <f>COUNTIF($H$1942:H1949,H1949)</f>
        <v>8</v>
      </c>
      <c r="H1949" s="2582" t="str">
        <f>IF(Principal!C42&lt;&gt;"",Principal!C42,"")</f>
        <v/>
      </c>
      <c r="I1949" s="654" t="str">
        <f t="shared" si="279"/>
        <v/>
      </c>
      <c r="K1949" s="513" t="str">
        <f t="shared" si="280"/>
        <v/>
      </c>
      <c r="L1949" s="23"/>
      <c r="M1949" s="2337"/>
      <c r="N1949" s="2339" t="str">
        <f t="shared" si="286"/>
        <v/>
      </c>
      <c r="O1949" s="892" t="b">
        <f>OR($S$1940,AND(NOT(Saltar_final="-"),OR(PDs!T131&gt;4,PDs!W131&gt;0,PDs!X131&gt;0,$G$311&gt;0)))</f>
        <v>0</v>
      </c>
      <c r="P1949" s="618" t="s">
        <v>1422</v>
      </c>
      <c r="Q1949" s="617">
        <f>PDs!AA131</f>
        <v>-30</v>
      </c>
      <c r="R1949" s="616" t="str">
        <f>IF(PDs!I131=0,"",P1949&amp;" ("&amp;PDs!I131&amp;")")</f>
        <v/>
      </c>
      <c r="S1949" s="616">
        <f>LEFT(PDs!AG131,2)+LEFT(PDs!AH131,2)</f>
        <v>0</v>
      </c>
      <c r="T1949" s="616" t="str">
        <f>IF(PDs!AI131,MID(PDs!AH131,4,25)&amp;MID(PDs!AG131,4,25),"")</f>
        <v/>
      </c>
      <c r="U1949" s="1277"/>
      <c r="V1949" s="1277"/>
      <c r="W1949" s="616">
        <f t="shared" si="281"/>
        <v>-30</v>
      </c>
      <c r="X1949" s="616" t="str">
        <f t="shared" si="287"/>
        <v/>
      </c>
      <c r="Y1949" s="616" t="str">
        <f t="shared" si="282"/>
        <v/>
      </c>
      <c r="Z1949" s="1277" t="str">
        <f t="shared" si="283"/>
        <v/>
      </c>
      <c r="AA1949" s="616" t="str">
        <f t="shared" si="284"/>
        <v/>
      </c>
      <c r="AB1949" s="616" t="str">
        <f t="shared" si="288"/>
        <v>Saltar -30</v>
      </c>
      <c r="AC1949" s="618">
        <f t="shared" si="285"/>
        <v>43</v>
      </c>
      <c r="AD1949" s="618" t="str">
        <f>IF(INDEX($O$1944:$O$1999,MATCH($A6,$AC$1944:$AC$1999,0)),INDEX($AB$1944:$AB$1999,MATCH($A6,$AC$1944:$AC$1999,0)),"")</f>
        <v/>
      </c>
      <c r="AE1949" s="6071"/>
      <c r="AF1949" s="1359">
        <f>Principal!O27</f>
        <v>0</v>
      </c>
      <c r="AH1949" s="2572"/>
    </row>
    <row r="1950" spans="1:34" ht="12.75" customHeight="1" x14ac:dyDescent="0.2">
      <c r="A1950" s="237">
        <v>1950</v>
      </c>
      <c r="B1950" s="5838"/>
      <c r="C1950" s="289" t="str">
        <f>IF(Ki!$P$19="-",", "&amp;Ki!$M$19,"")</f>
        <v/>
      </c>
      <c r="D1950" s="23"/>
      <c r="E1950" s="39"/>
      <c r="G1950" s="336">
        <f>COUNTIF($H$1942:H1950,H1950)</f>
        <v>9</v>
      </c>
      <c r="H1950" s="2582" t="str">
        <f>IF(Principal!C43&lt;&gt;"",Principal!C43,"")</f>
        <v/>
      </c>
      <c r="I1950" s="654" t="str">
        <f t="shared" si="279"/>
        <v/>
      </c>
      <c r="K1950" s="513" t="str">
        <f t="shared" si="280"/>
        <v/>
      </c>
      <c r="L1950" s="23"/>
      <c r="M1950" s="2337"/>
      <c r="N1950" s="2339" t="str">
        <f t="shared" si="286"/>
        <v/>
      </c>
      <c r="O1950" s="892" t="b">
        <f>OR($S$1940,AND(NOT(Pilotar_final="-"),OR(PDs!T132&gt;4,PDs!W132&gt;0,PDs!X132&gt;0,$G$311&gt;0)))</f>
        <v>0</v>
      </c>
      <c r="P1950" s="618" t="s">
        <v>6372</v>
      </c>
      <c r="Q1950" s="617">
        <f>PDs!AA132</f>
        <v>-30</v>
      </c>
      <c r="R1950" s="616" t="str">
        <f>IF(PDs!I132=0,"",P1950&amp;" ("&amp;PDs!I132&amp;")")</f>
        <v/>
      </c>
      <c r="S1950" s="616">
        <f>LEFT(PDs!AG132,2)+LEFT(PDs!AH132,2)</f>
        <v>0</v>
      </c>
      <c r="T1950" s="616" t="str">
        <f>IF(PDs!AI132,MID(PDs!AH132,4,25)&amp;MID(PDs!AG132,4,25),"")</f>
        <v/>
      </c>
      <c r="U1950" s="1277"/>
      <c r="V1950" s="1277"/>
      <c r="W1950" s="616">
        <f t="shared" si="281"/>
        <v>-30</v>
      </c>
      <c r="X1950" s="616" t="str">
        <f t="shared" si="287"/>
        <v/>
      </c>
      <c r="Y1950" s="616" t="str">
        <f t="shared" si="282"/>
        <v/>
      </c>
      <c r="Z1950" s="1277" t="str">
        <f t="shared" si="283"/>
        <v/>
      </c>
      <c r="AA1950" s="616" t="str">
        <f t="shared" si="284"/>
        <v/>
      </c>
      <c r="AB1950" s="616" t="str">
        <f t="shared" si="288"/>
        <v>Pilotar -30</v>
      </c>
      <c r="AC1950" s="618">
        <f t="shared" si="285"/>
        <v>38</v>
      </c>
      <c r="AD1950" s="618" t="str">
        <f>IF(INDEX($O$1944:$O$1999,MATCH($A7,$AC$1944:$AC$1999,0)),INDEX($AB$1944:$AB$1999,MATCH($A7,$AC$1944:$AC$1999,0)),"")</f>
        <v/>
      </c>
      <c r="AE1950" s="6071"/>
      <c r="AF1950" s="1359">
        <f>Principal!O28</f>
        <v>0</v>
      </c>
      <c r="AH1950" s="2572"/>
    </row>
    <row r="1951" spans="1:34" ht="12.75" customHeight="1" x14ac:dyDescent="0.2">
      <c r="A1951" s="237">
        <v>1951</v>
      </c>
      <c r="B1951" s="5838"/>
      <c r="C1951" s="289" t="str">
        <f>IF(Ki!$P$20="-",", "&amp;Ki!$N$20,"")</f>
        <v/>
      </c>
      <c r="D1951" s="23"/>
      <c r="E1951" s="39"/>
      <c r="G1951" s="336">
        <f>COUNTIF($H$1942:H1951,H1951)</f>
        <v>10</v>
      </c>
      <c r="H1951" s="2582" t="str">
        <f>IF(Principal!C44&lt;&gt;"",Principal!C44,"")</f>
        <v/>
      </c>
      <c r="I1951" s="654" t="str">
        <f t="shared" si="279"/>
        <v/>
      </c>
      <c r="K1951" s="513" t="str">
        <f t="shared" si="280"/>
        <v/>
      </c>
      <c r="L1951" s="23"/>
      <c r="M1951" s="2337"/>
      <c r="N1951" s="2339" t="str">
        <f t="shared" si="286"/>
        <v/>
      </c>
      <c r="O1951" s="892" t="b">
        <f>OR($S$1940,AND(NOT(Estilo_final="-"),OR(PDs!T133&gt;4,PDs!W133&gt;0,PDs!X133&gt;0,$G$311&gt;0)))</f>
        <v>0</v>
      </c>
      <c r="P1951" s="618" t="s">
        <v>1426</v>
      </c>
      <c r="Q1951" s="617">
        <f>PDs!AA133</f>
        <v>-30</v>
      </c>
      <c r="R1951" s="616" t="str">
        <f>IF(PDs!I133=0,"",P1951&amp;" ("&amp;PDs!I133&amp;")")</f>
        <v/>
      </c>
      <c r="S1951" s="616">
        <f>LEFT(PDs!AG133,2)+LEFT(PDs!AH133,2)</f>
        <v>0</v>
      </c>
      <c r="T1951" s="616" t="str">
        <f>IF(PDs!AI133,MID(PDs!AH133,4,25)&amp;MID(PDs!AG133,4,25),"")</f>
        <v/>
      </c>
      <c r="U1951" s="1277"/>
      <c r="V1951" s="1277"/>
      <c r="W1951" s="616">
        <f t="shared" si="281"/>
        <v>-30</v>
      </c>
      <c r="X1951" s="616" t="str">
        <f t="shared" si="287"/>
        <v/>
      </c>
      <c r="Y1951" s="616" t="str">
        <f t="shared" si="282"/>
        <v/>
      </c>
      <c r="Z1951" s="1277" t="str">
        <f t="shared" si="283"/>
        <v/>
      </c>
      <c r="AA1951" s="616" t="str">
        <f t="shared" si="284"/>
        <v/>
      </c>
      <c r="AB1951" s="616" t="str">
        <f t="shared" si="288"/>
        <v>Estilo -30</v>
      </c>
      <c r="AC1951" s="618">
        <f t="shared" si="285"/>
        <v>18</v>
      </c>
      <c r="AD1951" s="618" t="str">
        <f>IF(INDEX($O$1944:$O$1999,MATCH($A8,$AC$1944:$AC$1999,0)),INDEX($AB$1944:$AB$1999,MATCH($A8,$AC$1944:$AC$1999,0)),"")</f>
        <v/>
      </c>
      <c r="AE1951" s="6071"/>
      <c r="AF1951" s="1359">
        <f>Principal!O29</f>
        <v>0</v>
      </c>
      <c r="AH1951" s="2572"/>
    </row>
    <row r="1952" spans="1:34" ht="12.75" customHeight="1" x14ac:dyDescent="0.2">
      <c r="A1952" s="237">
        <v>1952</v>
      </c>
      <c r="B1952" s="5838"/>
      <c r="C1952" s="289" t="str">
        <f>IF(Ki!$P$21="-",", "&amp;"Mult. arcana","")</f>
        <v/>
      </c>
      <c r="D1952" s="23"/>
      <c r="E1952" s="39"/>
      <c r="G1952" s="336">
        <f>COUNTIF($H$1942:H1952,H1952)</f>
        <v>11</v>
      </c>
      <c r="H1952" s="2582" t="str">
        <f>IF(Principal!C45&lt;&gt;"",Principal!C45,"")</f>
        <v/>
      </c>
      <c r="I1952" s="654" t="str">
        <f t="shared" si="279"/>
        <v/>
      </c>
      <c r="K1952" s="513" t="str">
        <f t="shared" si="280"/>
        <v/>
      </c>
      <c r="L1952" s="23"/>
      <c r="M1952" s="2337"/>
      <c r="N1952" s="2339" t="str">
        <f t="shared" si="286"/>
        <v/>
      </c>
      <c r="O1952" s="892" t="b">
        <f>OR($S$1940,AND(NOT(Intimidar_final="-"),OR(PDs!T134&gt;4,PDs!W134&gt;0,PDs!X134&gt;0,$G$311&gt;0)))</f>
        <v>0</v>
      </c>
      <c r="P1952" s="618" t="s">
        <v>1428</v>
      </c>
      <c r="Q1952" s="617">
        <f>PDs!AA134</f>
        <v>-30</v>
      </c>
      <c r="R1952" s="616" t="str">
        <f>IF(PDs!I134=0,"",P1952&amp;" ("&amp;PDs!I134&amp;")")</f>
        <v/>
      </c>
      <c r="S1952" s="616">
        <f>LEFT(PDs!AG134,2)+LEFT(PDs!AH134,2)</f>
        <v>0</v>
      </c>
      <c r="T1952" s="616" t="str">
        <f>IF(PDs!AI134,MID(PDs!AH134,4,25)&amp;MID(PDs!AG134,4,25),"")</f>
        <v/>
      </c>
      <c r="U1952" s="1277"/>
      <c r="V1952" s="1277"/>
      <c r="W1952" s="616">
        <f t="shared" si="281"/>
        <v>-30</v>
      </c>
      <c r="X1952" s="616" t="str">
        <f t="shared" si="287"/>
        <v/>
      </c>
      <c r="Y1952" s="616" t="str">
        <f t="shared" si="282"/>
        <v/>
      </c>
      <c r="Z1952" s="1277" t="str">
        <f t="shared" si="283"/>
        <v/>
      </c>
      <c r="AA1952" s="616" t="str">
        <f t="shared" si="284"/>
        <v/>
      </c>
      <c r="AB1952" s="616" t="str">
        <f t="shared" si="288"/>
        <v>Intimidar -30</v>
      </c>
      <c r="AC1952" s="618">
        <f t="shared" si="285"/>
        <v>24</v>
      </c>
      <c r="AD1952" s="618" t="str">
        <f>IF(INDEX($O$1944:$O$1999,MATCH($A9,$AC$1944:$AC$1999,0)),INDEX($AB$1944:$AB$1999,MATCH($A9,$AC$1944:$AC$1999,0)),"")</f>
        <v/>
      </c>
      <c r="AE1952" s="6071"/>
      <c r="AF1952" s="1359">
        <f>Principal!O30</f>
        <v>0</v>
      </c>
      <c r="AH1952" s="2572"/>
    </row>
    <row r="1953" spans="1:34" ht="12.75" customHeight="1" x14ac:dyDescent="0.2">
      <c r="A1953" s="237">
        <v>1953</v>
      </c>
      <c r="B1953" s="5838"/>
      <c r="C1953" s="289" t="str">
        <f>IF(Ki!$P$22="-",", "&amp;Ki!$N$22,"")</f>
        <v/>
      </c>
      <c r="D1953" s="23"/>
      <c r="E1953" s="39"/>
      <c r="G1953" s="336">
        <f>COUNTIF($H$1942:H1953,H1953)</f>
        <v>12</v>
      </c>
      <c r="H1953" s="2582" t="str">
        <f>IF(Principal!C46&lt;&gt;"",Principal!C46,"")</f>
        <v/>
      </c>
      <c r="I1953" s="654" t="str">
        <f t="shared" si="279"/>
        <v/>
      </c>
      <c r="K1953" s="513" t="str">
        <f t="shared" si="280"/>
        <v/>
      </c>
      <c r="L1953" s="23"/>
      <c r="M1953" s="2337"/>
      <c r="N1953" s="2339" t="str">
        <f t="shared" si="286"/>
        <v/>
      </c>
      <c r="O1953" s="892" t="b">
        <f>OR($S$1940,AND(NOT(Liderazgo_final="-"),OR(PDs!T135&gt;4,PDs!W135&gt;0,PDs!X135&gt;0,$G$311&gt;0)))</f>
        <v>0</v>
      </c>
      <c r="P1953" s="618" t="s">
        <v>1431</v>
      </c>
      <c r="Q1953" s="617">
        <f>PDs!AA135</f>
        <v>-30</v>
      </c>
      <c r="R1953" s="616" t="str">
        <f>IF(PDs!I135=0,"",P1953&amp;" ("&amp;PDs!I135&amp;")")</f>
        <v/>
      </c>
      <c r="S1953" s="616">
        <f>LEFT(PDs!AG135,2)+LEFT(PDs!AH135,2)</f>
        <v>0</v>
      </c>
      <c r="T1953" s="616" t="str">
        <f>IF(PDs!AI135,MID(PDs!AH135,4,25)&amp;MID(PDs!AG135,4,25),"")</f>
        <v/>
      </c>
      <c r="U1953" s="1277"/>
      <c r="V1953" s="1277"/>
      <c r="W1953" s="616">
        <f t="shared" si="281"/>
        <v>-30</v>
      </c>
      <c r="X1953" s="616" t="str">
        <f t="shared" si="287"/>
        <v/>
      </c>
      <c r="Y1953" s="616" t="str">
        <f t="shared" si="282"/>
        <v/>
      </c>
      <c r="Z1953" s="1277" t="str">
        <f t="shared" si="283"/>
        <v/>
      </c>
      <c r="AA1953" s="616" t="str">
        <f t="shared" si="284"/>
        <v/>
      </c>
      <c r="AB1953" s="616" t="str">
        <f t="shared" si="288"/>
        <v>Liderazgo -30</v>
      </c>
      <c r="AC1953" s="618">
        <f t="shared" si="285"/>
        <v>26</v>
      </c>
      <c r="AD1953" s="618" t="str">
        <f>IF(INDEX($O$1944:$O$1999,MATCH($A10,$AC$1944:$AC$1999,0)),INDEX($AB$1944:$AB$1999,MATCH($A10,$AC$1944:$AC$1999,0)),"")</f>
        <v/>
      </c>
      <c r="AE1953" s="6071"/>
      <c r="AF1953" s="1359">
        <f>Principal!O31</f>
        <v>0</v>
      </c>
      <c r="AH1953" s="2572"/>
    </row>
    <row r="1954" spans="1:34" ht="12.75" customHeight="1" x14ac:dyDescent="0.2">
      <c r="A1954" s="237">
        <v>1954</v>
      </c>
      <c r="B1954" s="5838"/>
      <c r="C1954" s="289" t="str">
        <f>IF(Ki!$P$23="-",", "&amp;"Mag. arcana","")</f>
        <v/>
      </c>
      <c r="D1954" s="23"/>
      <c r="E1954" s="39"/>
      <c r="G1954" s="336">
        <f>COUNTIF($H$1942:H1954,H1954)</f>
        <v>13</v>
      </c>
      <c r="H1954" s="2582" t="str">
        <f>IF(Principal!C47&lt;&gt;"",Principal!C47,"")</f>
        <v/>
      </c>
      <c r="I1954" s="654" t="str">
        <f t="shared" si="279"/>
        <v/>
      </c>
      <c r="K1954" s="513" t="str">
        <f t="shared" si="280"/>
        <v/>
      </c>
      <c r="L1954" s="23"/>
      <c r="M1954" s="2337"/>
      <c r="N1954" s="2339" t="str">
        <f t="shared" si="286"/>
        <v/>
      </c>
      <c r="O1954" s="893" t="b">
        <f>OR($S$1940,AND(NOT(Persuasión_final="-"),OR(PDs!T136&gt;4,PDs!W136&gt;0,PDs!X136&gt;0,$G$311&gt;0)))</f>
        <v>0</v>
      </c>
      <c r="P1954" s="621" t="s">
        <v>1433</v>
      </c>
      <c r="Q1954" s="621">
        <f>PDs!AA136</f>
        <v>-30</v>
      </c>
      <c r="R1954" s="619" t="str">
        <f>IF(PDs!I136=0,"",P1954&amp;" ("&amp;PDs!I136&amp;")")</f>
        <v/>
      </c>
      <c r="S1954" s="619">
        <f>LEFT(PDs!AG136,2)+LEFT(PDs!AH136,2)</f>
        <v>0</v>
      </c>
      <c r="T1954" s="619" t="str">
        <f>IF(PDs!AI136,MID(PDs!AH136,4,25)&amp;MID(PDs!AG136,4,25),"")</f>
        <v/>
      </c>
      <c r="U1954" s="1278">
        <f>IF($G$378&gt;0,60,0)+IF($J$1895&gt;0,$K$1895,0)</f>
        <v>0</v>
      </c>
      <c r="V1954" s="1278" t="str">
        <f>IF(PDs!AI136,MID(PDs!AH136,4,25)&amp;MID(PDs!AG136,4,25),IF(OR($G$378&gt;0,$J$1895&gt;0),"Persuasión (Seducción)",""))</f>
        <v/>
      </c>
      <c r="W1954" s="619">
        <f t="shared" si="281"/>
        <v>-30</v>
      </c>
      <c r="X1954" s="619" t="str">
        <f t="shared" si="287"/>
        <v/>
      </c>
      <c r="Y1954" s="619" t="str">
        <f t="shared" si="282"/>
        <v/>
      </c>
      <c r="Z1954" s="1278" t="str">
        <f t="shared" si="283"/>
        <v/>
      </c>
      <c r="AA1954" s="619" t="str">
        <f t="shared" si="284"/>
        <v/>
      </c>
      <c r="AB1954" s="619" t="str">
        <f t="shared" si="288"/>
        <v>Persuasión -30</v>
      </c>
      <c r="AC1954" s="621">
        <f t="shared" si="285"/>
        <v>37</v>
      </c>
      <c r="AD1954" s="618" t="str">
        <f>IF(INDEX($O$1944:$O$1999,MATCH($A11,$AC$1944:$AC$1999,0)),INDEX($AB$1944:$AB$1999,MATCH($A11,$AC$1944:$AC$1999,0)),"")</f>
        <v/>
      </c>
      <c r="AE1954" s="6071"/>
      <c r="AF1954" s="1359">
        <f>Principal!O32</f>
        <v>0</v>
      </c>
      <c r="AH1954" s="2572"/>
    </row>
    <row r="1955" spans="1:34" ht="12.75" customHeight="1" x14ac:dyDescent="0.2">
      <c r="A1955" s="237">
        <v>1955</v>
      </c>
      <c r="B1955" s="5838"/>
      <c r="C1955" s="289" t="str">
        <f>IF(Ki!$P$24="-",", "&amp;Ki!$M$24,"")</f>
        <v/>
      </c>
      <c r="D1955" s="23"/>
      <c r="E1955" s="39"/>
      <c r="G1955" s="336">
        <f>COUNTIF($H$1942:H1955,H1955)</f>
        <v>14</v>
      </c>
      <c r="H1955" s="2582" t="str">
        <f>IF(Principal!C48&lt;&gt;"",Principal!C48,"")</f>
        <v/>
      </c>
      <c r="I1955" s="654" t="str">
        <f t="shared" si="279"/>
        <v/>
      </c>
      <c r="K1955" s="513" t="str">
        <f t="shared" si="280"/>
        <v/>
      </c>
      <c r="L1955" s="23"/>
      <c r="M1955" s="2337"/>
      <c r="N1955" s="2339" t="str">
        <f t="shared" si="286"/>
        <v/>
      </c>
      <c r="O1955" s="892" t="b">
        <f>OR($S$1940,AND(NOT(Comercio_final="-"),OR(PDs!T137&gt;4,PDs!W137&gt;0,PDs!X137&gt;0,$G$311&gt;0)))</f>
        <v>0</v>
      </c>
      <c r="P1955" s="618" t="s">
        <v>819</v>
      </c>
      <c r="Q1955" s="617">
        <f>PDs!AA137</f>
        <v>-30</v>
      </c>
      <c r="R1955" s="616" t="str">
        <f>IF(PDs!I137=0,"",P1955&amp;" ("&amp;PDs!I137&amp;")")</f>
        <v/>
      </c>
      <c r="S1955" s="616">
        <f>LEFT(PDs!AG137,2)+LEFT(PDs!AH137,2)</f>
        <v>0</v>
      </c>
      <c r="T1955" s="616" t="str">
        <f>IF(PDs!AI137,MID(PDs!AH137,4,25)&amp;MID(PDs!AG137,4,25),"")</f>
        <v/>
      </c>
      <c r="U1955" s="1277"/>
      <c r="V1955" s="1277"/>
      <c r="W1955" s="616">
        <f t="shared" si="281"/>
        <v>-30</v>
      </c>
      <c r="X1955" s="616" t="str">
        <f t="shared" si="287"/>
        <v/>
      </c>
      <c r="Y1955" s="616" t="str">
        <f t="shared" si="282"/>
        <v/>
      </c>
      <c r="Z1955" s="1277" t="str">
        <f t="shared" si="283"/>
        <v/>
      </c>
      <c r="AA1955" s="616" t="str">
        <f t="shared" si="284"/>
        <v/>
      </c>
      <c r="AB1955" s="616" t="str">
        <f t="shared" si="288"/>
        <v>Comercio -30</v>
      </c>
      <c r="AC1955" s="618">
        <f t="shared" si="285"/>
        <v>14</v>
      </c>
      <c r="AD1955" s="618" t="str">
        <f>IF(INDEX($O$1944:$O$1999,MATCH($A12,$AC$1944:$AC$1999,0)),INDEX($AB$1944:$AB$1999,MATCH($A12,$AC$1944:$AC$1999,0)),"")</f>
        <v/>
      </c>
      <c r="AE1955" s="6071"/>
      <c r="AF1955" s="1359">
        <f>Principal!O33</f>
        <v>0</v>
      </c>
      <c r="AH1955" s="2572"/>
    </row>
    <row r="1956" spans="1:34" ht="12.75" customHeight="1" x14ac:dyDescent="0.2">
      <c r="A1956" s="237">
        <v>1956</v>
      </c>
      <c r="B1956" s="5838"/>
      <c r="C1956" s="289" t="str">
        <f>IF(Ki!$P$25="-",", "&amp;Ki!$L$25,"")</f>
        <v/>
      </c>
      <c r="D1956" s="23"/>
      <c r="E1956" s="39"/>
      <c r="G1956" s="336">
        <f>COUNTIF($H$1942:H1956,H1956)</f>
        <v>15</v>
      </c>
      <c r="H1956" s="2582" t="str">
        <f>IF(Principal!C49&lt;&gt;"",Principal!C49,"")</f>
        <v/>
      </c>
      <c r="I1956" s="654" t="str">
        <f t="shared" si="279"/>
        <v/>
      </c>
      <c r="K1956" s="513" t="str">
        <f t="shared" si="280"/>
        <v/>
      </c>
      <c r="L1956" s="23"/>
      <c r="M1956" s="2337"/>
      <c r="N1956" s="2339" t="str">
        <f t="shared" si="286"/>
        <v/>
      </c>
      <c r="O1956" s="893" t="b">
        <f>OR($S$1940,AND(NOT(Callejeo_final="-"),OR(PDs!T138&gt;4,PDs!W138&gt;0,PDs!X138&gt;0,$G$311&gt;0)))</f>
        <v>0</v>
      </c>
      <c r="P1956" s="621" t="s">
        <v>820</v>
      </c>
      <c r="Q1956" s="621">
        <f>PDs!AA138</f>
        <v>-30</v>
      </c>
      <c r="R1956" s="619" t="str">
        <f>IF(PDs!I138=0,"",P1956&amp;" ("&amp;PDs!I138&amp;")")</f>
        <v/>
      </c>
      <c r="S1956" s="619">
        <f>LEFT(PDs!AG138,2)+LEFT(PDs!AH138,2)</f>
        <v>0</v>
      </c>
      <c r="T1956" s="619" t="str">
        <f>IF(PDs!AI138,MID(PDs!AH138,4,25)&amp;MID(PDs!AG138,4,25),"")</f>
        <v/>
      </c>
      <c r="U1956" s="1278">
        <v>40</v>
      </c>
      <c r="V1956" s="621" t="s">
        <v>6496</v>
      </c>
      <c r="W1956" s="619">
        <f t="shared" si="281"/>
        <v>-30</v>
      </c>
      <c r="X1956" s="619" t="str">
        <f t="shared" si="287"/>
        <v/>
      </c>
      <c r="Y1956" s="619" t="str">
        <f t="shared" si="282"/>
        <v/>
      </c>
      <c r="Z1956" s="1278">
        <f t="shared" si="283"/>
        <v>10</v>
      </c>
      <c r="AA1956" s="619" t="str">
        <f t="shared" si="284"/>
        <v/>
      </c>
      <c r="AB1956" s="619" t="str">
        <f t="shared" si="288"/>
        <v>Callejeo -30, Callejeo (Ciudad natal) 10</v>
      </c>
      <c r="AC1956" s="621">
        <f t="shared" si="285"/>
        <v>11</v>
      </c>
      <c r="AD1956" s="618" t="str">
        <f>IF(INDEX($O$1944:$O$1999,MATCH($A13,$AC$1944:$AC$1999,0)),INDEX($AB$1944:$AB$1999,MATCH($A13,$AC$1944:$AC$1999,0)),"")</f>
        <v/>
      </c>
      <c r="AE1956" s="6071"/>
      <c r="AF1956" s="1359">
        <f>Principal!O34</f>
        <v>0</v>
      </c>
      <c r="AH1956" s="2572"/>
    </row>
    <row r="1957" spans="1:34" ht="12.75" customHeight="1" x14ac:dyDescent="0.2">
      <c r="A1957" s="237">
        <v>1957</v>
      </c>
      <c r="B1957" s="5838"/>
      <c r="C1957" s="289" t="str">
        <f>IF(Ki!$P$26="-",", "&amp;Ki!$L$26,"")</f>
        <v/>
      </c>
      <c r="D1957" s="23"/>
      <c r="E1957" s="39"/>
      <c r="G1957" s="336">
        <f>COUNTIF($H$1942:H1957,H1957)</f>
        <v>16</v>
      </c>
      <c r="H1957" s="2582" t="str">
        <f>IF(Principal!G35&lt;&gt;"",Principal!G35,"")</f>
        <v/>
      </c>
      <c r="I1957" s="654" t="str">
        <f t="shared" si="279"/>
        <v/>
      </c>
      <c r="K1957" s="513" t="str">
        <f t="shared" si="280"/>
        <v/>
      </c>
      <c r="L1957" s="23"/>
      <c r="M1957" s="2337"/>
      <c r="N1957" s="2339" t="str">
        <f t="shared" si="286"/>
        <v/>
      </c>
      <c r="O1957" s="892" t="b">
        <f>OR($S$1940,AND(NOT(Etiqueta_final="-"),OR(PDs!T139&gt;4,PDs!W139&gt;0,PDs!X139&gt;0,$G$311&gt;0)))</f>
        <v>0</v>
      </c>
      <c r="P1957" s="618" t="s">
        <v>821</v>
      </c>
      <c r="Q1957" s="617">
        <f>PDs!AA139</f>
        <v>-30</v>
      </c>
      <c r="R1957" s="616" t="str">
        <f>IF(PDs!I139=0,"",P1957&amp;" ("&amp;PDs!I139&amp;")")</f>
        <v/>
      </c>
      <c r="S1957" s="616">
        <f>LEFT(PDs!AG139,2)+LEFT(PDs!AH139,2)</f>
        <v>0</v>
      </c>
      <c r="T1957" s="616" t="str">
        <f>IF(PDs!AI139,MID(PDs!AH139,4,25)&amp;MID(PDs!AG139,4,25),"")</f>
        <v/>
      </c>
      <c r="U1957" s="1277"/>
      <c r="V1957" s="1277"/>
      <c r="W1957" s="616">
        <f t="shared" si="281"/>
        <v>-30</v>
      </c>
      <c r="X1957" s="616" t="str">
        <f t="shared" si="287"/>
        <v/>
      </c>
      <c r="Y1957" s="616" t="str">
        <f t="shared" si="282"/>
        <v/>
      </c>
      <c r="Z1957" s="1277" t="str">
        <f t="shared" si="283"/>
        <v/>
      </c>
      <c r="AA1957" s="616" t="str">
        <f t="shared" si="284"/>
        <v/>
      </c>
      <c r="AB1957" s="616" t="str">
        <f t="shared" si="288"/>
        <v>Etiqueta -30</v>
      </c>
      <c r="AC1957" s="618">
        <f t="shared" si="285"/>
        <v>19</v>
      </c>
      <c r="AD1957" s="618" t="str">
        <f>IF(INDEX($O$1944:$O$1999,MATCH($A14,$AC$1944:$AC$1999,0)),INDEX($AB$1944:$AB$1999,MATCH($A14,$AC$1944:$AC$1999,0)),"")</f>
        <v/>
      </c>
      <c r="AE1957" s="6071"/>
      <c r="AF1957" s="1359">
        <f>Principal!O35</f>
        <v>0</v>
      </c>
      <c r="AH1957" s="2572"/>
    </row>
    <row r="1958" spans="1:34" ht="12.75" customHeight="1" x14ac:dyDescent="0.2">
      <c r="A1958" s="237">
        <v>1958</v>
      </c>
      <c r="B1958" s="5838"/>
      <c r="C1958" s="289" t="str">
        <f>IF(Ki!$P$27="-",", "&amp;Ki!$K$27,"")</f>
        <v/>
      </c>
      <c r="D1958" s="23"/>
      <c r="E1958" s="39"/>
      <c r="G1958" s="336">
        <f>COUNTIF($H$1942:H1958,H1958)</f>
        <v>17</v>
      </c>
      <c r="H1958" s="2582" t="str">
        <f>IF(Principal!G36&lt;&gt;"",Principal!G36,"")</f>
        <v/>
      </c>
      <c r="I1958" s="654" t="str">
        <f t="shared" si="279"/>
        <v/>
      </c>
      <c r="K1958" s="513" t="str">
        <f t="shared" si="280"/>
        <v/>
      </c>
      <c r="L1958" s="23"/>
      <c r="M1958" s="2337"/>
      <c r="N1958" s="2339" t="str">
        <f t="shared" si="286"/>
        <v/>
      </c>
      <c r="O1958" s="892" t="b">
        <f>OR($S$1940,AND(NOT(Advertir_final="-"),OR(PDs!T140&gt;4,PDs!W140&gt;0,PDs!X140&gt;0,$G$311&gt;0)))</f>
        <v>0</v>
      </c>
      <c r="P1958" s="618" t="s">
        <v>1435</v>
      </c>
      <c r="Q1958" s="617">
        <f>PDs!AA140</f>
        <v>-30</v>
      </c>
      <c r="R1958" s="616" t="str">
        <f>IF(PDs!I140=0,"",P1958&amp;" ("&amp;PDs!I140&amp;")")</f>
        <v/>
      </c>
      <c r="S1958" s="616">
        <f>LEFT(PDs!AG140,2)+LEFT(PDs!AH140,2)</f>
        <v>0</v>
      </c>
      <c r="T1958" s="616" t="str">
        <f>IF(PDs!AI140,MID(PDs!AH140,4,25)&amp;MID(PDs!AG140,4,25),"")</f>
        <v/>
      </c>
      <c r="U1958" s="1277"/>
      <c r="V1958" s="1277"/>
      <c r="W1958" s="616">
        <f t="shared" si="281"/>
        <v>-30</v>
      </c>
      <c r="X1958" s="616" t="str">
        <f t="shared" si="287"/>
        <v/>
      </c>
      <c r="Y1958" s="616" t="str">
        <f t="shared" si="282"/>
        <v/>
      </c>
      <c r="Z1958" s="1277" t="str">
        <f t="shared" si="283"/>
        <v/>
      </c>
      <c r="AA1958" s="616" t="str">
        <f t="shared" si="284"/>
        <v/>
      </c>
      <c r="AB1958" s="616" t="str">
        <f t="shared" si="288"/>
        <v>Advertir -30</v>
      </c>
      <c r="AC1958" s="618">
        <f t="shared" si="285"/>
        <v>2</v>
      </c>
      <c r="AD1958" s="618" t="str">
        <f>IF(INDEX($O$1944:$O$1999,MATCH($A15,$AC$1944:$AC$1999,0)),INDEX($AB$1944:$AB$1999,MATCH($A15,$AC$1944:$AC$1999,0)),"")</f>
        <v/>
      </c>
      <c r="AE1958" s="6071"/>
      <c r="AF1958" s="1359">
        <f>Principal!O36</f>
        <v>0</v>
      </c>
      <c r="AH1958" s="2572"/>
    </row>
    <row r="1959" spans="1:34" ht="12.75" customHeight="1" x14ac:dyDescent="0.2">
      <c r="A1959" s="237">
        <v>1959</v>
      </c>
      <c r="B1959" s="5838"/>
      <c r="C1959" s="289" t="str">
        <f>IF(Ki!$P$28="-",", "&amp;Ki!$L$28,"")</f>
        <v/>
      </c>
      <c r="D1959" s="23"/>
      <c r="E1959" s="39"/>
      <c r="G1959" s="336">
        <f>COUNTIF($H$1942:H1959,H1959)</f>
        <v>18</v>
      </c>
      <c r="H1959" s="2582" t="str">
        <f>IF(Principal!G37&lt;&gt;"",Principal!G37,"")</f>
        <v/>
      </c>
      <c r="I1959" s="654" t="str">
        <f t="shared" si="279"/>
        <v/>
      </c>
      <c r="K1959" s="513" t="str">
        <f t="shared" si="280"/>
        <v/>
      </c>
      <c r="L1959" s="23"/>
      <c r="M1959" s="2337"/>
      <c r="N1959" s="2339" t="str">
        <f t="shared" si="286"/>
        <v/>
      </c>
      <c r="O1959" s="892" t="b">
        <f>OR($S$1940,AND(NOT(Buscar_final="-"),OR(PDs!T141&gt;4,PDs!W141&gt;0,PDs!X141&gt;0,$G$311&gt;0)))</f>
        <v>0</v>
      </c>
      <c r="P1959" s="618" t="s">
        <v>1436</v>
      </c>
      <c r="Q1959" s="617">
        <f>PDs!AA141</f>
        <v>-30</v>
      </c>
      <c r="R1959" s="616" t="str">
        <f>IF(PDs!I141=0,"",P1959&amp;" ("&amp;PDs!I141&amp;")")</f>
        <v/>
      </c>
      <c r="S1959" s="616">
        <f>LEFT(PDs!AG141,2)+LEFT(PDs!AH141,2)</f>
        <v>0</v>
      </c>
      <c r="T1959" s="616" t="str">
        <f>IF(PDs!AI141,MID(PDs!AH141,4,25)&amp;MID(PDs!AG141,4,25),"")</f>
        <v/>
      </c>
      <c r="U1959" s="1277"/>
      <c r="V1959" s="1277"/>
      <c r="W1959" s="616">
        <f t="shared" si="281"/>
        <v>-30</v>
      </c>
      <c r="X1959" s="616" t="str">
        <f t="shared" si="287"/>
        <v/>
      </c>
      <c r="Y1959" s="616" t="str">
        <f t="shared" si="282"/>
        <v/>
      </c>
      <c r="Z1959" s="1277" t="str">
        <f t="shared" si="283"/>
        <v/>
      </c>
      <c r="AA1959" s="616" t="str">
        <f t="shared" si="284"/>
        <v/>
      </c>
      <c r="AB1959" s="616" t="str">
        <f t="shared" si="288"/>
        <v>Buscar -30</v>
      </c>
      <c r="AC1959" s="618">
        <f t="shared" si="285"/>
        <v>9</v>
      </c>
      <c r="AD1959" s="618" t="str">
        <f>IF(INDEX($O$1944:$O$1999,MATCH($A16,$AC$1944:$AC$1999,0)),INDEX($AB$1944:$AB$1999,MATCH($A16,$AC$1944:$AC$1999,0)),"")</f>
        <v/>
      </c>
      <c r="AE1959" s="6071"/>
      <c r="AF1959" s="1359">
        <f>Principal!O37</f>
        <v>0</v>
      </c>
      <c r="AH1959" s="2572"/>
    </row>
    <row r="1960" spans="1:34" ht="12.75" customHeight="1" x14ac:dyDescent="0.2">
      <c r="A1960" s="237">
        <v>1960</v>
      </c>
      <c r="B1960" s="5838"/>
      <c r="C1960" s="289" t="str">
        <f>IF(Ki!$P$29="-",", "&amp;Ki!$M$29,"")</f>
        <v/>
      </c>
      <c r="D1960" s="23"/>
      <c r="E1960" s="39"/>
      <c r="G1960" s="336">
        <f>COUNTIF($H$1942:H1960,H1960)</f>
        <v>19</v>
      </c>
      <c r="H1960" s="2582" t="str">
        <f>IF(Principal!G38&lt;&gt;"",Principal!G38,"")</f>
        <v/>
      </c>
      <c r="I1960" s="654" t="str">
        <f t="shared" si="279"/>
        <v/>
      </c>
      <c r="K1960" s="513" t="str">
        <f t="shared" si="280"/>
        <v/>
      </c>
      <c r="L1960" s="23"/>
      <c r="M1960" s="2337"/>
      <c r="N1960" s="2339" t="str">
        <f t="shared" si="286"/>
        <v/>
      </c>
      <c r="O1960" s="892" t="b">
        <f>OR($S$1940,AND(NOT(Rastrear_final="-"),OR(PDs!T142&gt;4,PDs!W142&gt;0,PDs!X142&gt;0,$G$311&gt;0)))</f>
        <v>0</v>
      </c>
      <c r="P1960" s="618" t="s">
        <v>1437</v>
      </c>
      <c r="Q1960" s="617">
        <f>PDs!AA142</f>
        <v>-30</v>
      </c>
      <c r="R1960" s="616" t="str">
        <f>IF(PDs!I142=0,"",P1960&amp;" ("&amp;PDs!I142&amp;")")</f>
        <v/>
      </c>
      <c r="S1960" s="616">
        <f>LEFT(PDs!AG142,2)+LEFT(PDs!AH142,2)</f>
        <v>0</v>
      </c>
      <c r="T1960" s="616" t="str">
        <f>IF(PDs!AI142,MID(PDs!AH142,4,25)&amp;MID(PDs!AG142,4,25),"")</f>
        <v/>
      </c>
      <c r="U1960" s="1277"/>
      <c r="V1960" s="1277"/>
      <c r="W1960" s="616">
        <f t="shared" si="281"/>
        <v>-30</v>
      </c>
      <c r="X1960" s="616" t="str">
        <f t="shared" si="287"/>
        <v/>
      </c>
      <c r="Y1960" s="616" t="str">
        <f t="shared" si="282"/>
        <v/>
      </c>
      <c r="Z1960" s="1277" t="str">
        <f t="shared" si="283"/>
        <v/>
      </c>
      <c r="AA1960" s="616" t="str">
        <f t="shared" si="284"/>
        <v/>
      </c>
      <c r="AB1960" s="616" t="str">
        <f t="shared" si="288"/>
        <v>Rastrear -30</v>
      </c>
      <c r="AC1960" s="618">
        <f t="shared" si="285"/>
        <v>39</v>
      </c>
      <c r="AD1960" s="618" t="str">
        <f>IF(INDEX($O$1944:$O$1999,MATCH($A17,$AC$1944:$AC$1999,0)),INDEX($AB$1944:$AB$1999,MATCH($A17,$AC$1944:$AC$1999,0)),"")</f>
        <v/>
      </c>
      <c r="AE1960" s="6071"/>
      <c r="AF1960" s="1359">
        <f>Principal!O38</f>
        <v>0</v>
      </c>
      <c r="AH1960" s="2572"/>
    </row>
    <row r="1961" spans="1:34" ht="12.75" customHeight="1" x14ac:dyDescent="0.2">
      <c r="A1961" s="237">
        <v>1961</v>
      </c>
      <c r="B1961" s="5838"/>
      <c r="C1961" s="289" t="str">
        <f>IF(Ki!$P$30="-",", "&amp;Ki!$N$30,"")</f>
        <v/>
      </c>
      <c r="D1961" s="23"/>
      <c r="E1961" s="39"/>
      <c r="G1961" s="336">
        <f>COUNTIF($H$1942:H1961,H1961)</f>
        <v>20</v>
      </c>
      <c r="H1961" s="2582" t="str">
        <f>IF(Principal!G39&lt;&gt;"",Principal!G39,"")</f>
        <v/>
      </c>
      <c r="I1961" s="654" t="str">
        <f t="shared" si="279"/>
        <v/>
      </c>
      <c r="K1961" s="513" t="str">
        <f t="shared" si="280"/>
        <v/>
      </c>
      <c r="L1961" s="23"/>
      <c r="M1961" s="2337"/>
      <c r="N1961" s="2339" t="str">
        <f t="shared" si="286"/>
        <v/>
      </c>
      <c r="O1961" s="892" t="b">
        <f>OR($S$1940,AND(NOT(Animales_final="-"),OR(PDs!T143&gt;4,PDs!W143&gt;0,PDs!X143&gt;0,$G$311&gt;0)))</f>
        <v>0</v>
      </c>
      <c r="P1961" s="618" t="s">
        <v>1439</v>
      </c>
      <c r="Q1961" s="617">
        <f>PDs!AA143</f>
        <v>-30</v>
      </c>
      <c r="R1961" s="616" t="str">
        <f>IF(PDs!I143=0,"",P1961&amp;" ("&amp;PDs!I143&amp;")")</f>
        <v/>
      </c>
      <c r="S1961" s="616">
        <f>LEFT(PDs!AG143,2)+LEFT(PDs!AH143,2)</f>
        <v>0</v>
      </c>
      <c r="T1961" s="616" t="str">
        <f>IF(PDs!AI143,MID(PDs!AH143,4,25)&amp;MID(PDs!AG143,4,25),"")</f>
        <v/>
      </c>
      <c r="U1961" s="1277"/>
      <c r="V1961" s="1277"/>
      <c r="W1961" s="616">
        <f t="shared" si="281"/>
        <v>-30</v>
      </c>
      <c r="X1961" s="616" t="str">
        <f t="shared" si="287"/>
        <v/>
      </c>
      <c r="Y1961" s="616" t="str">
        <f t="shared" si="282"/>
        <v/>
      </c>
      <c r="Z1961" s="1277" t="str">
        <f t="shared" si="283"/>
        <v/>
      </c>
      <c r="AA1961" s="616" t="str">
        <f t="shared" si="284"/>
        <v/>
      </c>
      <c r="AB1961" s="616" t="str">
        <f t="shared" si="288"/>
        <v>Animales -30</v>
      </c>
      <c r="AC1961" s="618">
        <f t="shared" si="285"/>
        <v>4</v>
      </c>
      <c r="AD1961" s="618" t="str">
        <f>IF(INDEX($O$1944:$O$1999,MATCH($A18,$AC$1944:$AC$1999,0)),INDEX($AB$1944:$AB$1999,MATCH($A18,$AC$1944:$AC$1999,0)),"")</f>
        <v/>
      </c>
      <c r="AE1961" s="6071"/>
      <c r="AF1961" s="1359">
        <f>Principal!O39</f>
        <v>0</v>
      </c>
      <c r="AH1961" s="2572"/>
    </row>
    <row r="1962" spans="1:34" ht="12.75" customHeight="1" x14ac:dyDescent="0.2">
      <c r="A1962" s="237">
        <v>1962</v>
      </c>
      <c r="B1962" s="5838"/>
      <c r="C1962" s="289" t="str">
        <f>IF(Ki!$P$31="-",", "&amp;Ki!$M$31,"")</f>
        <v/>
      </c>
      <c r="D1962" s="23"/>
      <c r="E1962" s="39"/>
      <c r="G1962" s="336">
        <f>COUNTIF($H$1942:H1962,H1962)</f>
        <v>21</v>
      </c>
      <c r="H1962" s="2582" t="str">
        <f>IF(Principal!G40&lt;&gt;"",Principal!G40,"")</f>
        <v/>
      </c>
      <c r="I1962" s="654" t="str">
        <f t="shared" si="279"/>
        <v/>
      </c>
      <c r="K1962" s="513" t="str">
        <f t="shared" si="280"/>
        <v/>
      </c>
      <c r="L1962" s="23"/>
      <c r="M1962" s="2337"/>
      <c r="N1962" s="2339" t="str">
        <f t="shared" si="286"/>
        <v/>
      </c>
      <c r="O1962" s="892" t="b">
        <f>AND(NOT(Ciencia_final="-"),OR(PDs!T144&gt;4,PDs!W144&gt;0,PDs!X144&gt;0,$G$311&gt;0))</f>
        <v>0</v>
      </c>
      <c r="P1962" s="618" t="s">
        <v>1440</v>
      </c>
      <c r="Q1962" s="617" t="str">
        <f>PDs!AA144</f>
        <v>-</v>
      </c>
      <c r="R1962" s="616" t="str">
        <f>IF(PDs!I144=0,"",P1962&amp;" ("&amp;PDs!I144&amp;")")</f>
        <v/>
      </c>
      <c r="S1962" s="616">
        <f>LEFT(PDs!AG144,2)+LEFT(PDs!AH144,2)</f>
        <v>0</v>
      </c>
      <c r="T1962" s="616" t="str">
        <f>IF(PDs!AI144,MID(PDs!AH144,4,25)&amp;MID(PDs!AG144,4,25),"")</f>
        <v/>
      </c>
      <c r="U1962" s="1277"/>
      <c r="V1962" s="1277"/>
      <c r="W1962" s="616" t="str">
        <f t="shared" si="281"/>
        <v>-</v>
      </c>
      <c r="X1962" s="616" t="str">
        <f t="shared" si="287"/>
        <v/>
      </c>
      <c r="Y1962" s="616" t="str">
        <f t="shared" si="282"/>
        <v/>
      </c>
      <c r="Z1962" s="1277" t="str">
        <f t="shared" si="283"/>
        <v/>
      </c>
      <c r="AA1962" s="616" t="str">
        <f t="shared" si="284"/>
        <v/>
      </c>
      <c r="AB1962" s="616" t="str">
        <f t="shared" si="288"/>
        <v>Ciencia -</v>
      </c>
      <c r="AC1962" s="618">
        <f t="shared" si="285"/>
        <v>13</v>
      </c>
      <c r="AD1962" s="618" t="str">
        <f>IF(INDEX($O$1944:$O$1999,MATCH($A19,$AC$1944:$AC$1999,0)),INDEX($AB$1944:$AB$1999,MATCH($A19,$AC$1944:$AC$1999,0)),"")</f>
        <v/>
      </c>
      <c r="AE1962" s="6071"/>
      <c r="AF1962" s="1359">
        <f>Principal!O40</f>
        <v>0</v>
      </c>
      <c r="AH1962" s="2572"/>
    </row>
    <row r="1963" spans="1:34" ht="12.75" customHeight="1" x14ac:dyDescent="0.2">
      <c r="A1963" s="237">
        <v>1963</v>
      </c>
      <c r="B1963" s="5838"/>
      <c r="C1963" s="289" t="str">
        <f>IF(Ki!$P$32="-",", "&amp;Ki!$K$32,"")</f>
        <v/>
      </c>
      <c r="D1963" s="23"/>
      <c r="E1963" s="39"/>
      <c r="G1963" s="336">
        <f>COUNTIF($H$1942:H1963,H1963)</f>
        <v>22</v>
      </c>
      <c r="H1963" s="2582" t="str">
        <f>IF(Principal!G41&lt;&gt;"",Principal!G41,"")</f>
        <v/>
      </c>
      <c r="I1963" s="654" t="str">
        <f t="shared" si="279"/>
        <v/>
      </c>
      <c r="K1963" s="513" t="str">
        <f t="shared" si="280"/>
        <v/>
      </c>
      <c r="L1963" s="23"/>
      <c r="M1963" s="2337"/>
      <c r="N1963" s="2339" t="str">
        <f t="shared" si="286"/>
        <v/>
      </c>
      <c r="O1963" s="892" t="b">
        <f>OR($S$1940,AND(NOT(Ley_final="-"),OR(PDs!T145&gt;4,PDs!W145&gt;0,PDs!X145&gt;0,$G$311&gt;0)))</f>
        <v>0</v>
      </c>
      <c r="P1963" s="618" t="s">
        <v>2595</v>
      </c>
      <c r="Q1963" s="617">
        <f>PDs!AA145</f>
        <v>-30</v>
      </c>
      <c r="R1963" s="616" t="str">
        <f>IF(PDs!I145=0,"",P1963&amp;" ("&amp;PDs!I145&amp;")")</f>
        <v/>
      </c>
      <c r="S1963" s="616">
        <f>LEFT(PDs!AG145,2)+LEFT(PDs!AH145,2)</f>
        <v>0</v>
      </c>
      <c r="T1963" s="616" t="str">
        <f>IF(PDs!AI145,MID(PDs!AH145,4,25)&amp;MID(PDs!AG145,4,25),"")</f>
        <v/>
      </c>
      <c r="U1963" s="1277"/>
      <c r="V1963" s="1277"/>
      <c r="W1963" s="616">
        <f t="shared" si="281"/>
        <v>-30</v>
      </c>
      <c r="X1963" s="616" t="str">
        <f t="shared" si="287"/>
        <v/>
      </c>
      <c r="Y1963" s="616" t="str">
        <f t="shared" si="282"/>
        <v/>
      </c>
      <c r="Z1963" s="1277" t="str">
        <f t="shared" si="283"/>
        <v/>
      </c>
      <c r="AA1963" s="616" t="str">
        <f t="shared" si="284"/>
        <v/>
      </c>
      <c r="AB1963" s="616" t="str">
        <f t="shared" si="288"/>
        <v>Ley -30</v>
      </c>
      <c r="AC1963" s="618">
        <f t="shared" si="285"/>
        <v>25</v>
      </c>
      <c r="AD1963" s="618" t="str">
        <f>IF(INDEX($O$1944:$O$1999,MATCH($A20,$AC$1944:$AC$1999,0)),INDEX($AB$1944:$AB$1999,MATCH($A20,$AC$1944:$AC$1999,0)),"")</f>
        <v/>
      </c>
      <c r="AE1963" s="6071"/>
      <c r="AF1963" s="1359">
        <f>Principal!O41</f>
        <v>0</v>
      </c>
      <c r="AH1963" s="2572"/>
    </row>
    <row r="1964" spans="1:34" ht="12.75" customHeight="1" x14ac:dyDescent="0.2">
      <c r="A1964" s="237">
        <v>1964</v>
      </c>
      <c r="B1964" s="5838"/>
      <c r="C1964" s="289" t="str">
        <f>IF(Ki!$P$33="-",", "&amp;Ki!$L$33,"")</f>
        <v/>
      </c>
      <c r="D1964" s="23"/>
      <c r="E1964" s="39"/>
      <c r="G1964" s="336">
        <f>COUNTIF($H$1942:H1964,H1964)</f>
        <v>23</v>
      </c>
      <c r="H1964" s="2582" t="str">
        <f>IF(Principal!G42&lt;&gt;"",Principal!G42,"")</f>
        <v/>
      </c>
      <c r="I1964" s="654" t="str">
        <f t="shared" si="279"/>
        <v/>
      </c>
      <c r="K1964" s="513" t="str">
        <f t="shared" si="280"/>
        <v/>
      </c>
      <c r="L1964" s="23"/>
      <c r="M1964" s="2337"/>
      <c r="N1964" s="2339" t="str">
        <f t="shared" si="286"/>
        <v/>
      </c>
      <c r="O1964" s="892" t="b">
        <f>OR($S$1940,AND(NOT(Herbolaria_final="-"),OR(PDs!T146&gt;4,PDs!W146&gt;0,PDs!X146&gt;0,$G$311&gt;0)))</f>
        <v>0</v>
      </c>
      <c r="P1964" s="618" t="s">
        <v>1441</v>
      </c>
      <c r="Q1964" s="617">
        <f>PDs!AA146</f>
        <v>-30</v>
      </c>
      <c r="R1964" s="616" t="str">
        <f>IF(PDs!I146=0,"",P1964&amp;" ("&amp;PDs!I146&amp;")")</f>
        <v/>
      </c>
      <c r="S1964" s="616">
        <f>LEFT(PDs!AG146,2)+LEFT(PDs!AH146,2)</f>
        <v>0</v>
      </c>
      <c r="T1964" s="616" t="str">
        <f>IF(PDs!AI146,MID(PDs!AH146,4,25)&amp;MID(PDs!AG146,4,25),"")</f>
        <v/>
      </c>
      <c r="U1964" s="1277"/>
      <c r="V1964" s="1277"/>
      <c r="W1964" s="616">
        <f t="shared" si="281"/>
        <v>-30</v>
      </c>
      <c r="X1964" s="616" t="str">
        <f t="shared" si="287"/>
        <v/>
      </c>
      <c r="Y1964" s="616" t="str">
        <f t="shared" si="282"/>
        <v/>
      </c>
      <c r="Z1964" s="1277" t="str">
        <f t="shared" si="283"/>
        <v/>
      </c>
      <c r="AA1964" s="616" t="str">
        <f t="shared" si="284"/>
        <v/>
      </c>
      <c r="AB1964" s="616" t="str">
        <f t="shared" si="288"/>
        <v>Herbolaria -30</v>
      </c>
      <c r="AC1964" s="618">
        <f t="shared" si="285"/>
        <v>22</v>
      </c>
      <c r="AD1964" s="618" t="str">
        <f>IF(INDEX($O$1944:$O$1999,MATCH($A21,$AC$1944:$AC$1999,0)),INDEX($AB$1944:$AB$1999,MATCH($A21,$AC$1944:$AC$1999,0)),"")</f>
        <v/>
      </c>
      <c r="AE1964" s="6071"/>
      <c r="AF1964" s="1359">
        <f>Principal!O42</f>
        <v>0</v>
      </c>
      <c r="AH1964" s="2572"/>
    </row>
    <row r="1965" spans="1:34" ht="12.75" customHeight="1" x14ac:dyDescent="0.2">
      <c r="A1965" s="237">
        <v>1965</v>
      </c>
      <c r="B1965" s="5838"/>
      <c r="C1965" s="289" t="str">
        <f>IF(Ki!$P$34="-",", "&amp;Ki!$M$34,"")</f>
        <v/>
      </c>
      <c r="D1965" s="23"/>
      <c r="E1965" s="39"/>
      <c r="G1965" s="336">
        <f>COUNTIF($H$1942:H1965,H1965)</f>
        <v>24</v>
      </c>
      <c r="H1965" s="2582" t="str">
        <f>IF(Principal!G43&lt;&gt;"",Principal!G43,"")</f>
        <v/>
      </c>
      <c r="I1965" s="654" t="str">
        <f t="shared" si="279"/>
        <v/>
      </c>
      <c r="K1965" s="513" t="str">
        <f t="shared" si="280"/>
        <v/>
      </c>
      <c r="L1965" s="23"/>
      <c r="M1965" s="2337"/>
      <c r="N1965" s="2339" t="str">
        <f t="shared" si="286"/>
        <v/>
      </c>
      <c r="O1965" s="893" t="b">
        <f>AND(NOT(Historia_final="-"),OR(PDs!T147&gt;4,PDs!W147&gt;0,PDs!X147&gt;0,$G$311&gt;0))</f>
        <v>0</v>
      </c>
      <c r="P1965" s="621" t="s">
        <v>1443</v>
      </c>
      <c r="Q1965" s="620" t="str">
        <f>PDs!AA147</f>
        <v>-</v>
      </c>
      <c r="R1965" s="619" t="str">
        <f>IF(PDs!I147=0,"",P1965&amp;" ("&amp;PDs!I147&amp;")")</f>
        <v/>
      </c>
      <c r="S1965" s="619">
        <f>LEFT(PDs!AG147,2)+LEFT(PDs!AH147,2)</f>
        <v>0</v>
      </c>
      <c r="T1965" s="619" t="str">
        <f>IF(PDs!AI147,MID(PDs!AH147,4,25)&amp;MID(PDs!AG147,4,25),"")</f>
        <v/>
      </c>
      <c r="U1965" s="1278"/>
      <c r="V1965" s="1278"/>
      <c r="W1965" s="619" t="str">
        <f>IFERROR(Q1965+AF1965+IF(R1965="",0,-80)+IF(T1965="",0,IF(R1965=T1965,IF(AND(Region="Elcia",S1965=50),-20,-S1965),0)),"-")</f>
        <v>-</v>
      </c>
      <c r="X1965" s="619" t="str">
        <f>IFERROR(IF(AND(NOT(R1965=""),R1965=T1965,$P$1940),W1965+S1965+80+IF(AND(Region="Elcia",S1965=50),-30,0),""),"-")</f>
        <v/>
      </c>
      <c r="Y1965" s="619" t="str">
        <f>IFERROR(IF(AND(X1965="",NOT(T1965=""),$P$1940),W1965+S1965+IF(AND(Region="Elcia",S1965=50),-30,0),""),"")</f>
        <v/>
      </c>
      <c r="Z1965" s="1278" t="str">
        <f t="shared" si="283"/>
        <v/>
      </c>
      <c r="AA1965" s="619" t="str">
        <f t="shared" si="284"/>
        <v/>
      </c>
      <c r="AB1965" s="619" t="str">
        <f t="shared" si="288"/>
        <v>Historia -</v>
      </c>
      <c r="AC1965" s="621">
        <f t="shared" si="285"/>
        <v>23</v>
      </c>
      <c r="AD1965" s="618" t="str">
        <f>IF(INDEX($O$1944:$O$1999,MATCH($A22,$AC$1944:$AC$1999,0)),INDEX($AB$1944:$AB$1999,MATCH($A22,$AC$1944:$AC$1999,0)),"")</f>
        <v/>
      </c>
      <c r="AE1965" s="6071"/>
      <c r="AF1965" s="1359">
        <f>Principal!O43</f>
        <v>0</v>
      </c>
      <c r="AH1965" s="2572"/>
    </row>
    <row r="1966" spans="1:34" ht="12.75" customHeight="1" x14ac:dyDescent="0.2">
      <c r="A1966" s="237">
        <v>1966</v>
      </c>
      <c r="B1966" s="5838"/>
      <c r="C1966" s="289" t="str">
        <f>IF(Ki!$P$35="-",", "&amp;Ki!$N$35,"")</f>
        <v/>
      </c>
      <c r="D1966" s="23"/>
      <c r="E1966" s="39"/>
      <c r="G1966" s="336">
        <f>COUNTIF($H$1942:H1966,H1966)</f>
        <v>25</v>
      </c>
      <c r="H1966" s="2582" t="str">
        <f>IF(Principal!G44&lt;&gt;"",Principal!G44,"")</f>
        <v/>
      </c>
      <c r="I1966" s="654" t="str">
        <f t="shared" si="279"/>
        <v/>
      </c>
      <c r="K1966" s="513" t="str">
        <f t="shared" si="280"/>
        <v/>
      </c>
      <c r="L1966" s="23"/>
      <c r="M1966" s="2337"/>
      <c r="N1966" s="2339" t="str">
        <f t="shared" si="286"/>
        <v/>
      </c>
      <c r="O1966" s="892" t="b">
        <f>OR($S$1940,AND(NOT(Tactica_final="-"),OR(PDs!T148&gt;4,PDs!W148&gt;0,PDs!X148&gt;0,$G$311&gt;0)))</f>
        <v>0</v>
      </c>
      <c r="P1966" s="618" t="s">
        <v>822</v>
      </c>
      <c r="Q1966" s="617">
        <f>PDs!AA148</f>
        <v>-30</v>
      </c>
      <c r="R1966" s="616" t="str">
        <f>IF(PDs!I148=0,"",P1966&amp;" ("&amp;PDs!I148&amp;")")</f>
        <v/>
      </c>
      <c r="S1966" s="616">
        <f>LEFT(PDs!AG148,2)+LEFT(PDs!AH148,2)</f>
        <v>0</v>
      </c>
      <c r="T1966" s="616" t="str">
        <f>IF(PDs!AI148,MID(PDs!AH148,4,25)&amp;MID(PDs!AG148,4,25),"")</f>
        <v/>
      </c>
      <c r="U1966" s="1277"/>
      <c r="V1966" s="1277"/>
      <c r="W1966" s="616">
        <f t="shared" ref="W1966:W1991" si="289">IFERROR(Q1966+AF1966+IF(R1966="",0,-80)+IF(T1966="",0,IF(R1966=T1966,-S1966,0)),"-")</f>
        <v>-30</v>
      </c>
      <c r="X1966" s="616" t="str">
        <f t="shared" ref="X1966:X1991" si="290">IFERROR(IF(AND(NOT(R1966=""),R1966=T1966,$P$1940),W1966+S1966+80,""),"-")</f>
        <v/>
      </c>
      <c r="Y1966" s="616" t="str">
        <f t="shared" ref="Y1966:Y1999" si="291">IFERROR(IF(AND(X1966="",NOT(T1966=""),$P$1940),W1966+S1966,""),"")</f>
        <v/>
      </c>
      <c r="Z1966" s="1277" t="str">
        <f t="shared" si="283"/>
        <v/>
      </c>
      <c r="AA1966" s="616" t="str">
        <f t="shared" si="284"/>
        <v/>
      </c>
      <c r="AB1966" s="616" t="str">
        <f t="shared" si="288"/>
        <v>Tactica -30</v>
      </c>
      <c r="AC1966" s="618">
        <f t="shared" si="285"/>
        <v>51</v>
      </c>
      <c r="AD1966" s="618" t="str">
        <f>IF(INDEX($O$1944:$O$1999,MATCH($A23,$AC$1944:$AC$1999,0)),INDEX($AB$1944:$AB$1999,MATCH($A23,$AC$1944:$AC$1999,0)),"")</f>
        <v/>
      </c>
      <c r="AE1966" s="6071"/>
      <c r="AF1966" s="1359">
        <f>Principal!O44</f>
        <v>0</v>
      </c>
      <c r="AH1966" s="2572"/>
    </row>
    <row r="1967" spans="1:34" ht="12.75" customHeight="1" x14ac:dyDescent="0.2">
      <c r="A1967" s="237">
        <v>1967</v>
      </c>
      <c r="B1967" s="5838"/>
      <c r="C1967" s="289" t="str">
        <f>IF(Extensióndelauraalarma,", "&amp;Ki!$L$36,"")</f>
        <v/>
      </c>
      <c r="D1967" s="23"/>
      <c r="E1967" s="39"/>
      <c r="G1967" s="336">
        <f>COUNTIF($H$1942:H1967,H1967)</f>
        <v>26</v>
      </c>
      <c r="H1967" s="2582" t="str">
        <f>IF(Principal!G45&lt;&gt;"",Principal!G45,"")</f>
        <v/>
      </c>
      <c r="I1967" s="654" t="str">
        <f t="shared" si="279"/>
        <v/>
      </c>
      <c r="K1967" s="513" t="str">
        <f t="shared" si="280"/>
        <v/>
      </c>
      <c r="L1967" s="23"/>
      <c r="M1967" s="2337"/>
      <c r="N1967" s="2339" t="str">
        <f t="shared" si="286"/>
        <v/>
      </c>
      <c r="O1967" s="892" t="b">
        <f>AND(NOT(Medicina_final="-"),OR(PDs!T149&gt;4,PDs!W149&gt;0,PDs!X149&gt;0,$G$311&gt;0))</f>
        <v>0</v>
      </c>
      <c r="P1967" s="618" t="s">
        <v>1446</v>
      </c>
      <c r="Q1967" s="617" t="str">
        <f>PDs!AA149</f>
        <v>-</v>
      </c>
      <c r="R1967" s="616" t="str">
        <f>IF(PDs!I149=0,"",P1967&amp;" ("&amp;PDs!I149&amp;")")</f>
        <v/>
      </c>
      <c r="S1967" s="616">
        <f>LEFT(PDs!AG149,2)+LEFT(PDs!AH149,2)</f>
        <v>0</v>
      </c>
      <c r="T1967" s="616" t="str">
        <f>IF(PDs!AI149,MID(PDs!AH149,4,25)&amp;MID(PDs!AG149,4,25),"")</f>
        <v/>
      </c>
      <c r="U1967" s="1277"/>
      <c r="V1967" s="1277"/>
      <c r="W1967" s="616" t="str">
        <f t="shared" si="289"/>
        <v>-</v>
      </c>
      <c r="X1967" s="616" t="str">
        <f t="shared" si="290"/>
        <v/>
      </c>
      <c r="Y1967" s="616" t="str">
        <f t="shared" si="291"/>
        <v/>
      </c>
      <c r="Z1967" s="1277" t="str">
        <f t="shared" si="283"/>
        <v/>
      </c>
      <c r="AA1967" s="616" t="str">
        <f t="shared" si="284"/>
        <v/>
      </c>
      <c r="AB1967" s="616" t="str">
        <f t="shared" si="288"/>
        <v>Medicina -</v>
      </c>
      <c r="AC1967" s="618">
        <f t="shared" si="285"/>
        <v>27</v>
      </c>
      <c r="AD1967" s="618" t="str">
        <f>IF(INDEX($O$1944:$O$1999,MATCH($A24,$AC$1944:$AC$1999,0)),INDEX($AB$1944:$AB$1999,MATCH($A24,$AC$1944:$AC$1999,0)),"")</f>
        <v/>
      </c>
      <c r="AE1967" s="6071"/>
      <c r="AF1967" s="1359">
        <f>Principal!O45</f>
        <v>0</v>
      </c>
      <c r="AH1967" s="2572"/>
    </row>
    <row r="1968" spans="1:34" ht="12.75" customHeight="1" x14ac:dyDescent="0.2">
      <c r="A1968" s="237">
        <v>1968</v>
      </c>
      <c r="B1968" s="5838"/>
      <c r="C1968" s="289" t="str">
        <f>IF(Ki!$P$37="-",", "&amp;Ki!$M$37&amp;IF(COUNTA(Ki!$Y$22:$AJ$22)=0,""," ("&amp;Ki!Y$22&amp;IF(Ki!AA$22="","",", "&amp;Ki!AA$22)&amp;IF(Ki!AC$22="","",", "&amp;Ki!AC$22)&amp;IF(Ki!AE$22="","",", "&amp;Ki!AE$22)&amp;IF(Ki!AG$22="","",", "&amp;Ki!AG$22)&amp;IF(Ki!AI$22="","",", "&amp;Ki!AI$22)&amp;")"),"")</f>
        <v/>
      </c>
      <c r="D1968" s="23"/>
      <c r="E1968" s="39"/>
      <c r="G1968" s="336">
        <f>COUNTIF($H$1942:H1968,H1968)</f>
        <v>27</v>
      </c>
      <c r="H1968" s="2582" t="str">
        <f>IF(Principal!G46&lt;&gt;"",Principal!G46,"")</f>
        <v/>
      </c>
      <c r="I1968" s="654" t="str">
        <f t="shared" si="279"/>
        <v/>
      </c>
      <c r="K1968" s="513" t="str">
        <f t="shared" si="280"/>
        <v/>
      </c>
      <c r="L1968" s="23"/>
      <c r="M1968" s="2337"/>
      <c r="N1968" s="2339" t="str">
        <f t="shared" si="286"/>
        <v/>
      </c>
      <c r="O1968" s="892" t="b">
        <f>OR($S$1940,AND(NOT(Memorizar_final="-"),OR(PDs!T150&gt;4,PDs!W150&gt;0,PDs!X150&gt;0,$G$311&gt;0)))</f>
        <v>0</v>
      </c>
      <c r="P1968" s="618" t="s">
        <v>1447</v>
      </c>
      <c r="Q1968" s="617">
        <f>PDs!AA150</f>
        <v>-30</v>
      </c>
      <c r="R1968" s="616" t="str">
        <f>IF(PDs!I150=0,"",P1968&amp;" ("&amp;PDs!I150&amp;")")</f>
        <v/>
      </c>
      <c r="S1968" s="616">
        <f>LEFT(PDs!AG150,2)+LEFT(PDs!AH150,2)</f>
        <v>0</v>
      </c>
      <c r="T1968" s="616" t="str">
        <f>IF(PDs!AI150,MID(PDs!AH150,4,25)&amp;MID(PDs!AG150,4,25),"")</f>
        <v/>
      </c>
      <c r="U1968" s="1277"/>
      <c r="V1968" s="1277"/>
      <c r="W1968" s="616">
        <f t="shared" si="289"/>
        <v>-30</v>
      </c>
      <c r="X1968" s="616" t="str">
        <f t="shared" si="290"/>
        <v/>
      </c>
      <c r="Y1968" s="616" t="str">
        <f t="shared" si="291"/>
        <v/>
      </c>
      <c r="Z1968" s="1277" t="str">
        <f t="shared" si="283"/>
        <v/>
      </c>
      <c r="AA1968" s="616" t="str">
        <f t="shared" si="284"/>
        <v/>
      </c>
      <c r="AB1968" s="616" t="str">
        <f t="shared" si="288"/>
        <v>Memorizar -30</v>
      </c>
      <c r="AC1968" s="618">
        <f t="shared" si="285"/>
        <v>28</v>
      </c>
      <c r="AD1968" s="618" t="str">
        <f>IF(INDEX($O$1944:$O$1999,MATCH($A25,$AC$1944:$AC$1999,0)),INDEX($AB$1944:$AB$1999,MATCH($A25,$AC$1944:$AC$1999,0)),"")</f>
        <v/>
      </c>
      <c r="AE1968" s="6071"/>
      <c r="AF1968" s="1359">
        <f>Principal!O46</f>
        <v>0</v>
      </c>
      <c r="AH1968" s="2572"/>
    </row>
    <row r="1969" spans="1:34" ht="12.75" customHeight="1" x14ac:dyDescent="0.2">
      <c r="A1969" s="237">
        <v>1969</v>
      </c>
      <c r="B1969" s="5838"/>
      <c r="C1969" s="289" t="str">
        <f>IF(Ki!$P$38="-",", "&amp;Ki!$M$38,"")</f>
        <v/>
      </c>
      <c r="D1969" s="23"/>
      <c r="E1969" s="39"/>
      <c r="G1969" s="336">
        <f>COUNTIF($H$1942:H1969,H1969)</f>
        <v>28</v>
      </c>
      <c r="H1969" s="2582" t="str">
        <f>IF(Principal!G47&lt;&gt;"",Principal!G47,"")</f>
        <v/>
      </c>
      <c r="I1969" s="654" t="str">
        <f t="shared" si="279"/>
        <v/>
      </c>
      <c r="K1969" s="513" t="str">
        <f t="shared" si="280"/>
        <v/>
      </c>
      <c r="L1969" s="23"/>
      <c r="M1969" s="2337"/>
      <c r="N1969" s="2339" t="str">
        <f t="shared" si="286"/>
        <v/>
      </c>
      <c r="O1969" s="892" t="b">
        <f>OR($S$1940,AND(NOT(Navegación_final="-"),OR(PDs!T151&gt;4,PDs!W151&gt;0,PDs!X151&gt;0,$G$311&gt;0)))</f>
        <v>0</v>
      </c>
      <c r="P1969" s="618" t="s">
        <v>1448</v>
      </c>
      <c r="Q1969" s="617">
        <f>PDs!AA151</f>
        <v>-30</v>
      </c>
      <c r="R1969" s="616" t="str">
        <f>IF(PDs!I151=0,"",P1969&amp;" ("&amp;PDs!I151&amp;")")</f>
        <v/>
      </c>
      <c r="S1969" s="616">
        <f>LEFT(PDs!AG151,2)+LEFT(PDs!AH151,2)</f>
        <v>0</v>
      </c>
      <c r="T1969" s="616" t="str">
        <f>IF(PDs!AI151,MID(PDs!AH151,4,25)&amp;MID(PDs!AG151,4,25),"")</f>
        <v/>
      </c>
      <c r="U1969" s="1277"/>
      <c r="V1969" s="1277"/>
      <c r="W1969" s="616">
        <f t="shared" si="289"/>
        <v>-30</v>
      </c>
      <c r="X1969" s="616" t="str">
        <f t="shared" si="290"/>
        <v/>
      </c>
      <c r="Y1969" s="616" t="str">
        <f t="shared" si="291"/>
        <v/>
      </c>
      <c r="Z1969" s="1277" t="str">
        <f t="shared" si="283"/>
        <v/>
      </c>
      <c r="AA1969" s="616" t="str">
        <f t="shared" si="284"/>
        <v/>
      </c>
      <c r="AB1969" s="616" t="str">
        <f t="shared" si="288"/>
        <v>Navegación -30</v>
      </c>
      <c r="AC1969" s="618">
        <f t="shared" si="285"/>
        <v>32</v>
      </c>
      <c r="AD1969" s="618" t="str">
        <f>IF(INDEX($O$1944:$O$1999,MATCH($A26,$AC$1944:$AC$1999,0)),INDEX($AB$1944:$AB$1999,MATCH($A26,$AC$1944:$AC$1999,0)),"")</f>
        <v/>
      </c>
      <c r="AE1969" s="6071"/>
      <c r="AF1969" s="1359">
        <f>Principal!O47</f>
        <v>0</v>
      </c>
      <c r="AH1969" s="2572"/>
    </row>
    <row r="1970" spans="1:34" ht="12.75" customHeight="1" x14ac:dyDescent="0.2">
      <c r="A1970" s="237">
        <v>1970</v>
      </c>
      <c r="B1970" s="5838"/>
      <c r="C1970" s="289" t="str">
        <f>IF(Ki!$P$39="-",", "&amp;Ki!$M$39,"")</f>
        <v/>
      </c>
      <c r="D1970" s="23"/>
      <c r="E1970" s="39"/>
      <c r="G1970" s="336">
        <f>COUNTIF($H$1942:H1970,H1970)</f>
        <v>29</v>
      </c>
      <c r="H1970" s="2582" t="str">
        <f>IF(Principal!C51&lt;&gt;"",Principal!C51,"")</f>
        <v/>
      </c>
      <c r="I1970" s="654" t="str">
        <f t="shared" si="279"/>
        <v/>
      </c>
      <c r="K1970" s="513" t="str">
        <f t="shared" si="280"/>
        <v/>
      </c>
      <c r="L1970" s="23"/>
      <c r="M1970" s="2337"/>
      <c r="N1970" s="2339" t="str">
        <f t="shared" si="286"/>
        <v/>
      </c>
      <c r="O1970" s="892" t="b">
        <f>OR($S$1940,AND(NOT(Ocultismo_final="-"),OR(PDs!T152&gt;4,PDs!W152&gt;0,PDs!X152&gt;0,$G$311&gt;0)))</f>
        <v>0</v>
      </c>
      <c r="P1970" s="618" t="s">
        <v>1449</v>
      </c>
      <c r="Q1970" s="617">
        <f>PDs!AA152</f>
        <v>-30</v>
      </c>
      <c r="R1970" s="616" t="str">
        <f>IF(PDs!I152=0,"",P1970&amp;" ("&amp;PDs!I152&amp;")")</f>
        <v/>
      </c>
      <c r="S1970" s="616">
        <f>LEFT(PDs!AG152,2)+LEFT(PDs!AH152,2)</f>
        <v>0</v>
      </c>
      <c r="T1970" s="616" t="str">
        <f>IF(PDs!AI152,MID(PDs!AH152,4,25)&amp;MID(PDs!AG152,4,25),"")</f>
        <v/>
      </c>
      <c r="U1970" s="1277"/>
      <c r="V1970" s="1277"/>
      <c r="W1970" s="616">
        <f t="shared" si="289"/>
        <v>-30</v>
      </c>
      <c r="X1970" s="616" t="str">
        <f t="shared" si="290"/>
        <v/>
      </c>
      <c r="Y1970" s="616" t="str">
        <f t="shared" si="291"/>
        <v/>
      </c>
      <c r="Z1970" s="1277" t="str">
        <f t="shared" si="283"/>
        <v/>
      </c>
      <c r="AA1970" s="616" t="str">
        <f t="shared" si="284"/>
        <v/>
      </c>
      <c r="AB1970" s="616" t="str">
        <f t="shared" si="288"/>
        <v>Ocultismo -30</v>
      </c>
      <c r="AC1970" s="618">
        <f t="shared" si="285"/>
        <v>34</v>
      </c>
      <c r="AD1970" s="618" t="str">
        <f>IF(INDEX($O$1944:$O$1999,MATCH($A27,$AC$1944:$AC$1999,0)),INDEX($AB$1944:$AB$1999,MATCH($A27,$AC$1944:$AC$1999,0)),"")</f>
        <v/>
      </c>
      <c r="AE1970" s="6071"/>
      <c r="AF1970" s="1359">
        <f>Principal!O48</f>
        <v>0</v>
      </c>
      <c r="AH1970" s="2572"/>
    </row>
    <row r="1971" spans="1:34" ht="12.75" customHeight="1" x14ac:dyDescent="0.2">
      <c r="A1971" s="237">
        <v>1971</v>
      </c>
      <c r="B1971" s="5838"/>
      <c r="C1971" s="289" t="str">
        <f>IF(Ki!$P$40="-",", "&amp;Ki!$M$40,"")</f>
        <v/>
      </c>
      <c r="D1971" s="23"/>
      <c r="E1971" s="39"/>
      <c r="G1971" s="336">
        <f>COUNTIF($H$1942:H1971,H1971)</f>
        <v>30</v>
      </c>
      <c r="H1971" s="2582" t="str">
        <f>IF(Principal!C52&lt;&gt;"",Principal!C52,"")</f>
        <v/>
      </c>
      <c r="I1971" s="654" t="str">
        <f t="shared" si="279"/>
        <v/>
      </c>
      <c r="K1971" s="513" t="str">
        <f t="shared" si="280"/>
        <v/>
      </c>
      <c r="L1971" s="23"/>
      <c r="M1971" s="2337"/>
      <c r="N1971" s="2339" t="str">
        <f t="shared" si="286"/>
        <v/>
      </c>
      <c r="O1971" s="892" t="b">
        <f>AND(NOT(Tasación_final="-"),OR(PDs!T153&gt;4,PDs!W153&gt;0,PDs!X153&gt;0,$G$311&gt;0))</f>
        <v>0</v>
      </c>
      <c r="P1971" s="618" t="s">
        <v>1450</v>
      </c>
      <c r="Q1971" s="617" t="str">
        <f>PDs!AA153</f>
        <v>-</v>
      </c>
      <c r="R1971" s="616" t="str">
        <f>IF(PDs!I153=0,"",P1971&amp;" ("&amp;PDs!I153&amp;")")</f>
        <v/>
      </c>
      <c r="S1971" s="616">
        <f>LEFT(PDs!AG153,2)+LEFT(PDs!AH153,2)</f>
        <v>0</v>
      </c>
      <c r="T1971" s="616" t="str">
        <f>IF(PDs!AI153,MID(PDs!AH153,4,25)&amp;MID(PDs!AG153,4,25),"")</f>
        <v/>
      </c>
      <c r="U1971" s="1277"/>
      <c r="V1971" s="1277"/>
      <c r="W1971" s="616" t="str">
        <f t="shared" si="289"/>
        <v>-</v>
      </c>
      <c r="X1971" s="616" t="str">
        <f t="shared" si="290"/>
        <v/>
      </c>
      <c r="Y1971" s="616" t="str">
        <f t="shared" si="291"/>
        <v/>
      </c>
      <c r="Z1971" s="1277" t="str">
        <f t="shared" si="283"/>
        <v/>
      </c>
      <c r="AA1971" s="616" t="str">
        <f t="shared" si="284"/>
        <v/>
      </c>
      <c r="AB1971" s="616" t="str">
        <f t="shared" si="288"/>
        <v>Tasación -</v>
      </c>
      <c r="AC1971" s="618">
        <f t="shared" si="285"/>
        <v>52</v>
      </c>
      <c r="AD1971" s="618" t="str">
        <f>IF(INDEX($O$1944:$O$1999,MATCH($A28,$AC$1944:$AC$1999,0)),INDEX($AB$1944:$AB$1999,MATCH($A28,$AC$1944:$AC$1999,0)),"")</f>
        <v/>
      </c>
      <c r="AE1971" s="6071"/>
      <c r="AF1971" s="1359">
        <f>Principal!O49</f>
        <v>0</v>
      </c>
      <c r="AH1971" s="2572"/>
    </row>
    <row r="1972" spans="1:34" ht="12.75" customHeight="1" thickBot="1" x14ac:dyDescent="0.25">
      <c r="A1972" s="237">
        <v>1972</v>
      </c>
      <c r="B1972" s="5838"/>
      <c r="C1972" s="289" t="str">
        <f>IF(Ki!$P$41="-",", "&amp;Ki!$L$41,"")</f>
        <v/>
      </c>
      <c r="D1972" s="23"/>
      <c r="E1972" s="39"/>
      <c r="G1972" s="703">
        <f>COUNTIF($H$1942:H1972,H1972)</f>
        <v>31</v>
      </c>
      <c r="H1972" s="338" t="str">
        <f>IF(Principal!C53&lt;&gt;"",Principal!C53,"")</f>
        <v/>
      </c>
      <c r="I1972" s="655" t="str">
        <f t="shared" si="279"/>
        <v/>
      </c>
      <c r="K1972" s="513" t="str">
        <f t="shared" si="280"/>
        <v/>
      </c>
      <c r="L1972" s="23"/>
      <c r="M1972" s="2337"/>
      <c r="N1972" s="2339" t="str">
        <f t="shared" si="286"/>
        <v/>
      </c>
      <c r="O1972" s="892" t="b">
        <f>AND(NOT(V.Mágica_final="-"),OR(PDs!T154&gt;4,PDs!W154&gt;0,PDs!X154&gt;0,$G$311&gt;0))</f>
        <v>0</v>
      </c>
      <c r="P1972" s="618" t="s">
        <v>1451</v>
      </c>
      <c r="Q1972" s="617" t="str">
        <f>PDs!AA154</f>
        <v>-</v>
      </c>
      <c r="R1972" s="616" t="str">
        <f>IF(PDs!I154=0,"",P1972&amp;" ("&amp;PDs!I154&amp;")")</f>
        <v/>
      </c>
      <c r="S1972" s="616">
        <f>LEFT(PDs!AG154,2)+LEFT(PDs!AH154,2)</f>
        <v>0</v>
      </c>
      <c r="T1972" s="616" t="str">
        <f>IF(PDs!AI154,MID(PDs!AH154,4,25)&amp;MID(PDs!AG154,4,25),"")</f>
        <v/>
      </c>
      <c r="U1972" s="1277"/>
      <c r="V1972" s="1277"/>
      <c r="W1972" s="616" t="str">
        <f t="shared" si="289"/>
        <v>-</v>
      </c>
      <c r="X1972" s="616" t="str">
        <f t="shared" si="290"/>
        <v/>
      </c>
      <c r="Y1972" s="616" t="str">
        <f t="shared" si="291"/>
        <v/>
      </c>
      <c r="Z1972" s="1277" t="str">
        <f t="shared" si="283"/>
        <v/>
      </c>
      <c r="AA1972" s="616" t="str">
        <f t="shared" si="284"/>
        <v/>
      </c>
      <c r="AB1972" s="616" t="str">
        <f t="shared" si="288"/>
        <v>V. Mágica -</v>
      </c>
      <c r="AC1972" s="618">
        <f t="shared" si="285"/>
        <v>55</v>
      </c>
      <c r="AD1972" s="618" t="str">
        <f>IF(INDEX($O$1944:$O$1999,MATCH($A29,$AC$1944:$AC$1999,0)),INDEX($AB$1944:$AB$1999,MATCH($A29,$AC$1944:$AC$1999,0)),"")</f>
        <v/>
      </c>
      <c r="AE1972" s="6071"/>
      <c r="AF1972" s="1359">
        <f>Principal!O50</f>
        <v>0</v>
      </c>
      <c r="AH1972" s="2572"/>
    </row>
    <row r="1973" spans="1:34" ht="12.75" customHeight="1" x14ac:dyDescent="0.2">
      <c r="A1973" s="237">
        <v>1973</v>
      </c>
      <c r="B1973" s="5838"/>
      <c r="C1973" s="289" t="str">
        <f>IF(Ki!$P$42="-",", "&amp;Ki!$L$42,"")</f>
        <v/>
      </c>
      <c r="D1973" s="23"/>
      <c r="E1973" s="39"/>
      <c r="H1973"/>
      <c r="K1973" s="513" t="str">
        <f t="shared" si="280"/>
        <v/>
      </c>
      <c r="L1973" s="23"/>
      <c r="M1973" s="2337"/>
      <c r="N1973" s="2339" t="str">
        <f t="shared" si="286"/>
        <v/>
      </c>
      <c r="O1973" s="892" t="b">
        <f>OR($S$1940,AND(NOT(Frialdad_final="-"),OR(PDs!T155&gt;4,PDs!W155&gt;0,PDs!X155&gt;0,$G$311&gt;0)))</f>
        <v>0</v>
      </c>
      <c r="P1973" s="618" t="s">
        <v>1453</v>
      </c>
      <c r="Q1973" s="617">
        <f>PDs!AA155</f>
        <v>-30</v>
      </c>
      <c r="R1973" s="616" t="str">
        <f>IF(PDs!I155=0,"",P1973&amp;" ("&amp;PDs!I155&amp;")")</f>
        <v/>
      </c>
      <c r="S1973" s="616">
        <f>LEFT(PDs!AG155,2)+LEFT(PDs!AH155,2)</f>
        <v>0</v>
      </c>
      <c r="T1973" s="616" t="str">
        <f>IF(PDs!AI155,MID(PDs!AH155,4,25)&amp;MID(PDs!AG155,4,25),"")</f>
        <v/>
      </c>
      <c r="U1973" s="1277"/>
      <c r="V1973" s="1277"/>
      <c r="W1973" s="616">
        <f t="shared" si="289"/>
        <v>-30</v>
      </c>
      <c r="X1973" s="616" t="str">
        <f t="shared" si="290"/>
        <v/>
      </c>
      <c r="Y1973" s="616" t="str">
        <f t="shared" si="291"/>
        <v/>
      </c>
      <c r="Z1973" s="1277" t="str">
        <f t="shared" si="283"/>
        <v/>
      </c>
      <c r="AA1973" s="616" t="str">
        <f t="shared" si="284"/>
        <v/>
      </c>
      <c r="AB1973" s="616" t="str">
        <f t="shared" si="288"/>
        <v>Frialdad -30</v>
      </c>
      <c r="AC1973" s="618">
        <f t="shared" si="285"/>
        <v>21</v>
      </c>
      <c r="AD1973" s="618" t="str">
        <f>IF(INDEX($O$1944:$O$1999,MATCH($A30,$AC$1944:$AC$1999,0)),INDEX($AB$1944:$AB$1999,MATCH($A30,$AC$1944:$AC$1999,0)),"")</f>
        <v/>
      </c>
      <c r="AE1973" s="6071"/>
      <c r="AF1973" s="1359">
        <f>Principal!O51</f>
        <v>0</v>
      </c>
      <c r="AH1973" s="2572"/>
    </row>
    <row r="1974" spans="1:34" ht="12.75" customHeight="1" thickBot="1" x14ac:dyDescent="0.25">
      <c r="A1974" s="237">
        <v>1974</v>
      </c>
      <c r="B1974" s="5838"/>
      <c r="C1974" s="289" t="str">
        <f>IF(Ki!$P$43="-",", "&amp;Ki!$L$43,"")</f>
        <v/>
      </c>
      <c r="D1974" s="23"/>
      <c r="E1974" s="39"/>
      <c r="G1974" s="6009" t="s">
        <v>9888</v>
      </c>
      <c r="H1974" s="6011"/>
      <c r="I1974" s="6010"/>
      <c r="K1974" s="513" t="str">
        <f t="shared" si="280"/>
        <v/>
      </c>
      <c r="L1974" s="23"/>
      <c r="M1974" s="2337"/>
      <c r="N1974" s="2339" t="str">
        <f t="shared" si="286"/>
        <v/>
      </c>
      <c r="O1974" s="892" t="b">
        <f>OR($S$1940,AND(NOT(P.Fuerza_final="-"),OR(PDs!T156&gt;4,PDs!W156&gt;0,PDs!X156&gt;0,$G$311&gt;0)))</f>
        <v>0</v>
      </c>
      <c r="P1974" s="618" t="s">
        <v>1454</v>
      </c>
      <c r="Q1974" s="617">
        <f>PDs!AA156</f>
        <v>-30</v>
      </c>
      <c r="R1974" s="616" t="str">
        <f>IF(PDs!I156=0,"",P1974&amp;" ("&amp;PDs!I156&amp;")")</f>
        <v/>
      </c>
      <c r="S1974" s="616">
        <f>LEFT(PDs!AG156,2)+LEFT(PDs!AH156,2)</f>
        <v>0</v>
      </c>
      <c r="T1974" s="616" t="str">
        <f>IF(PDs!AI156,MID(PDs!AH156,4,25)&amp;MID(PDs!AG156,4,25),"")</f>
        <v/>
      </c>
      <c r="U1974" s="1277"/>
      <c r="V1974" s="1277"/>
      <c r="W1974" s="616">
        <f t="shared" si="289"/>
        <v>-30</v>
      </c>
      <c r="X1974" s="616" t="str">
        <f t="shared" si="290"/>
        <v/>
      </c>
      <c r="Y1974" s="616" t="str">
        <f t="shared" si="291"/>
        <v/>
      </c>
      <c r="Z1974" s="1277" t="str">
        <f t="shared" si="283"/>
        <v/>
      </c>
      <c r="AA1974" s="616" t="str">
        <f t="shared" si="284"/>
        <v/>
      </c>
      <c r="AB1974" s="616" t="str">
        <f t="shared" si="288"/>
        <v>P. Fuerza -30</v>
      </c>
      <c r="AC1974" s="618">
        <f t="shared" si="285"/>
        <v>36</v>
      </c>
      <c r="AD1974" s="618" t="str">
        <f>IF(INDEX($O$1944:$O$1999,MATCH($A31,$AC$1944:$AC$1999,0)),INDEX($AB$1944:$AB$1999,MATCH($A31,$AC$1944:$AC$1999,0)),"")</f>
        <v/>
      </c>
      <c r="AE1974" s="6071"/>
      <c r="AF1974" s="1359">
        <f>Principal!O52</f>
        <v>0</v>
      </c>
      <c r="AH1974" s="2572"/>
    </row>
    <row r="1975" spans="1:34" ht="12.75" customHeight="1" x14ac:dyDescent="0.2">
      <c r="A1975" s="237">
        <v>1975</v>
      </c>
      <c r="B1975" s="5838"/>
      <c r="C1975" s="289" t="str">
        <f>IF(Ki!$P$44="-",", "&amp;Ki!$K$44,"")</f>
        <v/>
      </c>
      <c r="D1975" s="23"/>
      <c r="E1975" s="39"/>
      <c r="G1975" s="2585" t="s">
        <v>1444</v>
      </c>
      <c r="H1975" s="2586">
        <v>1</v>
      </c>
      <c r="I1975" s="2587">
        <v>2</v>
      </c>
      <c r="K1975" s="513" t="str">
        <f t="shared" si="280"/>
        <v/>
      </c>
      <c r="L1975" s="23"/>
      <c r="M1975" s="2337"/>
      <c r="N1975" s="2339" t="str">
        <f t="shared" si="286"/>
        <v/>
      </c>
      <c r="O1975" s="892" t="b">
        <f>OR($S$1940,AND(NOT(Res.Dolor_final="-"),OR(PDs!T157&gt;4,PDs!W157&gt;0,PDs!X157&gt;0,$G$311&gt;0)))</f>
        <v>0</v>
      </c>
      <c r="P1975" s="618" t="s">
        <v>1457</v>
      </c>
      <c r="Q1975" s="617">
        <f>PDs!AA157</f>
        <v>-30</v>
      </c>
      <c r="R1975" s="616" t="str">
        <f>IF(PDs!I157=0,"",P1975&amp;" ("&amp;PDs!I157&amp;")")</f>
        <v/>
      </c>
      <c r="S1975" s="616">
        <f>LEFT(PDs!AG157,2)+LEFT(PDs!AH157,2)</f>
        <v>0</v>
      </c>
      <c r="T1975" s="616" t="str">
        <f>IF(PDs!AI157,MID(PDs!AH157,4,25)&amp;MID(PDs!AG157,4,25),"")</f>
        <v/>
      </c>
      <c r="U1975" s="1277"/>
      <c r="V1975" s="1277"/>
      <c r="W1975" s="616">
        <f t="shared" si="289"/>
        <v>-30</v>
      </c>
      <c r="X1975" s="616" t="str">
        <f t="shared" si="290"/>
        <v/>
      </c>
      <c r="Y1975" s="616" t="str">
        <f t="shared" si="291"/>
        <v/>
      </c>
      <c r="Z1975" s="1277" t="str">
        <f t="shared" si="283"/>
        <v/>
      </c>
      <c r="AA1975" s="616" t="str">
        <f t="shared" si="284"/>
        <v/>
      </c>
      <c r="AB1975" s="616" t="str">
        <f t="shared" si="288"/>
        <v>Res. Dolor -30</v>
      </c>
      <c r="AC1975" s="618">
        <f t="shared" si="285"/>
        <v>40</v>
      </c>
      <c r="AD1975" s="618" t="str">
        <f>IF(INDEX($O$1944:$O$1999,MATCH($A32,$AC$1944:$AC$1999,0)),INDEX($AB$1944:$AB$1999,MATCH($A32,$AC$1944:$AC$1999,0)),"")</f>
        <v/>
      </c>
      <c r="AE1975" s="6071"/>
      <c r="AF1975" s="1359">
        <f>Principal!O53</f>
        <v>0</v>
      </c>
      <c r="AH1975" s="2572"/>
    </row>
    <row r="1976" spans="1:34" ht="12.75" customHeight="1" x14ac:dyDescent="0.2">
      <c r="A1976" s="237">
        <v>1976</v>
      </c>
      <c r="B1976" s="5838"/>
      <c r="C1976" s="289" t="str">
        <f>IF(Ki!$P$45="-",", "&amp;Ki!$L$45,"")</f>
        <v/>
      </c>
      <c r="D1976" s="23"/>
      <c r="E1976" s="39"/>
      <c r="G1976" s="1976" t="str">
        <f>Personalización!J10</f>
        <v>Apto en una materia (1)</v>
      </c>
      <c r="H1976" s="2583" t="str">
        <f>IF($G284&gt;0,Personalización!J10&amp;IF(Personalización!N10&lt;&gt;"",": "&amp;Personalización!N10,IF(Personalización!P10&lt;&gt;"",": "&amp;Personalización!P10,"")),"")</f>
        <v/>
      </c>
      <c r="I1976" s="2584" t="str">
        <f>IF($G284&gt;0,Personalización!J10&amp;IF(AND(Personalización!P10&lt;&gt;"",Personalización!N10&lt;&gt;""),": "&amp;Personalización!P10,""),"")</f>
        <v/>
      </c>
      <c r="K1976" s="513" t="str">
        <f t="shared" ref="K1976:K1999" si="292">IF(AD1976&lt;&gt;"",", "&amp;AD1976,"")</f>
        <v/>
      </c>
      <c r="L1976" s="23"/>
      <c r="M1976" s="2337"/>
      <c r="N1976" s="2339" t="str">
        <f t="shared" si="286"/>
        <v/>
      </c>
      <c r="O1976" s="892" t="b">
        <f>OR($S$1940,AND(NOT(Cerrajería_final="-"),OR(PDs!T158&gt;4,PDs!W158&gt;0,PDs!X158&gt;0,$G$311&gt;0)))</f>
        <v>0</v>
      </c>
      <c r="P1976" s="618" t="s">
        <v>1461</v>
      </c>
      <c r="Q1976" s="617">
        <f>PDs!AA158</f>
        <v>-30</v>
      </c>
      <c r="R1976" s="616" t="str">
        <f>IF(PDs!I158=0,"",P1976&amp;" ("&amp;PDs!I158&amp;")")</f>
        <v/>
      </c>
      <c r="S1976" s="616">
        <f>LEFT(PDs!AG158,2)+LEFT(PDs!AH158,2)</f>
        <v>0</v>
      </c>
      <c r="T1976" s="616" t="str">
        <f>IF(PDs!AI158,MID(PDs!AH158,4,25)&amp;MID(PDs!AG158,4,25),"")</f>
        <v/>
      </c>
      <c r="U1976" s="1277"/>
      <c r="V1976" s="1277"/>
      <c r="W1976" s="616">
        <f t="shared" si="289"/>
        <v>-30</v>
      </c>
      <c r="X1976" s="616" t="str">
        <f t="shared" si="290"/>
        <v/>
      </c>
      <c r="Y1976" s="616" t="str">
        <f t="shared" si="291"/>
        <v/>
      </c>
      <c r="Z1976" s="1277" t="str">
        <f t="shared" ref="Z1976:Z1999" si="293">IFERROR(IF(AND(X1976="",NOT(V1976="")),W1976+U1976,""),"")</f>
        <v/>
      </c>
      <c r="AA1976" s="616" t="str">
        <f t="shared" si="284"/>
        <v/>
      </c>
      <c r="AB1976" s="616" t="str">
        <f t="shared" si="288"/>
        <v>Cerrajería -30</v>
      </c>
      <c r="AC1976" s="618">
        <f t="shared" ref="AC1976:AC1999" si="294">COUNTIF($P$1944:$P$1999,"&lt;="&amp;P1976)</f>
        <v>12</v>
      </c>
      <c r="AD1976" s="618" t="str">
        <f>IF(INDEX($O$1944:$O$1999,MATCH($A33,$AC$1944:$AC$1999,0)),INDEX($AB$1944:$AB$1999,MATCH($A33,$AC$1944:$AC$1999,0)),"")</f>
        <v/>
      </c>
      <c r="AE1976" s="6071"/>
      <c r="AF1976" s="1359">
        <f>Principal!O54</f>
        <v>0</v>
      </c>
      <c r="AH1976" s="2572"/>
    </row>
    <row r="1977" spans="1:34" ht="12.75" customHeight="1" x14ac:dyDescent="0.2">
      <c r="A1977" s="237">
        <v>1977</v>
      </c>
      <c r="B1977" s="5838"/>
      <c r="C1977" s="289" t="str">
        <f>IF(Ki!$P$46="-",", "&amp;Ki!$M$46,"")</f>
        <v/>
      </c>
      <c r="D1977" s="23"/>
      <c r="E1977" s="39"/>
      <c r="G1977" s="1976" t="str">
        <f>Personalización!J11</f>
        <v>Apto en una materia (2)</v>
      </c>
      <c r="H1977" s="2583" t="str">
        <f>IF($G285&gt;0,Personalización!J11&amp;IF(Personalización!N11&lt;&gt;"",": "&amp;Personalización!N11,IF(Personalización!P11&lt;&gt;"",": "&amp;Personalización!P11,"")),"")</f>
        <v/>
      </c>
      <c r="I1977" s="2584" t="str">
        <f>IF($G285&gt;0,Personalización!J11&amp;IF(AND(Personalización!P11&lt;&gt;"",Personalización!N11&lt;&gt;""),": "&amp;Personalización!P11,""),"")</f>
        <v/>
      </c>
      <c r="K1977" s="513" t="str">
        <f t="shared" si="292"/>
        <v/>
      </c>
      <c r="L1977" s="23"/>
      <c r="M1977" s="2337"/>
      <c r="N1977" s="2339" t="str">
        <f t="shared" ref="N1977:N1999" si="295">IF(O1977,", "&amp;AB1977,"")</f>
        <v/>
      </c>
      <c r="O1977" s="892" t="b">
        <f>OR($S$1940,AND(NOT(Disfraz_final="-"),OR(PDs!T159&gt;4,PDs!W159&gt;0,PDs!X159&gt;0,$G$311&gt;0)))</f>
        <v>0</v>
      </c>
      <c r="P1977" s="618" t="s">
        <v>1463</v>
      </c>
      <c r="Q1977" s="617">
        <f>PDs!AA159</f>
        <v>-30</v>
      </c>
      <c r="R1977" s="616" t="str">
        <f>IF(PDs!I159=0,"",P1977&amp;" ("&amp;PDs!I159&amp;")")</f>
        <v/>
      </c>
      <c r="S1977" s="616">
        <f>LEFT(PDs!AG159,2)+LEFT(PDs!AH159,2)</f>
        <v>0</v>
      </c>
      <c r="T1977" s="616" t="str">
        <f>IF(PDs!AI159,MID(PDs!AH159,4,25)&amp;MID(PDs!AG159,4,25),"")</f>
        <v/>
      </c>
      <c r="U1977" s="1277"/>
      <c r="V1977" s="1277"/>
      <c r="W1977" s="616">
        <f t="shared" si="289"/>
        <v>-30</v>
      </c>
      <c r="X1977" s="616" t="str">
        <f t="shared" si="290"/>
        <v/>
      </c>
      <c r="Y1977" s="616" t="str">
        <f t="shared" si="291"/>
        <v/>
      </c>
      <c r="Z1977" s="1277" t="str">
        <f t="shared" si="293"/>
        <v/>
      </c>
      <c r="AA1977" s="616" t="str">
        <f t="shared" si="284"/>
        <v/>
      </c>
      <c r="AB1977" s="616" t="str">
        <f t="shared" si="288"/>
        <v>Disfraz -30</v>
      </c>
      <c r="AC1977" s="618">
        <f t="shared" si="294"/>
        <v>17</v>
      </c>
      <c r="AD1977" s="618" t="str">
        <f>IF(INDEX($O$1944:$O$1999,MATCH($A34,$AC$1944:$AC$1999,0)),INDEX($AB$1944:$AB$1999,MATCH($A34,$AC$1944:$AC$1999,0)),"")</f>
        <v/>
      </c>
      <c r="AE1977" s="6071"/>
      <c r="AF1977" s="1359">
        <f>Principal!O55</f>
        <v>0</v>
      </c>
      <c r="AH1977" s="2572"/>
    </row>
    <row r="1978" spans="1:34" ht="12.75" customHeight="1" x14ac:dyDescent="0.2">
      <c r="A1978" s="237">
        <v>1978</v>
      </c>
      <c r="B1978" s="5838"/>
      <c r="C1978" s="289" t="str">
        <f>IF(Ki!$P$47="-",", "&amp;Ki!$M$47,"")</f>
        <v/>
      </c>
      <c r="D1978" s="23"/>
      <c r="E1978" s="39"/>
      <c r="G1978" s="1976" t="str">
        <f>Personalización!J12</f>
        <v>Apto en una materia (3)</v>
      </c>
      <c r="H1978" s="2583" t="str">
        <f>IF($G286&gt;0,Personalización!J12&amp;IF(Personalización!N12&lt;&gt;"",": "&amp;Personalización!N12,IF(Personalización!P12&lt;&gt;"",": "&amp;Personalización!P12,"")),"")</f>
        <v/>
      </c>
      <c r="I1978" s="2584" t="str">
        <f>IF($G286&gt;0,Personalización!J12&amp;IF(AND(Personalización!P12&lt;&gt;"",Personalización!N12&lt;&gt;""),": "&amp;Personalización!P12,""),"")</f>
        <v/>
      </c>
      <c r="K1978" s="513" t="str">
        <f t="shared" si="292"/>
        <v/>
      </c>
      <c r="L1978" s="23"/>
      <c r="M1978" s="2337"/>
      <c r="N1978" s="2339" t="str">
        <f t="shared" si="295"/>
        <v/>
      </c>
      <c r="O1978" s="892" t="b">
        <f>OR($S$1940,AND(NOT(Ocultarse_final="-"),OR(PDs!T160&gt;4,PDs!W160&gt;0,PDs!X160&gt;0,$G$311&gt;0)))</f>
        <v>0</v>
      </c>
      <c r="P1978" s="618" t="s">
        <v>1465</v>
      </c>
      <c r="Q1978" s="617">
        <f>PDs!AA160</f>
        <v>-30</v>
      </c>
      <c r="R1978" s="616" t="str">
        <f>IF(PDs!I160=0,"",P1978&amp;" ("&amp;PDs!I160&amp;")")</f>
        <v/>
      </c>
      <c r="S1978" s="616">
        <f>LEFT(PDs!AG160,2)+LEFT(PDs!AH160,2)</f>
        <v>0</v>
      </c>
      <c r="T1978" s="616" t="str">
        <f>IF(PDs!AI160,MID(PDs!AH160,4,25)&amp;MID(PDs!AG160,4,25),"")</f>
        <v/>
      </c>
      <c r="U1978" s="1277"/>
      <c r="V1978" s="1277"/>
      <c r="W1978" s="616">
        <f t="shared" si="289"/>
        <v>-30</v>
      </c>
      <c r="X1978" s="616" t="str">
        <f t="shared" si="290"/>
        <v/>
      </c>
      <c r="Y1978" s="616" t="str">
        <f t="shared" si="291"/>
        <v/>
      </c>
      <c r="Z1978" s="1277" t="str">
        <f t="shared" si="293"/>
        <v/>
      </c>
      <c r="AA1978" s="616" t="str">
        <f t="shared" si="284"/>
        <v/>
      </c>
      <c r="AB1978" s="616" t="str">
        <f t="shared" si="288"/>
        <v>Ocultarse -30</v>
      </c>
      <c r="AC1978" s="618">
        <f t="shared" si="294"/>
        <v>33</v>
      </c>
      <c r="AD1978" s="618" t="str">
        <f>IF(INDEX($O$1944:$O$1999,MATCH($A35,$AC$1944:$AC$1999,0)),INDEX($AB$1944:$AB$1999,MATCH($A35,$AC$1944:$AC$1999,0)),"")</f>
        <v/>
      </c>
      <c r="AE1978" s="6071"/>
      <c r="AF1978" s="1359">
        <f>Principal!O56</f>
        <v>0</v>
      </c>
      <c r="AH1978" s="2572"/>
    </row>
    <row r="1979" spans="1:34" ht="12.75" customHeight="1" x14ac:dyDescent="0.2">
      <c r="A1979" s="237">
        <v>1979</v>
      </c>
      <c r="B1979" s="5838"/>
      <c r="C1979" s="289" t="str">
        <f>IF(Ki!$P$48="-",", "&amp;Ki!$L$48,"")</f>
        <v/>
      </c>
      <c r="D1979" s="23"/>
      <c r="E1979" s="39"/>
      <c r="G1979" s="1976" t="str">
        <f>Personalización!J13</f>
        <v>Aprendizaje natural (1)</v>
      </c>
      <c r="H1979" s="2583" t="str">
        <f>IF($G294&gt;0,Personalización!J13&amp;IF(Personalización!N13&lt;&gt;"",": "&amp;Personalización!N13,IF(Personalización!P13&lt;&gt;"",": "&amp;Personalización!P13,"")),"")</f>
        <v/>
      </c>
      <c r="I1979" s="2584" t="str">
        <f>IF($G294&gt;0,Personalización!J13&amp;IF(AND(Personalización!P13&lt;&gt;"",Personalización!N13&lt;&gt;""),": "&amp;Personalización!P13,""),"")</f>
        <v/>
      </c>
      <c r="K1979" s="513" t="str">
        <f t="shared" si="292"/>
        <v/>
      </c>
      <c r="L1979" s="23"/>
      <c r="M1979" s="2337"/>
      <c r="N1979" s="2339" t="str">
        <f t="shared" si="295"/>
        <v/>
      </c>
      <c r="O1979" s="892" t="b">
        <f>OR($S$1940,AND(NOT(Robo_final="-"),OR(PDs!T161&gt;4,PDs!W161&gt;0,PDs!X161&gt;0,$G$311&gt;0)))</f>
        <v>0</v>
      </c>
      <c r="P1979" s="618" t="s">
        <v>1467</v>
      </c>
      <c r="Q1979" s="617">
        <f>PDs!AA161</f>
        <v>-30</v>
      </c>
      <c r="R1979" s="616" t="str">
        <f>IF(PDs!I161=0,"",P1979&amp;" ("&amp;PDs!I161&amp;")")</f>
        <v/>
      </c>
      <c r="S1979" s="616">
        <f>LEFT(PDs!AG161,2)+LEFT(PDs!AH161,2)</f>
        <v>0</v>
      </c>
      <c r="T1979" s="616" t="str">
        <f>IF(PDs!AI161,MID(PDs!AH161,4,25)&amp;MID(PDs!AG161,4,25),"")</f>
        <v/>
      </c>
      <c r="U1979" s="1277"/>
      <c r="V1979" s="1277"/>
      <c r="W1979" s="616">
        <f t="shared" si="289"/>
        <v>-30</v>
      </c>
      <c r="X1979" s="616" t="str">
        <f t="shared" si="290"/>
        <v/>
      </c>
      <c r="Y1979" s="616" t="str">
        <f t="shared" si="291"/>
        <v/>
      </c>
      <c r="Z1979" s="1277" t="str">
        <f t="shared" si="293"/>
        <v/>
      </c>
      <c r="AA1979" s="616" t="str">
        <f t="shared" si="284"/>
        <v/>
      </c>
      <c r="AB1979" s="616" t="str">
        <f t="shared" si="288"/>
        <v>Robo -30</v>
      </c>
      <c r="AC1979" s="618">
        <f t="shared" si="294"/>
        <v>41</v>
      </c>
      <c r="AD1979" s="618" t="str">
        <f>IF(INDEX($O$1944:$O$1999,MATCH($A36,$AC$1944:$AC$1999,0)),INDEX($AB$1944:$AB$1999,MATCH($A36,$AC$1944:$AC$1999,0)),"")</f>
        <v/>
      </c>
      <c r="AE1979" s="6071"/>
      <c r="AF1979" s="1359">
        <f>Principal!O57</f>
        <v>0</v>
      </c>
      <c r="AH1979" s="2572"/>
    </row>
    <row r="1980" spans="1:34" ht="12.75" customHeight="1" x14ac:dyDescent="0.2">
      <c r="A1980" s="237">
        <v>1980</v>
      </c>
      <c r="B1980" s="5838"/>
      <c r="C1980" s="289" t="str">
        <f>IF(Usodelaenergíanecesaria,", "&amp;Ki!$K$49,"")</f>
        <v/>
      </c>
      <c r="D1980" s="23"/>
      <c r="E1980" s="39"/>
      <c r="G1980" s="1976" t="str">
        <f>Personalización!J14</f>
        <v>Aprendizaje natural (2)</v>
      </c>
      <c r="H1980" s="2583" t="str">
        <f>IF($G295&gt;0,Personalización!J14&amp;IF(Personalización!N14&lt;&gt;"",": "&amp;Personalización!N14,IF(Personalización!P14&lt;&gt;"",": "&amp;Personalización!P14,"")),"")</f>
        <v/>
      </c>
      <c r="I1980" s="2584" t="str">
        <f>IF($G295&gt;0,Personalización!J14&amp;IF(AND(Personalización!P14&lt;&gt;"",Personalización!N14&lt;&gt;""),": "&amp;Personalización!P14,""),"")</f>
        <v/>
      </c>
      <c r="K1980" s="513" t="str">
        <f t="shared" si="292"/>
        <v/>
      </c>
      <c r="L1980" s="23"/>
      <c r="M1980" s="2337"/>
      <c r="N1980" s="2339" t="str">
        <f t="shared" si="295"/>
        <v/>
      </c>
      <c r="O1980" s="892" t="b">
        <f>OR($S$1940,AND(NOT(Sigilo_final="-"),OR(PDs!T162&gt;4,PDs!W162&gt;0,PDs!X162&gt;0,$G$311&gt;0)))</f>
        <v>0</v>
      </c>
      <c r="P1980" s="618" t="s">
        <v>1469</v>
      </c>
      <c r="Q1980" s="617">
        <f>PDs!AA162</f>
        <v>-30</v>
      </c>
      <c r="R1980" s="616" t="str">
        <f>IF(PDs!I162=0,"",P1980&amp;" ("&amp;PDs!I162&amp;")")</f>
        <v/>
      </c>
      <c r="S1980" s="616">
        <f>LEFT(PDs!AG162,2)+LEFT(PDs!AH162,2)</f>
        <v>0</v>
      </c>
      <c r="T1980" s="616" t="str">
        <f>IF(PDs!AI162,MID(PDs!AH162,4,25)&amp;MID(PDs!AG162,4,25),"")</f>
        <v/>
      </c>
      <c r="U1980" s="1277"/>
      <c r="V1980" s="1277"/>
      <c r="W1980" s="616">
        <f t="shared" si="289"/>
        <v>-30</v>
      </c>
      <c r="X1980" s="616" t="str">
        <f t="shared" si="290"/>
        <v/>
      </c>
      <c r="Y1980" s="616" t="str">
        <f t="shared" si="291"/>
        <v/>
      </c>
      <c r="Z1980" s="1277" t="str">
        <f t="shared" si="293"/>
        <v/>
      </c>
      <c r="AA1980" s="616" t="str">
        <f t="shared" si="284"/>
        <v/>
      </c>
      <c r="AB1980" s="616" t="str">
        <f t="shared" si="288"/>
        <v>Sigilo -30</v>
      </c>
      <c r="AC1980" s="618">
        <f t="shared" si="294"/>
        <v>49</v>
      </c>
      <c r="AD1980" s="618" t="str">
        <f>IF(INDEX($O$1944:$O$1999,MATCH($A37,$AC$1944:$AC$1999,0)),INDEX($AB$1944:$AB$1999,MATCH($A37,$AC$1944:$AC$1999,0)),"")</f>
        <v/>
      </c>
      <c r="AE1980" s="6071"/>
      <c r="AF1980" s="1359">
        <f>Principal!O58</f>
        <v>0</v>
      </c>
      <c r="AH1980" s="2572"/>
    </row>
    <row r="1981" spans="1:34" ht="12.75" customHeight="1" x14ac:dyDescent="0.2">
      <c r="A1981" s="237">
        <v>1981</v>
      </c>
      <c r="B1981" s="5838"/>
      <c r="C1981" s="289" t="str">
        <f>IF(Ki!$P$50="-",", "&amp;Ki!$L$50&amp;" "&amp;Ki!$F$36,"")</f>
        <v/>
      </c>
      <c r="D1981" s="23"/>
      <c r="E1981" s="39"/>
      <c r="G1981" s="1976" t="str">
        <f>Personalización!J15</f>
        <v>Aprendizaje natural (3)</v>
      </c>
      <c r="H1981" s="2583" t="str">
        <f>IF($G296&gt;0,Personalización!J15&amp;IF(Personalización!N15&lt;&gt;"",": "&amp;Personalización!N15,IF(Personalización!P15&lt;&gt;"",": "&amp;Personalización!P15,"")),"")</f>
        <v/>
      </c>
      <c r="I1981" s="2584" t="str">
        <f>IF($G296&gt;0,Personalización!J15&amp;IF(AND(Personalización!P15&lt;&gt;"",Personalización!N15&lt;&gt;""),": "&amp;Personalización!P15,""),"")</f>
        <v/>
      </c>
      <c r="K1981" s="513" t="str">
        <f t="shared" si="292"/>
        <v/>
      </c>
      <c r="L1981" s="23"/>
      <c r="M1981" s="2337"/>
      <c r="N1981" s="2339" t="str">
        <f t="shared" si="295"/>
        <v/>
      </c>
      <c r="O1981" s="892" t="b">
        <f>OR($S$1940,AND(NOT(Trampería_final="-"),OR(PDs!T163&gt;4,PDs!W163&gt;0,PDs!X163&gt;0,$G$311&gt;0)))</f>
        <v>0</v>
      </c>
      <c r="P1981" s="618" t="s">
        <v>1471</v>
      </c>
      <c r="Q1981" s="617">
        <f>PDs!AA163</f>
        <v>-30</v>
      </c>
      <c r="R1981" s="616" t="str">
        <f>IF(PDs!I163=0,"",P1981&amp;" ("&amp;PDs!I163&amp;")")</f>
        <v/>
      </c>
      <c r="S1981" s="616">
        <f>LEFT(PDs!AG163,2)+LEFT(PDs!AH163,2)</f>
        <v>0</v>
      </c>
      <c r="T1981" s="616" t="str">
        <f>IF(PDs!AI163,MID(PDs!AH163,4,25)&amp;MID(PDs!AG163,4,25),"")</f>
        <v/>
      </c>
      <c r="U1981" s="1277"/>
      <c r="V1981" s="1277"/>
      <c r="W1981" s="616">
        <f t="shared" si="289"/>
        <v>-30</v>
      </c>
      <c r="X1981" s="616" t="str">
        <f t="shared" si="290"/>
        <v/>
      </c>
      <c r="Y1981" s="616" t="str">
        <f t="shared" si="291"/>
        <v/>
      </c>
      <c r="Z1981" s="1277" t="str">
        <f t="shared" si="293"/>
        <v/>
      </c>
      <c r="AA1981" s="616" t="str">
        <f t="shared" si="284"/>
        <v/>
      </c>
      <c r="AB1981" s="616" t="str">
        <f t="shared" si="288"/>
        <v>Trampería -30</v>
      </c>
      <c r="AC1981" s="618">
        <f t="shared" si="294"/>
        <v>53</v>
      </c>
      <c r="AD1981" s="618" t="str">
        <f>IF(INDEX($O$1944:$O$1999,MATCH($A38,$AC$1944:$AC$1999,0)),INDEX($AB$1944:$AB$1999,MATCH($A38,$AC$1944:$AC$1999,0)),"")</f>
        <v/>
      </c>
      <c r="AE1981" s="6071"/>
      <c r="AF1981" s="1359">
        <f>Principal!O59</f>
        <v>0</v>
      </c>
      <c r="AH1981" s="2572"/>
    </row>
    <row r="1982" spans="1:34" ht="12.75" customHeight="1" thickBot="1" x14ac:dyDescent="0.25">
      <c r="A1982" s="237">
        <v>1982</v>
      </c>
      <c r="B1982" s="5838"/>
      <c r="C1982" s="289" t="str">
        <f>IF(Ki!$P$51="-",", "&amp;Ki!$M$51,"")</f>
        <v/>
      </c>
      <c r="D1982" s="23"/>
      <c r="E1982" s="39"/>
      <c r="G1982" s="1977" t="s">
        <v>2549</v>
      </c>
      <c r="H1982" s="338" t="str">
        <f>IF($P$259&gt;0,G1982&amp;IF(Personalización!$Z$85&lt;&gt;"",": "&amp;Personalización!$Z$85,""),"")</f>
        <v/>
      </c>
      <c r="I1982" s="655" t="str">
        <f>IF($P$259&gt;0,G1982&amp;IF(Personalización!$Z$85&lt;&gt;"",": "&amp;Personalización!$Z$85,""),"")</f>
        <v/>
      </c>
      <c r="K1982" s="513" t="str">
        <f t="shared" si="292"/>
        <v/>
      </c>
      <c r="L1982" s="23"/>
      <c r="M1982" s="2337"/>
      <c r="N1982" s="2339" t="str">
        <f t="shared" si="295"/>
        <v/>
      </c>
      <c r="O1982" s="892" t="b">
        <f>AND(NOT(Venenos_final="-"),OR(PDs!T164&gt;4,PDs!W164&gt;0,PDs!X164&gt;0,$G$311&gt;0))</f>
        <v>0</v>
      </c>
      <c r="P1982" s="618" t="s">
        <v>1472</v>
      </c>
      <c r="Q1982" s="617" t="str">
        <f>PDs!AA164</f>
        <v>-</v>
      </c>
      <c r="R1982" s="616" t="str">
        <f>IF(PDs!I164=0,"",P1982&amp;" ("&amp;PDs!I164&amp;")")</f>
        <v/>
      </c>
      <c r="S1982" s="616">
        <f>LEFT(PDs!AG164,2)+LEFT(PDs!AH164,2)</f>
        <v>0</v>
      </c>
      <c r="T1982" s="616" t="str">
        <f>IF(PDs!AI164,MID(PDs!AH164,4,25)&amp;MID(PDs!AG164,4,25),"")</f>
        <v/>
      </c>
      <c r="U1982" s="1277"/>
      <c r="V1982" s="1277"/>
      <c r="W1982" s="616" t="str">
        <f t="shared" si="289"/>
        <v>-</v>
      </c>
      <c r="X1982" s="616" t="str">
        <f t="shared" si="290"/>
        <v/>
      </c>
      <c r="Y1982" s="616" t="str">
        <f t="shared" si="291"/>
        <v/>
      </c>
      <c r="Z1982" s="1277" t="str">
        <f t="shared" si="293"/>
        <v/>
      </c>
      <c r="AA1982" s="616" t="str">
        <f t="shared" si="284"/>
        <v/>
      </c>
      <c r="AB1982" s="616" t="str">
        <f t="shared" si="288"/>
        <v>Venenos -</v>
      </c>
      <c r="AC1982" s="618">
        <f t="shared" si="294"/>
        <v>56</v>
      </c>
      <c r="AD1982" s="618" t="str">
        <f>IF(INDEX($O$1944:$O$1999,MATCH($A39,$AC$1944:$AC$1999,0)),INDEX($AB$1944:$AB$1999,MATCH($A39,$AC$1944:$AC$1999,0)),"")</f>
        <v/>
      </c>
      <c r="AE1982" s="6071"/>
      <c r="AF1982" s="1359">
        <f>Principal!O60</f>
        <v>0</v>
      </c>
      <c r="AH1982" s="2572"/>
    </row>
    <row r="1983" spans="1:34" ht="12.75" customHeight="1" thickBot="1" x14ac:dyDescent="0.25">
      <c r="A1983" s="237">
        <v>1983</v>
      </c>
      <c r="B1983" s="5838"/>
      <c r="C1983" s="289" t="str">
        <f>IF(Ki!$P$52="-",", "&amp;Ki!$M$52,"")</f>
        <v/>
      </c>
      <c r="D1983" s="23"/>
      <c r="E1983" s="39"/>
      <c r="K1983" s="513" t="str">
        <f t="shared" si="292"/>
        <v/>
      </c>
      <c r="L1983" s="23"/>
      <c r="M1983" s="2337"/>
      <c r="N1983" s="2339" t="str">
        <f t="shared" si="295"/>
        <v/>
      </c>
      <c r="O1983" s="892" t="b">
        <f>OR($S$1940,AND(NOT(Arte_final="-"),OR(PDs!T165&gt;4,PDs!W165&gt;0,PDs!X165&gt;0,$G$311&gt;0)))</f>
        <v>0</v>
      </c>
      <c r="P1983" s="618" t="s">
        <v>1474</v>
      </c>
      <c r="Q1983" s="617">
        <f>PDs!AA165</f>
        <v>-30</v>
      </c>
      <c r="R1983" s="616" t="str">
        <f>IF(PDs!I165=0,"",P1983&amp;" ("&amp;PDs!I165&amp;")")</f>
        <v/>
      </c>
      <c r="S1983" s="616">
        <f>LEFT(PDs!AG165,2)+LEFT(PDs!AH165,2)</f>
        <v>0</v>
      </c>
      <c r="T1983" s="616" t="str">
        <f>IF(PDs!AI165,MID(PDs!AH165,4,25)&amp;MID(PDs!AG165,4,25),"")</f>
        <v/>
      </c>
      <c r="U1983" s="1277"/>
      <c r="V1983" s="1277"/>
      <c r="W1983" s="616">
        <f t="shared" si="289"/>
        <v>-30</v>
      </c>
      <c r="X1983" s="616" t="str">
        <f t="shared" si="290"/>
        <v/>
      </c>
      <c r="Y1983" s="616" t="str">
        <f t="shared" si="291"/>
        <v/>
      </c>
      <c r="Z1983" s="1277" t="str">
        <f t="shared" si="293"/>
        <v/>
      </c>
      <c r="AA1983" s="616" t="str">
        <f t="shared" si="284"/>
        <v/>
      </c>
      <c r="AB1983" s="616" t="str">
        <f t="shared" si="288"/>
        <v>Arte -30</v>
      </c>
      <c r="AC1983" s="618">
        <f t="shared" si="294"/>
        <v>6</v>
      </c>
      <c r="AD1983" s="618" t="str">
        <f>IF(INDEX($O$1944:$O$1999,MATCH($A40,$AC$1944:$AC$1999,0)),INDEX($AB$1944:$AB$1999,MATCH($A40,$AC$1944:$AC$1999,0)),"")</f>
        <v/>
      </c>
      <c r="AE1983" s="6071"/>
      <c r="AF1983" s="1359">
        <f>Principal!O61</f>
        <v>0</v>
      </c>
      <c r="AH1983" s="2572"/>
    </row>
    <row r="1984" spans="1:34" ht="12.75" customHeight="1" thickBot="1" x14ac:dyDescent="0.25">
      <c r="A1984" s="237">
        <v>1984</v>
      </c>
      <c r="B1984" s="5838"/>
      <c r="C1984" s="289" t="str">
        <f>IF(Ki!$P$53="-",", "&amp;Ki!$L$53,"")</f>
        <v/>
      </c>
      <c r="D1984" s="23"/>
      <c r="E1984" s="39"/>
      <c r="G1984" s="5825" t="s">
        <v>9889</v>
      </c>
      <c r="H1984" s="5826"/>
      <c r="I1984" s="5827"/>
      <c r="K1984" s="513" t="str">
        <f t="shared" si="292"/>
        <v/>
      </c>
      <c r="L1984" s="23"/>
      <c r="M1984" s="2337"/>
      <c r="N1984" s="2339" t="str">
        <f t="shared" si="295"/>
        <v/>
      </c>
      <c r="O1984" s="892" t="b">
        <f>AND(NOT(Baile_final="-"),OR(PDs!T166&gt;4,PDs!W166&gt;0,PDs!X166&gt;0,$G$311&gt;0))</f>
        <v>0</v>
      </c>
      <c r="P1984" s="618" t="s">
        <v>1475</v>
      </c>
      <c r="Q1984" s="617" t="str">
        <f>PDs!AA166</f>
        <v>-</v>
      </c>
      <c r="R1984" s="616" t="str">
        <f>IF(PDs!I166=0,"",P1984&amp;" ("&amp;PDs!I166&amp;")")</f>
        <v/>
      </c>
      <c r="S1984" s="616">
        <f>LEFT(PDs!AG166,2)+LEFT(PDs!AH166,2)</f>
        <v>0</v>
      </c>
      <c r="T1984" s="616" t="str">
        <f>IF(PDs!AI166,MID(PDs!AH166,4,25)&amp;MID(PDs!AG166,4,25),"")</f>
        <v/>
      </c>
      <c r="U1984" s="1277"/>
      <c r="V1984" s="1277"/>
      <c r="W1984" s="616" t="str">
        <f t="shared" si="289"/>
        <v>-</v>
      </c>
      <c r="X1984" s="616" t="str">
        <f t="shared" si="290"/>
        <v/>
      </c>
      <c r="Y1984" s="616" t="str">
        <f t="shared" si="291"/>
        <v/>
      </c>
      <c r="Z1984" s="1277" t="str">
        <f t="shared" si="293"/>
        <v/>
      </c>
      <c r="AA1984" s="616" t="str">
        <f t="shared" si="284"/>
        <v/>
      </c>
      <c r="AB1984" s="616" t="str">
        <f t="shared" si="288"/>
        <v>Baile -</v>
      </c>
      <c r="AC1984" s="618">
        <f t="shared" si="294"/>
        <v>8</v>
      </c>
      <c r="AD1984" s="618" t="str">
        <f>IF(INDEX($O$1944:$O$1999,MATCH($A41,$AC$1944:$AC$1999,0)),INDEX($AB$1944:$AB$1999,MATCH($A41,$AC$1944:$AC$1999,0)),"")</f>
        <v/>
      </c>
      <c r="AE1984" s="6071"/>
      <c r="AF1984" s="1359">
        <f>Principal!O62</f>
        <v>0</v>
      </c>
      <c r="AH1984" s="2572"/>
    </row>
    <row r="1985" spans="1:34" ht="12.75" customHeight="1" thickBot="1" x14ac:dyDescent="0.25">
      <c r="A1985" s="237">
        <v>1985</v>
      </c>
      <c r="B1985" s="5838"/>
      <c r="C1985" s="289" t="str">
        <f>IF(Ki!$P$54="-",", "&amp;Ki!$M$54,"")</f>
        <v/>
      </c>
      <c r="D1985" s="23"/>
      <c r="E1985" s="39"/>
      <c r="G1985" s="703" t="str">
        <f>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f>
        <v/>
      </c>
      <c r="H1985" s="1306"/>
      <c r="I1985" s="655"/>
      <c r="K1985" s="513" t="str">
        <f t="shared" si="292"/>
        <v/>
      </c>
      <c r="L1985" s="23"/>
      <c r="M1985" s="2337"/>
      <c r="N1985" s="2339" t="str">
        <f t="shared" si="295"/>
        <v/>
      </c>
      <c r="O1985" s="892" t="b">
        <f>AND(NOT(Forja_final="-"),OR(PDs!T167&gt;4,PDs!W167&gt;0,PDs!X167&gt;0,$G$311&gt;0))</f>
        <v>0</v>
      </c>
      <c r="P1985" s="618" t="s">
        <v>1476</v>
      </c>
      <c r="Q1985" s="617" t="str">
        <f>PDs!AA167</f>
        <v>-</v>
      </c>
      <c r="R1985" s="616" t="str">
        <f>IF(PDs!I167=0,"",P1985&amp;" ("&amp;PDs!I167&amp;")")</f>
        <v/>
      </c>
      <c r="S1985" s="616">
        <f>LEFT(PDs!AG167,2)+LEFT(PDs!AH167,2)</f>
        <v>0</v>
      </c>
      <c r="T1985" s="616" t="str">
        <f>IF(PDs!AI167,MID(PDs!AH167,4,25)&amp;MID(PDs!AG167,4,25),"")</f>
        <v/>
      </c>
      <c r="U1985" s="1277"/>
      <c r="V1985" s="1277"/>
      <c r="W1985" s="616" t="str">
        <f t="shared" si="289"/>
        <v>-</v>
      </c>
      <c r="X1985" s="616" t="str">
        <f t="shared" si="290"/>
        <v/>
      </c>
      <c r="Y1985" s="616" t="str">
        <f t="shared" si="291"/>
        <v/>
      </c>
      <c r="Z1985" s="1277" t="str">
        <f t="shared" si="293"/>
        <v/>
      </c>
      <c r="AA1985" s="616" t="str">
        <f t="shared" si="284"/>
        <v/>
      </c>
      <c r="AB1985" s="616" t="str">
        <f t="shared" si="288"/>
        <v>Forja -</v>
      </c>
      <c r="AC1985" s="618">
        <f t="shared" si="294"/>
        <v>20</v>
      </c>
      <c r="AD1985" s="618" t="str">
        <f>IF(INDEX($O$1944:$O$1999,MATCH($A42,$AC$1944:$AC$1999,0)),INDEX($AB$1944:$AB$1999,MATCH($A42,$AC$1944:$AC$1999,0)),"")</f>
        <v/>
      </c>
      <c r="AE1985" s="6071"/>
      <c r="AF1985" s="1359">
        <f>Principal!O63</f>
        <v>0</v>
      </c>
      <c r="AH1985" s="2572"/>
    </row>
    <row r="1986" spans="1:34" ht="12.75" customHeight="1" thickBot="1" x14ac:dyDescent="0.25">
      <c r="A1986" s="237">
        <v>1986</v>
      </c>
      <c r="B1986" s="5838"/>
      <c r="C1986" s="289" t="str">
        <f>IF(Ki!$P$55="-",", "&amp;Ki!$M$55,"")</f>
        <v/>
      </c>
      <c r="D1986" s="23"/>
      <c r="E1986" s="39"/>
      <c r="K1986" s="513" t="str">
        <f t="shared" si="292"/>
        <v/>
      </c>
      <c r="L1986" s="23"/>
      <c r="M1986" s="2337"/>
      <c r="N1986" s="2339" t="str">
        <f t="shared" si="295"/>
        <v/>
      </c>
      <c r="O1986" s="892" t="b">
        <f>OR($S$1940,AND(NOT(Runas_final="-"),OR(PDs!T168&gt;4,PDs!W168&gt;0,PDs!X168&gt;0,$G$311&gt;0)))</f>
        <v>0</v>
      </c>
      <c r="P1986" s="618" t="s">
        <v>816</v>
      </c>
      <c r="Q1986" s="617">
        <f>PDs!AA168</f>
        <v>-30</v>
      </c>
      <c r="R1986" s="616" t="str">
        <f>IF(PDs!I168=0,"",P1986&amp;" ("&amp;PDs!I168&amp;")")</f>
        <v/>
      </c>
      <c r="S1986" s="616">
        <f>LEFT(PDs!AG168,2)+LEFT(PDs!AH168,2)</f>
        <v>0</v>
      </c>
      <c r="T1986" s="616" t="str">
        <f>IF(PDs!AI168,MID(PDs!AH168,4,25)&amp;MID(PDs!AG168,4,25),"")</f>
        <v/>
      </c>
      <c r="U1986" s="1277"/>
      <c r="V1986" s="1277"/>
      <c r="W1986" s="616">
        <f t="shared" si="289"/>
        <v>-30</v>
      </c>
      <c r="X1986" s="616" t="str">
        <f t="shared" si="290"/>
        <v/>
      </c>
      <c r="Y1986" s="616" t="str">
        <f t="shared" si="291"/>
        <v/>
      </c>
      <c r="Z1986" s="1277" t="str">
        <f t="shared" si="293"/>
        <v/>
      </c>
      <c r="AA1986" s="616" t="str">
        <f t="shared" si="284"/>
        <v/>
      </c>
      <c r="AB1986" s="616" t="str">
        <f t="shared" si="288"/>
        <v>Runas -30</v>
      </c>
      <c r="AC1986" s="618">
        <f t="shared" si="294"/>
        <v>42</v>
      </c>
      <c r="AD1986" s="618" t="str">
        <f>IF(INDEX($O$1944:$O$1999,MATCH($A43,$AC$1944:$AC$1999,0)),INDEX($AB$1944:$AB$1999,MATCH($A43,$AC$1944:$AC$1999,0)),"")</f>
        <v/>
      </c>
      <c r="AE1986" s="6071"/>
      <c r="AF1986" s="1359">
        <f>Principal!O64</f>
        <v>0</v>
      </c>
      <c r="AH1986" s="2572"/>
    </row>
    <row r="1987" spans="1:34" ht="12.75" customHeight="1" thickBot="1" x14ac:dyDescent="0.25">
      <c r="A1987" s="237">
        <v>1987</v>
      </c>
      <c r="B1987" s="5838"/>
      <c r="C1987" s="289" t="str">
        <f>IF(Ki!$P$56="-",", "&amp;Ki!$M$56,"")</f>
        <v/>
      </c>
      <c r="D1987" s="23"/>
      <c r="E1987" s="39"/>
      <c r="G1987" s="3324" t="s">
        <v>646</v>
      </c>
      <c r="H1987" s="3324"/>
      <c r="K1987" s="513" t="str">
        <f t="shared" si="292"/>
        <v/>
      </c>
      <c r="L1987" s="23"/>
      <c r="M1987" s="2337"/>
      <c r="N1987" s="2339" t="str">
        <f t="shared" si="295"/>
        <v/>
      </c>
      <c r="O1987" s="892" t="b">
        <f>OR($S$1940,AND(NOT(Alquimia_final="-"),OR(PDs!T169&gt;4,PDs!W169&gt;0,PDs!X169&gt;0,$G$311&gt;0)))</f>
        <v>0</v>
      </c>
      <c r="P1987" s="618" t="s">
        <v>817</v>
      </c>
      <c r="Q1987" s="617">
        <f>PDs!AA169</f>
        <v>-30</v>
      </c>
      <c r="R1987" s="616" t="str">
        <f>IF(PDs!I169=0,"",P1987&amp;" ("&amp;PDs!I169&amp;")")</f>
        <v/>
      </c>
      <c r="S1987" s="616">
        <f>LEFT(PDs!AG169,2)+LEFT(PDs!AH169,2)</f>
        <v>0</v>
      </c>
      <c r="T1987" s="616" t="str">
        <f>IF(PDs!AI169,MID(PDs!AH169,4,25)&amp;MID(PDs!AG169,4,25),"")</f>
        <v/>
      </c>
      <c r="U1987" s="1277"/>
      <c r="V1987" s="1277"/>
      <c r="W1987" s="616">
        <f t="shared" si="289"/>
        <v>-30</v>
      </c>
      <c r="X1987" s="616" t="str">
        <f t="shared" si="290"/>
        <v/>
      </c>
      <c r="Y1987" s="616" t="str">
        <f t="shared" si="291"/>
        <v/>
      </c>
      <c r="Z1987" s="1277" t="str">
        <f t="shared" si="293"/>
        <v/>
      </c>
      <c r="AA1987" s="616" t="str">
        <f t="shared" si="284"/>
        <v/>
      </c>
      <c r="AB1987" s="616" t="str">
        <f t="shared" si="288"/>
        <v>Alquimia -30</v>
      </c>
      <c r="AC1987" s="618">
        <f t="shared" si="294"/>
        <v>3</v>
      </c>
      <c r="AD1987" s="618" t="str">
        <f>IF(INDEX($O$1944:$O$1999,MATCH($A44,$AC$1944:$AC$1999,0)),INDEX($AB$1944:$AB$1999,MATCH($A44,$AC$1944:$AC$1999,0)),"")</f>
        <v/>
      </c>
      <c r="AE1987" s="6071"/>
      <c r="AF1987" s="1359">
        <f>Principal!O65</f>
        <v>0</v>
      </c>
      <c r="AH1987" s="2572"/>
    </row>
    <row r="1988" spans="1:34" ht="12.75" customHeight="1" thickBot="1" x14ac:dyDescent="0.25">
      <c r="A1988" s="237">
        <v>1988</v>
      </c>
      <c r="B1988" s="5838"/>
      <c r="C1988" s="289" t="str">
        <f>IF(Ki!$P$57="-",", "&amp;Ki!$L$57,"")</f>
        <v/>
      </c>
      <c r="D1988" s="23"/>
      <c r="E1988" s="39"/>
      <c r="G1988" s="3324"/>
      <c r="H1988" s="3324"/>
      <c r="K1988" s="513" t="str">
        <f t="shared" si="292"/>
        <v/>
      </c>
      <c r="L1988" s="23"/>
      <c r="M1988" s="2337"/>
      <c r="N1988" s="2339" t="str">
        <f t="shared" si="295"/>
        <v/>
      </c>
      <c r="O1988" s="892" t="b">
        <f>OR($S$1940,AND(NOT(Animismo_final="-"),OR(PDs!T170&gt;4,PDs!W170&gt;0,PDs!X170&gt;0,$G$311&gt;0)))</f>
        <v>0</v>
      </c>
      <c r="P1988" s="618" t="s">
        <v>818</v>
      </c>
      <c r="Q1988" s="617">
        <f>PDs!AA170</f>
        <v>-30</v>
      </c>
      <c r="R1988" s="616" t="str">
        <f>IF(PDs!I170=0,"",P1988&amp;" ("&amp;PDs!I170&amp;")")</f>
        <v/>
      </c>
      <c r="S1988" s="616">
        <f>LEFT(PDs!AG170,2)+LEFT(PDs!AH170,2)</f>
        <v>0</v>
      </c>
      <c r="T1988" s="616" t="str">
        <f>IF(PDs!AI170,MID(PDs!AH170,4,25)&amp;MID(PDs!AG170,4,25),"")</f>
        <v/>
      </c>
      <c r="U1988" s="1277"/>
      <c r="V1988" s="1277"/>
      <c r="W1988" s="616">
        <f t="shared" si="289"/>
        <v>-30</v>
      </c>
      <c r="X1988" s="616" t="str">
        <f t="shared" si="290"/>
        <v/>
      </c>
      <c r="Y1988" s="616" t="str">
        <f t="shared" si="291"/>
        <v/>
      </c>
      <c r="Z1988" s="1277" t="str">
        <f t="shared" si="293"/>
        <v/>
      </c>
      <c r="AA1988" s="616" t="str">
        <f t="shared" si="284"/>
        <v/>
      </c>
      <c r="AB1988" s="616" t="str">
        <f t="shared" si="288"/>
        <v>Animismo -30</v>
      </c>
      <c r="AC1988" s="618">
        <f t="shared" si="294"/>
        <v>5</v>
      </c>
      <c r="AD1988" s="618" t="str">
        <f>IF(INDEX($O$1944:$O$1999,MATCH($A45,$AC$1944:$AC$1999,0)),INDEX($AB$1944:$AB$1999,MATCH($A45,$AC$1944:$AC$1999,0)),"")</f>
        <v/>
      </c>
      <c r="AE1988" s="6071"/>
      <c r="AF1988" s="1359">
        <f>Principal!O66</f>
        <v>0</v>
      </c>
      <c r="AH1988" s="2572"/>
    </row>
    <row r="1989" spans="1:34" ht="12.75" customHeight="1" x14ac:dyDescent="0.2">
      <c r="A1989" s="237">
        <v>1989</v>
      </c>
      <c r="B1989" s="5838"/>
      <c r="C1989" s="289" t="str">
        <f>IF(Ki!$P$58="-",", "&amp;Ki!$M$58,"")</f>
        <v/>
      </c>
      <c r="D1989" s="23"/>
      <c r="E1989" s="39"/>
      <c r="G1989" s="38" t="str">
        <f>IF(Místicos!H15&gt;0,", "&amp;Místicos!H15&amp;" "&amp;Místicos!C15&amp;IF(Místicos!E15="",""," ("&amp;Místicos!E15&amp;")"),"")</f>
        <v/>
      </c>
      <c r="H1989" s="39"/>
      <c r="K1989" s="513" t="str">
        <f t="shared" si="292"/>
        <v/>
      </c>
      <c r="L1989" s="23"/>
      <c r="M1989" s="2337"/>
      <c r="N1989" s="2339" t="str">
        <f t="shared" si="295"/>
        <v/>
      </c>
      <c r="O1989" s="892" t="b">
        <f>AND(NOT(Música_final="-"),OR(PDs!T171&gt;4,PDs!W171&gt;0,PDs!X171&gt;0,$G$311&gt;0))</f>
        <v>0</v>
      </c>
      <c r="P1989" s="618" t="s">
        <v>1477</v>
      </c>
      <c r="Q1989" s="617" t="str">
        <f>PDs!AA171</f>
        <v>-</v>
      </c>
      <c r="R1989" s="616" t="str">
        <f>IF(PDs!I171=0,"",P1989&amp;" ("&amp;PDs!I171&amp;")")</f>
        <v/>
      </c>
      <c r="S1989" s="616">
        <f>LEFT(PDs!AG171,2)+LEFT(PDs!AH171,2)</f>
        <v>0</v>
      </c>
      <c r="T1989" s="616" t="str">
        <f>IF(PDs!AI171,MID(PDs!AH171,4,25)&amp;MID(PDs!AG171,4,25),"")</f>
        <v/>
      </c>
      <c r="U1989" s="1277"/>
      <c r="V1989" s="1277"/>
      <c r="W1989" s="616" t="str">
        <f t="shared" si="289"/>
        <v>-</v>
      </c>
      <c r="X1989" s="616" t="str">
        <f t="shared" si="290"/>
        <v/>
      </c>
      <c r="Y1989" s="616" t="str">
        <f t="shared" si="291"/>
        <v/>
      </c>
      <c r="Z1989" s="1277" t="str">
        <f t="shared" si="293"/>
        <v/>
      </c>
      <c r="AA1989" s="616" t="str">
        <f t="shared" si="284"/>
        <v/>
      </c>
      <c r="AB1989" s="616" t="str">
        <f t="shared" si="288"/>
        <v>Música -</v>
      </c>
      <c r="AC1989" s="618">
        <f t="shared" si="294"/>
        <v>30</v>
      </c>
      <c r="AD1989" s="618" t="str">
        <f>IF(INDEX($O$1944:$O$1999,MATCH($A46,$AC$1944:$AC$1999,0)),INDEX($AB$1944:$AB$1999,MATCH($A46,$AC$1944:$AC$1999,0)),"")</f>
        <v/>
      </c>
      <c r="AE1989" s="6071"/>
      <c r="AF1989" s="1359">
        <f>Principal!O67</f>
        <v>0</v>
      </c>
      <c r="AH1989" s="2572"/>
    </row>
    <row r="1990" spans="1:34" ht="12.75" customHeight="1" x14ac:dyDescent="0.2">
      <c r="A1990" s="237">
        <v>1990</v>
      </c>
      <c r="B1990" s="5838"/>
      <c r="C1990" s="289" t="str">
        <f>IF(Ki!$P$59="-",", "&amp;Ki!$N$59,"")</f>
        <v/>
      </c>
      <c r="D1990" s="23"/>
      <c r="E1990" s="39"/>
      <c r="G1990" s="38" t="str">
        <f>IF(Místicos!H16&gt;0,", "&amp;Místicos!H16&amp;" "&amp;Místicos!C16&amp;IF(Místicos!E16="",""," ("&amp;Místicos!E16&amp;")"),"")</f>
        <v/>
      </c>
      <c r="H1990" s="39"/>
      <c r="K1990" s="513" t="str">
        <f t="shared" si="292"/>
        <v/>
      </c>
      <c r="L1990" s="23"/>
      <c r="M1990" s="2337"/>
      <c r="N1990" s="2339" t="str">
        <f t="shared" si="295"/>
        <v/>
      </c>
      <c r="O1990" s="892" t="b">
        <f>OR($S$1940,AND(NOT(T.Manos_final="-"),OR(PDs!T172&gt;4,PDs!W172&gt;0,PDs!X172&gt;0,$G$311&gt;0)))</f>
        <v>0</v>
      </c>
      <c r="P1990" s="618" t="s">
        <v>1479</v>
      </c>
      <c r="Q1990" s="617">
        <f>PDs!AA172</f>
        <v>-30</v>
      </c>
      <c r="R1990" s="616" t="str">
        <f>IF(PDs!I172=0,"",P1990&amp;" ("&amp;PDs!I172&amp;")")</f>
        <v/>
      </c>
      <c r="S1990" s="616">
        <f>LEFT(PDs!AG172,2)+LEFT(PDs!AH172,2)</f>
        <v>0</v>
      </c>
      <c r="T1990" s="616" t="str">
        <f>IF(PDs!AI172,MID(PDs!AH172,4,25)&amp;MID(PDs!AG172,4,25),"")</f>
        <v/>
      </c>
      <c r="U1990" s="1277"/>
      <c r="V1990" s="1277"/>
      <c r="W1990" s="616">
        <f t="shared" si="289"/>
        <v>-30</v>
      </c>
      <c r="X1990" s="616" t="str">
        <f t="shared" si="290"/>
        <v/>
      </c>
      <c r="Y1990" s="616" t="str">
        <f t="shared" si="291"/>
        <v/>
      </c>
      <c r="Z1990" s="1277" t="str">
        <f t="shared" si="293"/>
        <v/>
      </c>
      <c r="AA1990" s="616" t="str">
        <f t="shared" si="284"/>
        <v/>
      </c>
      <c r="AB1990" s="616" t="str">
        <f t="shared" si="288"/>
        <v>T. Manos -30</v>
      </c>
      <c r="AC1990" s="618">
        <f t="shared" si="294"/>
        <v>50</v>
      </c>
      <c r="AD1990" s="618" t="str">
        <f>IF(INDEX($O$1944:$O$1999,MATCH($A47,$AC$1944:$AC$1999,0)),INDEX($AB$1944:$AB$1999,MATCH($A47,$AC$1944:$AC$1999,0)),"")</f>
        <v/>
      </c>
      <c r="AE1990" s="6071"/>
      <c r="AF1990" s="1359">
        <f>Principal!O68</f>
        <v>0</v>
      </c>
      <c r="AH1990" s="2572"/>
    </row>
    <row r="1991" spans="1:34" ht="12.75" customHeight="1" x14ac:dyDescent="0.2">
      <c r="A1991" s="237">
        <v>1991</v>
      </c>
      <c r="B1991" s="5838"/>
      <c r="C1991" s="289" t="str">
        <f>IF(Ki!$P$60="-",", "&amp;Ki!$L$60,"")</f>
        <v/>
      </c>
      <c r="D1991" s="23"/>
      <c r="E1991" s="39"/>
      <c r="G1991" s="38" t="str">
        <f>IF(Místicos!H17&gt;0,", "&amp;Místicos!H17&amp;" "&amp;Místicos!C17&amp;IF(Místicos!E17="",""," ("&amp;Místicos!E17&amp;")"),"")</f>
        <v/>
      </c>
      <c r="H1991" s="39"/>
      <c r="K1991" s="513" t="str">
        <f t="shared" si="292"/>
        <v/>
      </c>
      <c r="L1991" s="23"/>
      <c r="M1991" s="2337"/>
      <c r="N1991" s="2339" t="str">
        <f t="shared" si="295"/>
        <v/>
      </c>
      <c r="O1991" s="892" t="b">
        <f>OR($S$1940,AND(NOT(Caligrafíaritual_final="-"),OR(PDs!T173&gt;4,PDs!W173&gt;0,PDs!X173&gt;0,$G$311&gt;0)))</f>
        <v>0</v>
      </c>
      <c r="P1991" s="618" t="s">
        <v>6373</v>
      </c>
      <c r="Q1991" s="617">
        <f>PDs!AA173</f>
        <v>-30</v>
      </c>
      <c r="R1991" s="616" t="str">
        <f>IF(PDs!I173=0,"",P1991&amp;" ("&amp;PDs!I173&amp;")")</f>
        <v/>
      </c>
      <c r="S1991" s="616">
        <f>LEFT(PDs!AG173,2)+LEFT(PDs!AH173,2)</f>
        <v>0</v>
      </c>
      <c r="T1991" s="616" t="str">
        <f>IF(PDs!AI173,MID(PDs!AH173,4,25)&amp;MID(PDs!AG173,4,25),"")</f>
        <v/>
      </c>
      <c r="U1991" s="1277"/>
      <c r="V1991" s="1277"/>
      <c r="W1991" s="616">
        <f t="shared" si="289"/>
        <v>-30</v>
      </c>
      <c r="X1991" s="616" t="str">
        <f t="shared" si="290"/>
        <v/>
      </c>
      <c r="Y1991" s="616" t="str">
        <f t="shared" si="291"/>
        <v/>
      </c>
      <c r="Z1991" s="1277" t="str">
        <f t="shared" si="293"/>
        <v/>
      </c>
      <c r="AA1991" s="616" t="str">
        <f t="shared" si="284"/>
        <v/>
      </c>
      <c r="AB1991" s="616" t="str">
        <f t="shared" si="288"/>
        <v>Caligrafía ritual -30</v>
      </c>
      <c r="AC1991" s="618">
        <f t="shared" si="294"/>
        <v>10</v>
      </c>
      <c r="AD1991" s="618" t="str">
        <f>IF(INDEX($O$1944:$O$1999,MATCH($A48,$AC$1944:$AC$1999,0)),INDEX($AB$1944:$AB$1999,MATCH($A48,$AC$1944:$AC$1999,0)),"")</f>
        <v/>
      </c>
      <c r="AE1991" s="6071"/>
      <c r="AF1991" s="1359">
        <f>Principal!O69</f>
        <v>0</v>
      </c>
      <c r="AH1991" s="2572"/>
    </row>
    <row r="1992" spans="1:34" ht="12.75" customHeight="1" x14ac:dyDescent="0.2">
      <c r="A1992" s="237">
        <v>1992</v>
      </c>
      <c r="B1992" s="5838"/>
      <c r="C1992" s="289" t="str">
        <f>IF(Ki!$P$61="-",", "&amp;Ki!$M$61,"")</f>
        <v/>
      </c>
      <c r="D1992" s="23"/>
      <c r="E1992" s="39"/>
      <c r="G1992" s="38" t="str">
        <f>IF(Místicos!H18&gt;0,", "&amp;Místicos!H18&amp;" "&amp;Místicos!C18&amp;IF(Místicos!E18="",""," ("&amp;Místicos!E18&amp;")"),"")</f>
        <v/>
      </c>
      <c r="H1992" s="39"/>
      <c r="K1992" s="513" t="str">
        <f t="shared" si="292"/>
        <v/>
      </c>
      <c r="L1992" s="23"/>
      <c r="M1992" s="2337"/>
      <c r="N1992" s="2339" t="str">
        <f t="shared" si="295"/>
        <v/>
      </c>
      <c r="O1992" s="893" t="b">
        <f>OR($S$1940,AND(NOT(Orfebrería_final="-"),OR(PDs!T174&gt;4,PDs!W174&gt;0,PDs!X174&gt;0,$G$311&gt;0)))</f>
        <v>0</v>
      </c>
      <c r="P1992" s="621" t="s">
        <v>6374</v>
      </c>
      <c r="Q1992" s="620">
        <f>PDs!AA174</f>
        <v>-30</v>
      </c>
      <c r="R1992" s="619" t="str">
        <f>IF(PDs!I174=0,"",P1992&amp;" ("&amp;PDs!I174&amp;")")</f>
        <v/>
      </c>
      <c r="S1992" s="619">
        <f>LEFT(PDs!AG174,2)+LEFT(PDs!AH174,2)</f>
        <v>0</v>
      </c>
      <c r="T1992" s="619" t="str">
        <f>IF(PDs!AI174,MID(PDs!AH174,4,25)&amp;MID(PDs!AG174,4,25),"")</f>
        <v/>
      </c>
      <c r="U1992" s="1278"/>
      <c r="V1992" s="1278"/>
      <c r="W1992" s="619">
        <f>IFERROR(Q1992+AF1992+IF(R1992="",0,-120)+IF(T1992="",0,IF(R1992=T1992,-S1992,0)),"-")</f>
        <v>-30</v>
      </c>
      <c r="X1992" s="619" t="str">
        <f>IFERROR(IF(AND(NOT(R1992=""),R1992=T1992,$P$1940),W1992+S1992+120,""),"-")</f>
        <v/>
      </c>
      <c r="Y1992" s="619" t="str">
        <f t="shared" si="291"/>
        <v/>
      </c>
      <c r="Z1992" s="1278" t="str">
        <f t="shared" si="293"/>
        <v/>
      </c>
      <c r="AA1992" s="619" t="str">
        <f>IFERROR(IF(AND(X1992="",NOT(R1992="")),W1992+120,""),"-")</f>
        <v/>
      </c>
      <c r="AB1992" s="619" t="str">
        <f t="shared" si="288"/>
        <v>Orfebrería -30</v>
      </c>
      <c r="AC1992" s="621">
        <f t="shared" si="294"/>
        <v>35</v>
      </c>
      <c r="AD1992" s="618" t="str">
        <f>IF(INDEX($O$1944:$O$1999,MATCH($A49,$AC$1944:$AC$1999,0)),INDEX($AB$1944:$AB$1999,MATCH($A49,$AC$1944:$AC$1999,0)),"")</f>
        <v/>
      </c>
      <c r="AE1992" s="6071"/>
      <c r="AF1992" s="1359">
        <f>Principal!O70</f>
        <v>0</v>
      </c>
      <c r="AH1992" s="2572"/>
    </row>
    <row r="1993" spans="1:34" ht="12.75" customHeight="1" x14ac:dyDescent="0.2">
      <c r="A1993" s="237">
        <v>1993</v>
      </c>
      <c r="B1993" s="5838"/>
      <c r="C1993" s="289" t="str">
        <f>IF(Ki!$P$62="-",", "&amp;Ki!$K$62,"")</f>
        <v/>
      </c>
      <c r="D1993" s="23"/>
      <c r="E1993" s="39"/>
      <c r="G1993" s="38" t="str">
        <f>IF(Místicos!H19&gt;0,", "&amp;Místicos!H19&amp;" "&amp;Místicos!C19&amp;IF(Místicos!E19="",""," ("&amp;Místicos!E19&amp;")"),"")</f>
        <v/>
      </c>
      <c r="H1993" s="39"/>
      <c r="K1993" s="513" t="str">
        <f t="shared" si="292"/>
        <v/>
      </c>
      <c r="L1993" s="23"/>
      <c r="M1993" s="2337"/>
      <c r="N1993" s="2339" t="str">
        <f t="shared" si="295"/>
        <v/>
      </c>
      <c r="O1993" s="892" t="b">
        <f>OR($S$1940,AND(NOT(Confección_final="-"),OR(PDs!T175&gt;4,PDs!W175&gt;0,PDs!X175&gt;0,$G$311&gt;0)))</f>
        <v>0</v>
      </c>
      <c r="P1993" s="618" t="s">
        <v>6375</v>
      </c>
      <c r="Q1993" s="617">
        <f>PDs!AA175</f>
        <v>-30</v>
      </c>
      <c r="R1993" s="616" t="str">
        <f>IF(PDs!I175=0,"",P1993&amp;" ("&amp;PDs!I175&amp;")")</f>
        <v/>
      </c>
      <c r="S1993" s="616">
        <f>LEFT(PDs!AG175,2)+LEFT(PDs!AH175,2)</f>
        <v>0</v>
      </c>
      <c r="T1993" s="616" t="str">
        <f>IF(PDs!AI175,MID(PDs!AH175,4,25)&amp;MID(PDs!AG175,4,25),"")</f>
        <v/>
      </c>
      <c r="U1993" s="1277"/>
      <c r="V1993" s="1277"/>
      <c r="W1993" s="616">
        <f t="shared" ref="W1993:W1999" si="296">IFERROR(Q1993+AF1993+IF(R1993="",0,-80)+IF(T1993="",0,IF(R1993=T1993,-S1993,0)),"-")</f>
        <v>-30</v>
      </c>
      <c r="X1993" s="616" t="str">
        <f t="shared" ref="X1993:X1999" si="297">IFERROR(IF(AND(NOT(R1993=""),R1993=T1993,$P$1940),W1993+S1993+80,""),"-")</f>
        <v/>
      </c>
      <c r="Y1993" s="616" t="str">
        <f t="shared" si="291"/>
        <v/>
      </c>
      <c r="Z1993" s="1277" t="str">
        <f t="shared" si="293"/>
        <v/>
      </c>
      <c r="AA1993" s="616" t="str">
        <f t="shared" ref="AA1993:AA1999" si="298">IFERROR(IF(AND(X1993="",NOT(R1993="")),W1993+80,""),"-")</f>
        <v/>
      </c>
      <c r="AB1993" s="616" t="str">
        <f t="shared" si="288"/>
        <v>Confección -30</v>
      </c>
      <c r="AC1993" s="618">
        <f t="shared" si="294"/>
        <v>16</v>
      </c>
      <c r="AD1993" s="618" t="str">
        <f>IF(INDEX($O$1944:$O$1999,MATCH($A50,$AC$1944:$AC$1999,0)),INDEX($AB$1944:$AB$1999,MATCH($A50,$AC$1944:$AC$1999,0)),"")</f>
        <v/>
      </c>
      <c r="AE1993" s="6071"/>
      <c r="AF1993" s="1359">
        <f>Principal!O71</f>
        <v>0</v>
      </c>
      <c r="AH1993" s="2572"/>
    </row>
    <row r="1994" spans="1:34" ht="12.75" customHeight="1" x14ac:dyDescent="0.2">
      <c r="A1994" s="237">
        <v>1994</v>
      </c>
      <c r="B1994" s="5838"/>
      <c r="C1994" s="289"/>
      <c r="D1994" s="23"/>
      <c r="E1994" s="39"/>
      <c r="G1994" s="38" t="str">
        <f>IF(Místicos!H20&gt;0,", "&amp;Místicos!H20&amp;" "&amp;Místicos!C20&amp;IF(Místicos!E20="",""," ("&amp;Místicos!E20&amp;")"),"")</f>
        <v/>
      </c>
      <c r="H1994" s="39"/>
      <c r="K1994" s="513" t="str">
        <f t="shared" si="292"/>
        <v/>
      </c>
      <c r="L1994" s="23"/>
      <c r="M1994" s="2337"/>
      <c r="N1994" s="2339" t="str">
        <f t="shared" si="295"/>
        <v/>
      </c>
      <c r="O1994" s="892" t="b">
        <f>OR($S$1940,AND(NOT(Conf.marionetas_final="-"),OR(PDs!T176&gt;4,PDs!W176&gt;0,PDs!X176&gt;0,$G$311&gt;0)))</f>
        <v>0</v>
      </c>
      <c r="P1994" s="618" t="s">
        <v>6376</v>
      </c>
      <c r="Q1994" s="617">
        <f>PDs!AA176</f>
        <v>-30</v>
      </c>
      <c r="R1994" s="616" t="str">
        <f>IF(PDs!I176=0,"",P1994&amp;" ("&amp;PDs!I176&amp;")")</f>
        <v/>
      </c>
      <c r="S1994" s="616">
        <f>LEFT(PDs!AG176,2)+LEFT(PDs!AH176,2)</f>
        <v>0</v>
      </c>
      <c r="T1994" s="616" t="str">
        <f>IF(PDs!AI176,MID(PDs!AH176,4,25)&amp;MID(PDs!AG176,4,25),"")</f>
        <v/>
      </c>
      <c r="U1994" s="1277"/>
      <c r="V1994" s="1277"/>
      <c r="W1994" s="616">
        <f t="shared" si="296"/>
        <v>-30</v>
      </c>
      <c r="X1994" s="616" t="str">
        <f t="shared" si="297"/>
        <v/>
      </c>
      <c r="Y1994" s="616" t="str">
        <f t="shared" si="291"/>
        <v/>
      </c>
      <c r="Z1994" s="1277" t="str">
        <f t="shared" si="293"/>
        <v/>
      </c>
      <c r="AA1994" s="616" t="str">
        <f t="shared" si="298"/>
        <v/>
      </c>
      <c r="AB1994" s="616" t="str">
        <f t="shared" si="288"/>
        <v>Conf. marionetas -30</v>
      </c>
      <c r="AC1994" s="618">
        <f t="shared" si="294"/>
        <v>15</v>
      </c>
      <c r="AD1994" s="618" t="str">
        <f>IF(INDEX($O$1944:$O$1999,MATCH($A51,$AC$1944:$AC$1999,0)),INDEX($AB$1944:$AB$1999,MATCH($A51,$AC$1944:$AC$1999,0)),"")</f>
        <v/>
      </c>
      <c r="AE1994" s="6071"/>
      <c r="AF1994" s="1359">
        <f>Principal!O72</f>
        <v>0</v>
      </c>
      <c r="AH1994" s="2572"/>
    </row>
    <row r="1995" spans="1:34" ht="12.75" customHeight="1" x14ac:dyDescent="0.2">
      <c r="A1995" s="237">
        <v>1995</v>
      </c>
      <c r="B1995" s="5838"/>
      <c r="C1995" s="289"/>
      <c r="D1995" s="23"/>
      <c r="E1995" s="39"/>
      <c r="G1995" s="38" t="str">
        <f>IF(Místicos!H21&gt;0,", "&amp;Místicos!H21&amp;" "&amp;Místicos!C21&amp;IF(Místicos!E21="",""," ("&amp;Místicos!E21&amp;")"),"")</f>
        <v/>
      </c>
      <c r="H1995" s="39"/>
      <c r="K1995" s="513" t="str">
        <f t="shared" si="292"/>
        <v/>
      </c>
      <c r="L1995" s="23"/>
      <c r="M1995" s="2337"/>
      <c r="N1995" s="2339" t="str">
        <f t="shared" si="295"/>
        <v/>
      </c>
      <c r="O1995" s="893" t="b">
        <f>OR(AND($S$1940,PDs!E177&lt;&gt;""),AND(NOT(PDs!$AA$177="-"),OR(PDs!T177&gt;4,PDs!W177&gt;0,PDs!X177&gt;0,$G$311&gt;0)))</f>
        <v>0</v>
      </c>
      <c r="P1995" s="621" t="str">
        <f>IF(PDs!E177="","Secundaria Personal 1",PDs!E177)</f>
        <v>Secundaria Personal 1</v>
      </c>
      <c r="Q1995" s="620" t="str">
        <f>PDs!AA177</f>
        <v>-</v>
      </c>
      <c r="R1995" s="619" t="str">
        <f>IF(PDs!I177=0,"",P1995&amp;" ("&amp;PDs!I177&amp;")")</f>
        <v/>
      </c>
      <c r="S1995" s="619">
        <f>PDs!AF177</f>
        <v>0</v>
      </c>
      <c r="T1995" s="619"/>
      <c r="U1995" s="1278"/>
      <c r="V1995" s="1278"/>
      <c r="W1995" s="619" t="str">
        <f t="shared" si="296"/>
        <v>-</v>
      </c>
      <c r="X1995" s="619" t="str">
        <f t="shared" si="297"/>
        <v/>
      </c>
      <c r="Y1995" s="619" t="str">
        <f t="shared" si="291"/>
        <v/>
      </c>
      <c r="Z1995" s="1278" t="str">
        <f t="shared" si="293"/>
        <v/>
      </c>
      <c r="AA1995" s="619" t="str">
        <f t="shared" si="298"/>
        <v/>
      </c>
      <c r="AB1995" s="619" t="str">
        <f t="shared" si="288"/>
        <v>Secundaria Personal 1 -</v>
      </c>
      <c r="AC1995" s="621">
        <f t="shared" si="294"/>
        <v>44</v>
      </c>
      <c r="AD1995" s="618" t="str">
        <f>IF(INDEX($O$1944:$O$1999,MATCH($A52,$AC$1944:$AC$1999,0)),INDEX($AB$1944:$AB$1999,MATCH($A52,$AC$1944:$AC$1999,0)),"")</f>
        <v/>
      </c>
      <c r="AE1995" s="6071"/>
      <c r="AF1995" s="1359">
        <f>Principal!O73</f>
        <v>0</v>
      </c>
      <c r="AH1995" s="2572"/>
    </row>
    <row r="1996" spans="1:34" ht="12.75" customHeight="1" x14ac:dyDescent="0.2">
      <c r="A1996" s="237">
        <v>1996</v>
      </c>
      <c r="B1996" s="5838"/>
      <c r="C1996" s="289" t="str">
        <f>IF(Ki!$H$43="-",", "&amp;Ki!$C$43,"")</f>
        <v/>
      </c>
      <c r="D1996" s="23"/>
      <c r="E1996" s="39"/>
      <c r="G1996" s="38" t="str">
        <f>IF(Místicos!H22&gt;0,", "&amp;Místicos!H22&amp;" "&amp;Místicos!C22&amp;IF(Místicos!E22="",""," ("&amp;Místicos!E22&amp;")"),"")</f>
        <v/>
      </c>
      <c r="H1996" s="39"/>
      <c r="K1996" s="513" t="str">
        <f t="shared" si="292"/>
        <v/>
      </c>
      <c r="L1996" s="23"/>
      <c r="M1996" s="2337"/>
      <c r="N1996" s="2339" t="str">
        <f t="shared" si="295"/>
        <v/>
      </c>
      <c r="O1996" s="893" t="b">
        <f>OR(AND($S$1940,PDs!E178&lt;&gt;""),AND(NOT(PDs!$AA$178="-"),OR(PDs!T178&gt;4,PDs!W178&gt;0,PDs!X178&gt;0,$G$311&gt;0)))</f>
        <v>0</v>
      </c>
      <c r="P1996" s="621" t="str">
        <f>IF(PDs!E178="","Secundaria Personal 2",PDs!E178)</f>
        <v>Secundaria Personal 2</v>
      </c>
      <c r="Q1996" s="620" t="str">
        <f>PDs!AA178</f>
        <v>-</v>
      </c>
      <c r="R1996" s="619" t="str">
        <f>IF(PDs!I178=0,"",P1996&amp;" ("&amp;PDs!I178&amp;")")</f>
        <v/>
      </c>
      <c r="S1996" s="619">
        <f>PDs!AF178</f>
        <v>0</v>
      </c>
      <c r="T1996" s="619"/>
      <c r="U1996" s="1278"/>
      <c r="V1996" s="1278"/>
      <c r="W1996" s="619" t="str">
        <f t="shared" si="296"/>
        <v>-</v>
      </c>
      <c r="X1996" s="619" t="str">
        <f t="shared" si="297"/>
        <v/>
      </c>
      <c r="Y1996" s="619" t="str">
        <f t="shared" si="291"/>
        <v/>
      </c>
      <c r="Z1996" s="1278" t="str">
        <f t="shared" si="293"/>
        <v/>
      </c>
      <c r="AA1996" s="619" t="str">
        <f t="shared" si="298"/>
        <v/>
      </c>
      <c r="AB1996" s="619" t="str">
        <f t="shared" si="288"/>
        <v>Secundaria Personal 2 -</v>
      </c>
      <c r="AC1996" s="621">
        <f t="shared" si="294"/>
        <v>45</v>
      </c>
      <c r="AD1996" s="618" t="str">
        <f>IF(INDEX($O$1944:$O$1999,MATCH($A53,$AC$1944:$AC$1999,0)),INDEX($AB$1944:$AB$1999,MATCH($A53,$AC$1944:$AC$1999,0)),"")</f>
        <v/>
      </c>
      <c r="AE1996" s="6071"/>
      <c r="AF1996" s="1359">
        <f>Principal!O74</f>
        <v>0</v>
      </c>
      <c r="AH1996" s="2572"/>
    </row>
    <row r="1997" spans="1:34" ht="12.75" customHeight="1" x14ac:dyDescent="0.2">
      <c r="A1997" s="237">
        <v>1997</v>
      </c>
      <c r="B1997" s="5838"/>
      <c r="C1997" s="289" t="str">
        <f>IF(Ki!$H$45="-",", "&amp;Ki!$C$45,"")</f>
        <v/>
      </c>
      <c r="D1997" s="23"/>
      <c r="E1997" s="39"/>
      <c r="G1997" s="38" t="str">
        <f>IF(Místicos!H23&gt;0,", "&amp;Místicos!H23&amp;" "&amp;Místicos!C23&amp;IF(Místicos!E23="",""," ("&amp;Místicos!E23&amp;")"),"")</f>
        <v/>
      </c>
      <c r="H1997" s="39"/>
      <c r="K1997" s="513" t="str">
        <f t="shared" si="292"/>
        <v/>
      </c>
      <c r="L1997" s="23"/>
      <c r="M1997" s="2337"/>
      <c r="N1997" s="2339" t="str">
        <f t="shared" si="295"/>
        <v/>
      </c>
      <c r="O1997" s="893" t="b">
        <f>OR(AND($S$1940,PDs!E179&lt;&gt;""),AND(NOT(PDs!$AA$179="-"),OR(PDs!T179&gt;4,PDs!W179&gt;0,PDs!X179&gt;0,$G$311&gt;0)))</f>
        <v>0</v>
      </c>
      <c r="P1997" s="621" t="str">
        <f>IF(PDs!E179="","Secundaria Personal 3",PDs!E179)</f>
        <v>Secundaria Personal 3</v>
      </c>
      <c r="Q1997" s="620" t="str">
        <f>PDs!AA179</f>
        <v>-</v>
      </c>
      <c r="R1997" s="619" t="str">
        <f>IF(PDs!I179=0,"",P1997&amp;" ("&amp;PDs!I179&amp;")")</f>
        <v/>
      </c>
      <c r="S1997" s="619">
        <f>PDs!AF179</f>
        <v>0</v>
      </c>
      <c r="T1997" s="619"/>
      <c r="U1997" s="1278"/>
      <c r="V1997" s="1278"/>
      <c r="W1997" s="619" t="str">
        <f t="shared" si="296"/>
        <v>-</v>
      </c>
      <c r="X1997" s="619" t="str">
        <f t="shared" si="297"/>
        <v/>
      </c>
      <c r="Y1997" s="619" t="str">
        <f t="shared" si="291"/>
        <v/>
      </c>
      <c r="Z1997" s="1278" t="str">
        <f t="shared" si="293"/>
        <v/>
      </c>
      <c r="AA1997" s="619" t="str">
        <f t="shared" si="298"/>
        <v/>
      </c>
      <c r="AB1997" s="619" t="str">
        <f t="shared" si="288"/>
        <v>Secundaria Personal 3 -</v>
      </c>
      <c r="AC1997" s="621">
        <f t="shared" si="294"/>
        <v>46</v>
      </c>
      <c r="AD1997" s="618" t="str">
        <f>IF(INDEX($O$1944:$O$1999,MATCH($A54,$AC$1944:$AC$1999,0)),INDEX($AB$1944:$AB$1999,MATCH($A54,$AC$1944:$AC$1999,0)),"")</f>
        <v/>
      </c>
      <c r="AE1997" s="6071"/>
      <c r="AF1997" s="1359">
        <f>Principal!O75</f>
        <v>0</v>
      </c>
      <c r="AH1997" s="2572"/>
    </row>
    <row r="1998" spans="1:34" ht="12.75" customHeight="1" x14ac:dyDescent="0.2">
      <c r="A1998" s="237">
        <v>1998</v>
      </c>
      <c r="B1998" s="5838"/>
      <c r="C1998" s="289" t="str">
        <f>IF(Ki!$H$46="-",", "&amp;Ki!$D$46,"")</f>
        <v/>
      </c>
      <c r="D1998" s="23"/>
      <c r="E1998" s="39"/>
      <c r="G1998" s="38" t="str">
        <f>IF(Místicos!H24&gt;0,", "&amp;Místicos!H24&amp;" "&amp;Místicos!C24&amp;IF(Místicos!E24="",""," ("&amp;Místicos!E24&amp;")"),"")</f>
        <v/>
      </c>
      <c r="H1998" s="39"/>
      <c r="K1998" s="513" t="str">
        <f t="shared" si="292"/>
        <v/>
      </c>
      <c r="L1998" s="23"/>
      <c r="M1998" s="2337"/>
      <c r="N1998" s="2339" t="str">
        <f t="shared" si="295"/>
        <v/>
      </c>
      <c r="O1998" s="893" t="b">
        <f>OR(AND($S$1940,PDs!E180&lt;&gt;""),AND(NOT(PDs!$AA$180="-"),OR(PDs!T180&gt;4,PDs!W180&gt;0,PDs!X180&gt;0,$G$311&gt;0)))</f>
        <v>0</v>
      </c>
      <c r="P1998" s="621" t="str">
        <f>IF(PDs!E180="","Secundaria Personal 4",PDs!E180)</f>
        <v>Secundaria Personal 4</v>
      </c>
      <c r="Q1998" s="620" t="str">
        <f>PDs!AA180</f>
        <v>-</v>
      </c>
      <c r="R1998" s="619" t="str">
        <f>IF(PDs!I180=0,"",P1998&amp;" ("&amp;PDs!I180&amp;")")</f>
        <v/>
      </c>
      <c r="S1998" s="619">
        <f>PDs!AF180</f>
        <v>0</v>
      </c>
      <c r="T1998" s="619"/>
      <c r="U1998" s="1278"/>
      <c r="V1998" s="1278"/>
      <c r="W1998" s="619" t="str">
        <f t="shared" si="296"/>
        <v>-</v>
      </c>
      <c r="X1998" s="619" t="str">
        <f t="shared" si="297"/>
        <v/>
      </c>
      <c r="Y1998" s="619" t="str">
        <f t="shared" si="291"/>
        <v/>
      </c>
      <c r="Z1998" s="1278" t="str">
        <f t="shared" si="293"/>
        <v/>
      </c>
      <c r="AA1998" s="619" t="str">
        <f t="shared" si="298"/>
        <v/>
      </c>
      <c r="AB1998" s="619" t="str">
        <f t="shared" si="288"/>
        <v>Secundaria Personal 4 -</v>
      </c>
      <c r="AC1998" s="621">
        <f t="shared" si="294"/>
        <v>47</v>
      </c>
      <c r="AD1998" s="618" t="str">
        <f>IF(INDEX($O$1944:$O$1999,MATCH($A55,$AC$1944:$AC$1999,0)),INDEX($AB$1944:$AB$1999,MATCH($A55,$AC$1944:$AC$1999,0)),"")</f>
        <v/>
      </c>
      <c r="AE1998" s="6071"/>
      <c r="AF1998" s="1359">
        <f>Principal!O76</f>
        <v>0</v>
      </c>
      <c r="AH1998" s="2572"/>
    </row>
    <row r="1999" spans="1:34" ht="12.75" customHeight="1" thickBot="1" x14ac:dyDescent="0.25">
      <c r="A1999" s="237">
        <v>1999</v>
      </c>
      <c r="B1999" s="5838"/>
      <c r="C1999" s="289" t="str">
        <f>IF(Ki!$H$47="-",", "&amp;Ki!$C$47,"")</f>
        <v/>
      </c>
      <c r="D1999" s="23"/>
      <c r="E1999" s="39"/>
      <c r="G1999" s="38" t="str">
        <f>IF(Místicos!H25&gt;0,", "&amp;Místicos!H25&amp;" "&amp;Místicos!C25&amp;IF(Místicos!E25="",""," ("&amp;Místicos!E25&amp;")"),"")</f>
        <v/>
      </c>
      <c r="H1999" s="39"/>
      <c r="K1999" s="515" t="str">
        <f t="shared" si="292"/>
        <v/>
      </c>
      <c r="L1999" s="610"/>
      <c r="M1999" s="2338"/>
      <c r="N1999" s="2340" t="str">
        <f t="shared" si="295"/>
        <v/>
      </c>
      <c r="O1999" s="1274" t="b">
        <f>OR(AND($S$1940,PDs!E181&lt;&gt;""),AND(NOT(PDs!$AA$181="-"),OR(PDs!T181&gt;4,PDs!W181&gt;0,PDs!X181&gt;0,$G$311&gt;0)))</f>
        <v>0</v>
      </c>
      <c r="P1999" s="1275" t="str">
        <f>IF(PDs!E181="","Secundaria Personal 5",PDs!E181)</f>
        <v>Secundaria Personal 5</v>
      </c>
      <c r="Q1999" s="1276" t="str">
        <f>PDs!AA181</f>
        <v>-</v>
      </c>
      <c r="R1999" s="1174" t="str">
        <f>IF(PDs!I181=0,"",P1999&amp;" ("&amp;PDs!I181&amp;")")</f>
        <v/>
      </c>
      <c r="S1999" s="1174">
        <f>PDs!AF181</f>
        <v>0</v>
      </c>
      <c r="T1999" s="1174"/>
      <c r="U1999" s="1279"/>
      <c r="V1999" s="1279"/>
      <c r="W1999" s="1174" t="str">
        <f t="shared" si="296"/>
        <v>-</v>
      </c>
      <c r="X1999" s="1174" t="str">
        <f t="shared" si="297"/>
        <v/>
      </c>
      <c r="Y1999" s="1174" t="str">
        <f t="shared" si="291"/>
        <v/>
      </c>
      <c r="Z1999" s="1279" t="str">
        <f t="shared" si="293"/>
        <v/>
      </c>
      <c r="AA1999" s="1174" t="str">
        <f t="shared" si="298"/>
        <v/>
      </c>
      <c r="AB1999" s="1174" t="str">
        <f t="shared" si="288"/>
        <v>Secundaria Personal 5 -</v>
      </c>
      <c r="AC1999" s="1275">
        <f t="shared" si="294"/>
        <v>48</v>
      </c>
      <c r="AD1999" s="1170" t="str">
        <f>IF(INDEX($O$1944:$O$1999,MATCH($A56,$AC$1944:$AC$1999,0)),INDEX($AB$1944:$AB$1999,MATCH($A56,$AC$1944:$AC$1999,0)),"")</f>
        <v/>
      </c>
      <c r="AE1999" s="6072"/>
      <c r="AF1999" s="1360">
        <f>Principal!O77</f>
        <v>0</v>
      </c>
      <c r="AH1999" s="2572"/>
    </row>
    <row r="2000" spans="1:34" ht="12.75" customHeight="1" thickBot="1" x14ac:dyDescent="0.25">
      <c r="A2000" s="237">
        <v>2000</v>
      </c>
      <c r="B2000" s="5838"/>
      <c r="C2000" s="289" t="str">
        <f>IF(Ki!$H$48="-",", "&amp;Ki!$D$48,"")</f>
        <v/>
      </c>
      <c r="D2000" s="23"/>
      <c r="E2000" s="39"/>
      <c r="G2000" s="75" t="str">
        <f>IF(Místicos!H26&gt;0,IFERROR(", "&amp;Místicos!H26&amp;" "&amp;Místicos!C26&amp;" ("&amp;H2005&amp;")",""),"")</f>
        <v/>
      </c>
      <c r="H2000" s="77"/>
      <c r="K2000" s="5836" t="str">
        <f>MID(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1999,3,1000)</f>
        <v/>
      </c>
      <c r="L2000" s="5837"/>
      <c r="M2000" s="2335"/>
      <c r="N2000" s="2341" t="str">
        <f>MID(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1999,3,1000)</f>
        <v/>
      </c>
      <c r="S2000" s="592"/>
      <c r="Y2000"/>
      <c r="Z2000"/>
      <c r="AA2000"/>
      <c r="AB2000"/>
      <c r="AH2000" s="2572"/>
    </row>
    <row r="2001" spans="1:34" ht="12.75" customHeight="1" thickBot="1" x14ac:dyDescent="0.25">
      <c r="A2001" s="237">
        <v>2001</v>
      </c>
      <c r="B2001" s="5838"/>
      <c r="C2001" s="289" t="str">
        <f>IF(Ki!$H$49="-",", "&amp;Ki!$C$49,"")</f>
        <v/>
      </c>
      <c r="D2001" s="23"/>
      <c r="E2001" s="39"/>
      <c r="AH2001" s="2572"/>
    </row>
    <row r="2002" spans="1:34" ht="12.75" customHeight="1" thickBot="1" x14ac:dyDescent="0.25">
      <c r="A2002" s="237">
        <v>2002</v>
      </c>
      <c r="B2002" s="5838"/>
      <c r="C2002" s="289" t="str">
        <f>IF(Ki!$H$50="-",", "&amp;Ki!$D$50,"")</f>
        <v/>
      </c>
      <c r="D2002" s="23"/>
      <c r="E2002" s="39"/>
      <c r="G2002" s="3228" t="s">
        <v>8939</v>
      </c>
      <c r="H2002" s="3302"/>
      <c r="AH2002" s="2572"/>
    </row>
    <row r="2003" spans="1:34" ht="12.75" customHeight="1" thickBot="1" x14ac:dyDescent="0.25">
      <c r="A2003" s="237">
        <v>2003</v>
      </c>
      <c r="B2003" s="5838"/>
      <c r="C2003" s="289" t="str">
        <f>IF(Ki!$H$51="-",", "&amp;Ki!$C$51,"")</f>
        <v/>
      </c>
      <c r="D2003" s="23"/>
      <c r="E2003" s="39"/>
      <c r="G2003" s="5824"/>
      <c r="H2003" s="5581"/>
      <c r="AH2003" s="2572"/>
    </row>
    <row r="2004" spans="1:34" ht="12.75" customHeight="1" thickBot="1" x14ac:dyDescent="0.25">
      <c r="A2004" s="237">
        <v>2004</v>
      </c>
      <c r="B2004" s="5838"/>
      <c r="C2004" s="289" t="str">
        <f>IF(Ki!$H$52="-",", "&amp;Ki!$D$52,"")</f>
        <v/>
      </c>
      <c r="D2004" s="23"/>
      <c r="E2004" s="39"/>
      <c r="G2004" s="1957"/>
      <c r="H2004" s="1960" t="s">
        <v>8945</v>
      </c>
    </row>
    <row r="2005" spans="1:34" ht="12.75" customHeight="1" thickBot="1" x14ac:dyDescent="0.25">
      <c r="A2005" s="237">
        <v>2005</v>
      </c>
      <c r="B2005" s="5838"/>
      <c r="C2005" s="289" t="str">
        <f>IF(Ki!$H$53="-",", "&amp;Ki!$C$53,"")</f>
        <v/>
      </c>
      <c r="D2005" s="23"/>
      <c r="E2005" s="39"/>
      <c r="G2005"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5" s="1959" t="str">
        <f>IFERROR(RIGHT(G2005,LEN(G2005)-2),"")</f>
        <v/>
      </c>
    </row>
    <row r="2006" spans="1:34" ht="12.75" customHeight="1" thickBot="1" x14ac:dyDescent="0.25">
      <c r="A2006" s="237">
        <v>2006</v>
      </c>
      <c r="B2006" s="5838"/>
      <c r="C2006" s="289" t="str">
        <f>IF(Ki!$H$54="-",", "&amp;Ki!$C$54,"")</f>
        <v/>
      </c>
      <c r="D2006" s="23"/>
      <c r="E2006" s="39"/>
    </row>
    <row r="2007" spans="1:34" ht="12.75" customHeight="1" thickBot="1" x14ac:dyDescent="0.25">
      <c r="A2007" s="237">
        <v>2007</v>
      </c>
      <c r="B2007" s="5838"/>
      <c r="C2007" s="289" t="str">
        <f>IF(CuerpodeVacío,", "&amp;Ki!$C$56,"")</f>
        <v/>
      </c>
      <c r="D2007" s="23"/>
      <c r="E2007" s="39"/>
      <c r="G2007" s="3228" t="s">
        <v>9844</v>
      </c>
      <c r="H2007" s="3302"/>
    </row>
    <row r="2008" spans="1:34" ht="12.75" customHeight="1" thickBot="1" x14ac:dyDescent="0.25">
      <c r="A2008" s="237">
        <v>2008</v>
      </c>
      <c r="B2008" s="5838"/>
      <c r="C2008" s="289" t="str">
        <f>IF(Ki!$H$57="-",", "&amp;Ki!$D$57,"")</f>
        <v/>
      </c>
      <c r="D2008" s="23"/>
      <c r="E2008" s="39"/>
      <c r="G2008" s="5824"/>
      <c r="H2008" s="5581"/>
    </row>
    <row r="2009" spans="1:34" ht="12.75" customHeight="1" thickBot="1" x14ac:dyDescent="0.25">
      <c r="A2009" s="237">
        <v>2009</v>
      </c>
      <c r="B2009" s="5838"/>
      <c r="C2009" s="289" t="str">
        <f>IF(Ki!$H$58="-",", "&amp;Ki!$D$58,"")</f>
        <v/>
      </c>
      <c r="D2009" s="23"/>
      <c r="E2009" s="39"/>
      <c r="G2009" s="2553" t="str">
        <f>Tablas!G1989&amp;Tablas!G1990&amp;Tablas!G1991&amp;Tablas!G1992&amp;Tablas!G1993&amp;Tablas!G1994&amp;Tablas!G1995&amp;Tablas!G1996&amp;Tablas!G1997&amp;Tablas!G1998&amp;Tablas!G1999&amp;Tablas!G2000&amp;IF(Místicos!W53="","",",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9" s="615"/>
    </row>
    <row r="2010" spans="1:34" ht="12.75" customHeight="1" x14ac:dyDescent="0.2">
      <c r="A2010" s="237">
        <v>2010</v>
      </c>
      <c r="B2010" s="5838"/>
      <c r="C2010" s="289" t="str">
        <f>IF(Ki!$H$55="-",", "&amp;Ki!$D$55,"")</f>
        <v/>
      </c>
      <c r="D2010" s="23"/>
      <c r="E2010" s="39"/>
    </row>
    <row r="2011" spans="1:34" ht="12.75" customHeight="1" thickBot="1" x14ac:dyDescent="0.25">
      <c r="A2011" s="237">
        <v>2011</v>
      </c>
      <c r="B2011" s="5838"/>
      <c r="C2011" s="289" t="str">
        <f>IF(Ki!$H$59="-",", "&amp;Ki!$D$59,"")</f>
        <v/>
      </c>
      <c r="D2011" s="23"/>
      <c r="E2011" s="39"/>
    </row>
    <row r="2012" spans="1:34" ht="12.75" customHeight="1" thickBot="1" x14ac:dyDescent="0.25">
      <c r="A2012" s="237">
        <v>2012</v>
      </c>
      <c r="B2012" s="5838"/>
      <c r="C2012" s="289" t="str">
        <f>IF(Ki!$H$60="-",", "&amp;Ki!$E$60,"")</f>
        <v/>
      </c>
      <c r="D2012" s="23"/>
      <c r="E2012" s="39"/>
      <c r="G2012" s="3324" t="s">
        <v>649</v>
      </c>
      <c r="H2012" s="3324"/>
    </row>
    <row r="2013" spans="1:34" ht="12.75" customHeight="1" thickBot="1" x14ac:dyDescent="0.25">
      <c r="A2013" s="237">
        <v>2013</v>
      </c>
      <c r="B2013" s="5838"/>
      <c r="C2013" s="289" t="str">
        <f>IF(Ki!$H$61="-",", "&amp;Ki!$C$61,"")</f>
        <v/>
      </c>
      <c r="D2013" s="23"/>
      <c r="E2013" s="39"/>
      <c r="G2013" s="3324"/>
      <c r="H2013" s="3324"/>
    </row>
    <row r="2014" spans="1:34" ht="12.75" customHeight="1" x14ac:dyDescent="0.2">
      <c r="A2014" s="237">
        <v>2014</v>
      </c>
      <c r="B2014" s="5838"/>
      <c r="C2014" s="289" t="str">
        <f>IF(Ki!$H$62="-",", "&amp;Ki!$C$62,"")</f>
        <v/>
      </c>
      <c r="D2014" s="23"/>
      <c r="E2014" s="39"/>
      <c r="G2014" s="38" t="str">
        <f>IF(Combate!AB55="","",IF(SUM(Ki!U23:U63)=0,"Magnus ("&amp;Combate!AB55&amp;")",", Magnus ("&amp;Combate!AB55&amp;")"))</f>
        <v/>
      </c>
      <c r="H2014" s="39"/>
    </row>
    <row r="2015" spans="1:34" ht="12.75" customHeight="1" x14ac:dyDescent="0.2">
      <c r="A2015" s="237">
        <v>2015</v>
      </c>
      <c r="B2015" s="5838"/>
      <c r="C2015" s="289" t="str">
        <f>IF(Tablas!$AI$50,", "&amp;"Inhumanidad","")</f>
        <v/>
      </c>
      <c r="D2015" s="23"/>
      <c r="E2015" s="39"/>
      <c r="G2015" s="38" t="str">
        <f>IF(Combate!AB57="","",", Magnus ("&amp;Combate!AB57&amp;")")</f>
        <v/>
      </c>
      <c r="H2015" s="39"/>
    </row>
    <row r="2016" spans="1:34" ht="12.75" customHeight="1" x14ac:dyDescent="0.2">
      <c r="A2016" s="237">
        <v>2016</v>
      </c>
      <c r="B2016" s="5838"/>
      <c r="C2016" s="289" t="str">
        <f>IF(Tablas!$AJ$50,", "&amp;"Zen","")</f>
        <v/>
      </c>
      <c r="D2016" s="23"/>
      <c r="E2016" s="39"/>
      <c r="G2016" s="38" t="str">
        <f>IF(Combate!AB59="","",", Magnus ("&amp;Combate!AB59&amp;")")</f>
        <v/>
      </c>
      <c r="H2016" s="39"/>
    </row>
    <row r="2017" spans="1:33" ht="12.75" customHeight="1" x14ac:dyDescent="0.2">
      <c r="A2017" s="237">
        <v>2017</v>
      </c>
      <c r="B2017" s="5838"/>
      <c r="C2017" s="289" t="str">
        <f>IF(Ki!C40="","",", "&amp;Ki!C40)</f>
        <v/>
      </c>
      <c r="D2017" s="23"/>
      <c r="E2017" s="39"/>
      <c r="G2017" s="38" t="str">
        <f>IF(Combate!AB61="","",", Magnus ("&amp;Combate!AB61&amp;")")</f>
        <v/>
      </c>
      <c r="H2017" s="39"/>
    </row>
    <row r="2018" spans="1:33" ht="12.75" customHeight="1" thickBot="1" x14ac:dyDescent="0.25">
      <c r="A2018" s="237">
        <v>2018</v>
      </c>
      <c r="B2018" s="5838"/>
      <c r="C2018" s="290" t="str">
        <f>IF(Ki!C41="","",", "&amp;Ki!C41)</f>
        <v/>
      </c>
      <c r="D2018" s="76"/>
      <c r="E2018" s="77"/>
      <c r="G2018" s="75" t="str">
        <f>IF(Combate!AB63="","",", Magnus ("&amp;Combate!AB63&amp;")")</f>
        <v/>
      </c>
      <c r="H2018" s="77"/>
    </row>
    <row r="2019" spans="1:33" ht="12.75" customHeight="1" x14ac:dyDescent="0.2">
      <c r="A2019" s="237">
        <v>2019</v>
      </c>
      <c r="B2019" s="5838"/>
      <c r="H2019"/>
      <c r="I2019" s="592"/>
    </row>
    <row r="2020" spans="1:33" ht="12.75" customHeight="1" x14ac:dyDescent="0.2">
      <c r="A2020" s="237">
        <v>2020</v>
      </c>
      <c r="B2020" s="5838"/>
      <c r="C2020" s="3019" t="s">
        <v>648</v>
      </c>
      <c r="D2020" s="3019"/>
      <c r="E2020" s="3019"/>
      <c r="F2020" s="3019"/>
      <c r="G2020" s="3019"/>
      <c r="H2020"/>
      <c r="I2020" s="592"/>
    </row>
    <row r="2021" spans="1:33" ht="12.75" customHeight="1" x14ac:dyDescent="0.2">
      <c r="A2021" s="237">
        <v>2021</v>
      </c>
      <c r="B2021" s="5838"/>
      <c r="C2021" s="5816"/>
      <c r="D2021" s="5816"/>
      <c r="E2021" s="5816"/>
      <c r="F2021" s="5816"/>
      <c r="G2021" s="5816"/>
      <c r="H2021"/>
      <c r="I2021" s="592"/>
    </row>
    <row r="2022" spans="1:33" ht="12.75" customHeight="1" x14ac:dyDescent="0.2">
      <c r="A2022" s="237">
        <v>2022</v>
      </c>
      <c r="B2022" s="5838"/>
      <c r="C2022" s="913" t="s">
        <v>2665</v>
      </c>
      <c r="D2022" s="883" t="s">
        <v>1368</v>
      </c>
      <c r="E2022" s="883" t="s">
        <v>8740</v>
      </c>
      <c r="F2022" s="882" t="s">
        <v>6493</v>
      </c>
      <c r="G2022" s="884" t="s">
        <v>7278</v>
      </c>
      <c r="H2022"/>
      <c r="I2022" s="592"/>
    </row>
    <row r="2023" spans="1:33" ht="12.75" customHeight="1" x14ac:dyDescent="0.2">
      <c r="A2023" s="237">
        <v>2023</v>
      </c>
      <c r="B2023" s="5838"/>
      <c r="C2023" s="911" t="str">
        <f t="shared" ref="C2023:C2057" si="299">IF(D2023="","",COUNTIF($D$2023:$D$2065,"&lt;="&amp;D2023)-SUMPRODUCT(--($D$2023:$D$2065="")))</f>
        <v/>
      </c>
      <c r="D2023" s="513" t="str">
        <f>IF(Combate!AL11=" ","",Combate!AL11)</f>
        <v/>
      </c>
      <c r="E2023" s="513" t="str">
        <f>D2023</f>
        <v/>
      </c>
      <c r="F2023" s="879" t="str">
        <f>IF(ISNA(VLOOKUP(MIN($C$2023:$C$2065)+A1-1,$C$2023:$E$2065,3,0)),"",VLOOKUP(MIN($C$2023:$C$2065)+A1-1,$C$2023:$E$2065,3,0))</f>
        <v/>
      </c>
      <c r="G2023" s="5938" t="str">
        <f>F2023&amp;F2024&amp;F2025&amp;F2026&amp;F2027&amp;F2028&amp;F2029&amp;F2030&amp;F2031&amp;F2032&amp;F2033&amp;F2034&amp;F2035&amp;F2036&amp;F2037&amp;F2038&amp;F2039&amp;F2040&amp;F2041&amp;F2042&amp;F2043&amp;F2044&amp;F2045&amp;F2046&amp;F2047&amp;F2048&amp;F2049&amp;F2050&amp;F2051&amp;F2052&amp;F2054&amp;F2053&amp;F2055&amp;F2056&amp;F2057&amp;F2058&amp;F2059&amp;F2060&amp;F2061&amp;F2062&amp;F2063&amp;F2064&amp;F2065</f>
        <v/>
      </c>
      <c r="H2023"/>
      <c r="I2023" s="592"/>
      <c r="N2023"/>
      <c r="O2023" s="592"/>
    </row>
    <row r="2024" spans="1:33" ht="12.75" customHeight="1" thickBot="1" x14ac:dyDescent="0.25">
      <c r="A2024" s="237">
        <v>2024</v>
      </c>
      <c r="B2024" s="5838"/>
      <c r="C2024" s="910" t="str">
        <f t="shared" si="299"/>
        <v/>
      </c>
      <c r="D2024" s="513" t="str">
        <f>IF(Combate!AL12=" ","",Combate!AL12)</f>
        <v/>
      </c>
      <c r="E2024" s="513" t="str">
        <f t="shared" ref="E2024:E2027" si="300">D2024</f>
        <v/>
      </c>
      <c r="F2024" s="880" t="str">
        <f>IF(ISNA(VLOOKUP(MIN($C$2023:$C$2065)+A2-1,$C$2023:$E$2065,3,0)),"",", "&amp;VLOOKUP(MIN($C$2023:$C$2065)+A2-1,$C$2023:$E$2065,3,0))</f>
        <v/>
      </c>
      <c r="G2024" s="5938"/>
      <c r="H2024"/>
      <c r="I2024" s="592"/>
      <c r="N2024"/>
      <c r="O2024" s="592"/>
    </row>
    <row r="2025" spans="1:33" ht="12.75" customHeight="1" x14ac:dyDescent="0.2">
      <c r="A2025" s="237">
        <v>2025</v>
      </c>
      <c r="B2025" s="5838"/>
      <c r="C2025" s="910" t="str">
        <f t="shared" si="299"/>
        <v/>
      </c>
      <c r="D2025" s="513" t="str">
        <f>IF(Combate!AL13=" ","",Combate!AL13)</f>
        <v/>
      </c>
      <c r="E2025" s="513" t="str">
        <f t="shared" si="300"/>
        <v/>
      </c>
      <c r="F2025" s="880" t="str">
        <f>IF(ISNA(VLOOKUP(MIN($C$2023:$C$2065)+A3-1,$C$2023:$E$2065,3,0)),"",", "&amp;VLOOKUP(MIN($C$2023:$C$2065)+A3-1,$C$2023:$E$2065,3,0))</f>
        <v/>
      </c>
      <c r="G2025" s="5938"/>
      <c r="J2025" s="2998" t="s">
        <v>7271</v>
      </c>
      <c r="K2025" s="2999"/>
      <c r="L2025" s="2999"/>
      <c r="M2025" s="2999"/>
      <c r="N2025" s="2999"/>
      <c r="O2025" s="2999"/>
      <c r="P2025" s="2999"/>
      <c r="Q2025" s="2999"/>
      <c r="R2025" s="2999"/>
      <c r="S2025" s="2999"/>
      <c r="T2025" s="2999"/>
      <c r="U2025" s="2999"/>
      <c r="V2025" s="2999"/>
      <c r="W2025" s="2999"/>
      <c r="X2025" s="2999"/>
      <c r="Y2025" s="2999"/>
      <c r="Z2025" s="2999"/>
      <c r="AA2025" s="2999"/>
      <c r="AB2025" s="2999"/>
      <c r="AC2025" s="2999"/>
      <c r="AD2025" s="2999"/>
      <c r="AE2025" s="3000"/>
    </row>
    <row r="2026" spans="1:33" ht="12.75" customHeight="1" x14ac:dyDescent="0.2">
      <c r="A2026" s="237">
        <v>2026</v>
      </c>
      <c r="B2026" s="5838"/>
      <c r="C2026" s="910" t="str">
        <f t="shared" si="299"/>
        <v/>
      </c>
      <c r="D2026" s="513" t="str">
        <f>IF(Combate!AL14=" ","",Combate!AL14)</f>
        <v/>
      </c>
      <c r="E2026" s="513" t="str">
        <f t="shared" si="300"/>
        <v/>
      </c>
      <c r="F2026" s="880" t="str">
        <f>IF(ISNA(VLOOKUP(MIN($C$2023:$C$2065)+A4-1,$C$2023:$E$2065,3,0)),"",", "&amp;VLOOKUP(MIN($C$2023:$C$2065)+A4-1,$C$2023:$E$2065,3,0))</f>
        <v/>
      </c>
      <c r="G2026" s="5938"/>
      <c r="J2026" s="3018" t="s">
        <v>7270</v>
      </c>
      <c r="K2026" s="3019"/>
      <c r="L2026" s="5816" t="s">
        <v>7269</v>
      </c>
      <c r="M2026" s="5816"/>
      <c r="N2026" s="5816"/>
      <c r="O2026" s="5816"/>
      <c r="P2026" s="5816"/>
      <c r="Q2026" s="5816"/>
      <c r="R2026" s="5816"/>
      <c r="S2026" s="5816"/>
      <c r="T2026" s="5816"/>
      <c r="U2026" s="5816"/>
      <c r="V2026" s="5816"/>
      <c r="W2026" s="5816"/>
      <c r="X2026" s="5816"/>
      <c r="Y2026" s="5816"/>
      <c r="Z2026" s="5816"/>
      <c r="AA2026" s="5816"/>
      <c r="AB2026" s="5816"/>
      <c r="AC2026" s="5816"/>
      <c r="AD2026" s="5816"/>
      <c r="AE2026" s="5823"/>
    </row>
    <row r="2027" spans="1:33" ht="12.75" customHeight="1" x14ac:dyDescent="0.2">
      <c r="A2027" s="237">
        <v>2027</v>
      </c>
      <c r="B2027" s="5838"/>
      <c r="C2027" s="910" t="str">
        <f t="shared" si="299"/>
        <v/>
      </c>
      <c r="D2027" s="513" t="str">
        <f>IF(Combate!AL15=" ","",Combate!AL15)</f>
        <v/>
      </c>
      <c r="E2027" s="513" t="str">
        <f t="shared" si="300"/>
        <v/>
      </c>
      <c r="F2027" s="880" t="str">
        <f>IF(ISNA(VLOOKUP(MIN($C$2023:$C$2065)+A5-1,$C$2023:$E$2065,3,0)),"",", "&amp;VLOOKUP(MIN($C$2023:$C$2065)+A5-1,$C$2023:$E$2065,3,0))</f>
        <v/>
      </c>
      <c r="G2027" s="5938"/>
      <c r="J2027" s="889" t="s">
        <v>1368</v>
      </c>
      <c r="K2027" s="1104" t="s">
        <v>7277</v>
      </c>
      <c r="L2027" s="5943" t="str">
        <f>IF(ISNA(VLOOKUP(A1,$AF$2030:$AG$2057,2,FALSE)),"",VLOOKUP(A1,$AF$2030:$AG$2057,2,FALSE))</f>
        <v/>
      </c>
      <c r="M2027" s="5815"/>
      <c r="N2027" s="5815" t="str">
        <f>IF(ISNA(VLOOKUP(B1,$AF$2030:$AG$2057,2,FALSE)),"",VLOOKUP(B1,$AF$2030:$AG$2057,2,FALSE))</f>
        <v/>
      </c>
      <c r="O2027" s="5815"/>
      <c r="P2027" s="5815" t="str">
        <f>IF(ISNA(VLOOKUP(C1,$AF$2030:$AG$2057,2,FALSE)),"",VLOOKUP(C1,$AF$2030:$AG$2057,2,FALSE))</f>
        <v/>
      </c>
      <c r="Q2027" s="5815"/>
      <c r="R2027" s="5815" t="str">
        <f>IF(ISNA(VLOOKUP(D1,$AF$2030:$AG$2057,2,FALSE)),"",VLOOKUP(D1,$AF$2030:$AG$2057,2,FALSE))</f>
        <v/>
      </c>
      <c r="S2027" s="5815"/>
      <c r="T2027" s="5815" t="str">
        <f>IF(ISNA(VLOOKUP(E1,$AF$2030:$AG$2057,2,FALSE)),"",VLOOKUP(E1,$AF$2030:$AG$2057,2,FALSE))</f>
        <v/>
      </c>
      <c r="U2027" s="5815"/>
      <c r="V2027" s="5815" t="str">
        <f>IF(ISNA(VLOOKUP(F1,$AF$2030:$AG$2057,2,FALSE)),"",VLOOKUP(F1,$AF$2030:$AG$2057,2,FALSE))</f>
        <v/>
      </c>
      <c r="W2027" s="5815"/>
      <c r="X2027" s="5815" t="str">
        <f>IF(ISNA(VLOOKUP(G1,$AF$2030:$AG$2057,2,FALSE)),"",VLOOKUP(G1,$AF$2030:$AG$2057,2,FALSE))</f>
        <v/>
      </c>
      <c r="Y2027" s="5815"/>
      <c r="Z2027" s="5815" t="str">
        <f>IF(ISNA(VLOOKUP(H1,$AF$2030:$AG$2057,2,FALSE)),"",VLOOKUP(H1,$AF$2030:$AG$2057,2,FALSE))</f>
        <v/>
      </c>
      <c r="AA2027" s="5815"/>
      <c r="AB2027" s="5936" t="str">
        <f>IF(ISNA(VLOOKUP(I1,$AF$2030:$AG$2057,2,FALSE)),"",VLOOKUP(I1,$AF$2030:$AG$2057,2,FALSE))</f>
        <v/>
      </c>
      <c r="AC2027" s="5936"/>
      <c r="AD2027" s="5936" t="str">
        <f>IF(ISNA(VLOOKUP(J1,$AF$2030:$AG$2057,2,FALSE)),"",VLOOKUP(J1,$AF$2030:$AG$2057,2,FALSE))</f>
        <v/>
      </c>
      <c r="AE2027" s="5937"/>
    </row>
    <row r="2028" spans="1:33" ht="12.75" customHeight="1" x14ac:dyDescent="0.2">
      <c r="A2028" s="237">
        <v>2028</v>
      </c>
      <c r="B2028" s="5838"/>
      <c r="C2028" s="910" t="str">
        <f t="shared" si="299"/>
        <v/>
      </c>
      <c r="D2028" s="877" t="str">
        <f>IF(Combate!AL16=" ","",Combate!AL16)</f>
        <v/>
      </c>
      <c r="E2028" s="877" t="str">
        <f>D2028</f>
        <v/>
      </c>
      <c r="F2028" s="880" t="str">
        <f>IF(ISNA(VLOOKUP(MIN($C$2023:$C$2065)+A6-1,$C$2023:$E$2065,3,0)),"",", "&amp;VLOOKUP(MIN($C$2023:$C$2065)+A6-1,$C$2023:$E$2065,3,0))</f>
        <v/>
      </c>
      <c r="G2028" s="5938"/>
      <c r="J2028" s="870" t="str">
        <f>IF(ISNA(VLOOKUP(A1,Principal!$S$42:$AH$69,10,FALSE)),"",IF(VLOOKUP(A1,Principal!$S$42:$AH$69,10,FALSE)=0,"",INDEX(PoderesDeCriatura_Adquiridos,MATCH(A1,Principal!$S$42:$S$69,0))))</f>
        <v/>
      </c>
      <c r="K2028" s="933" t="str">
        <f>J2028</f>
        <v/>
      </c>
      <c r="L2028" s="885" t="s">
        <v>1368</v>
      </c>
      <c r="M2028" s="885" t="s">
        <v>7277</v>
      </c>
      <c r="N2028" s="885" t="s">
        <v>1368</v>
      </c>
      <c r="O2028" s="885" t="s">
        <v>7277</v>
      </c>
      <c r="P2028" s="885" t="s">
        <v>1368</v>
      </c>
      <c r="Q2028" s="885" t="s">
        <v>7277</v>
      </c>
      <c r="R2028" s="885" t="s">
        <v>1368</v>
      </c>
      <c r="S2028" s="885" t="s">
        <v>7277</v>
      </c>
      <c r="T2028" s="885" t="s">
        <v>1368</v>
      </c>
      <c r="U2028" s="885" t="s">
        <v>7277</v>
      </c>
      <c r="V2028" s="885" t="s">
        <v>1368</v>
      </c>
      <c r="W2028" s="885" t="s">
        <v>7277</v>
      </c>
      <c r="X2028" s="885" t="s">
        <v>1368</v>
      </c>
      <c r="Y2028" s="885" t="s">
        <v>7277</v>
      </c>
      <c r="Z2028" s="885" t="s">
        <v>1368</v>
      </c>
      <c r="AA2028" s="1361" t="s">
        <v>7277</v>
      </c>
      <c r="AB2028" s="1361" t="s">
        <v>1368</v>
      </c>
      <c r="AC2028" s="1361" t="s">
        <v>7277</v>
      </c>
      <c r="AD2028" s="1361" t="s">
        <v>1368</v>
      </c>
      <c r="AE2028" s="1362" t="s">
        <v>7277</v>
      </c>
      <c r="AF2028" s="5803" t="s">
        <v>7272</v>
      </c>
      <c r="AG2028" s="5804"/>
    </row>
    <row r="2029" spans="1:33" ht="12.75" customHeight="1" x14ac:dyDescent="0.2">
      <c r="A2029" s="237">
        <v>2029</v>
      </c>
      <c r="B2029" s="5838"/>
      <c r="C2029" s="910" t="str">
        <f>IF(D2029="","",COUNTIF($D$2023:$D$2065,"&lt;="&amp;D2029)-SUMPRODUCT(--($D$2023:$D$2065="")))</f>
        <v/>
      </c>
      <c r="D2029" s="513" t="str">
        <f>IFERROR(LEFT(H2029,FIND("(",H2029)-2),H2029)</f>
        <v/>
      </c>
      <c r="E2029" s="513" t="str">
        <f>D2029&amp;IF(ISNUMBER(I2029)," ("&amp;SUMIFS($I$2029:$I$2038,$D$2029:$D$2038,D2029)&amp;")","")</f>
        <v/>
      </c>
      <c r="F2029" s="880" t="str">
        <f>IF(ISNA(VLOOKUP(MIN($C$2023:$C$2065)+A7-1,$C$2023:$E$2065,3,0)),"",", "&amp;VLOOKUP(MIN($C$2023:$C$2065)+A7-1,$C$2023:$E$2065,3,0))</f>
        <v/>
      </c>
      <c r="G2029" s="5939"/>
      <c r="H2029" s="1428" t="str">
        <f>Combate!AB19</f>
        <v/>
      </c>
      <c r="I2029" s="1436" t="str">
        <f>IFERROR(VALUE(MID(H2029,FIND("(",H2029)+1,LEN(H2029)-1-FIND("(",H2029))),"")</f>
        <v/>
      </c>
      <c r="J2029" s="870" t="str">
        <f>IF(ISNA(VLOOKUP(A2,Principal!$S$42:$AH$69,10,FALSE)),"",IF(VLOOKUP(A2,Principal!$S$42:$AH$69,10,FALSE)=0,"",INDEX(PoderesDeCriatura_Adquiridos,MATCH(A2,Principal!$S$42:$S$69,0))))</f>
        <v/>
      </c>
      <c r="K2029" s="933" t="str">
        <f>IF(AND(K2028&lt;&gt;"",J2029&lt;&gt;""),", ","")&amp;J2029</f>
        <v/>
      </c>
      <c r="L2029" s="887" t="str">
        <f>IF(ISNA(INDEX(PoderesDeCriatura_Adquiridos,MATCH(L$2027&amp;$A1,Principal!$U$42:$U$69,0))),"",IF(INDEX(Principal!$AO$42:$AO$69,MATCH(L$2027&amp;$A1,Principal!$U$42:$U$69,0))&gt;0,INDEX(Principal!$AF$42:$AF$69,MATCH(L$2027&amp;$A1,Principal!$U$42:$U$69,0)),INDEX(PoderesDeCriatura_Adquiridos,MATCH(L$2027&amp;$A1,Principal!$U$42:$U$69,0))))</f>
        <v/>
      </c>
      <c r="M2029" s="886" t="str">
        <f>L2029</f>
        <v/>
      </c>
      <c r="N2029" s="887" t="str">
        <f>IF(ISNA(INDEX(PoderesDeCriatura_Adquiridos,MATCH(N$2027&amp;$A1,Principal!$U$42:$U$69,0))),"",IF(INDEX(Principal!$AO$42:$AO$69,MATCH(N$2027&amp;$A1,Principal!$U$42:$U$69,0))&gt;0,INDEX(Principal!$AF$42:$AF$69,MATCH(N$2027&amp;$A1,Principal!$U$42:$U$69,0)),INDEX(PoderesDeCriatura_Adquiridos,MATCH(N$2027&amp;$A1,Principal!$U$42:$U$69,0))))</f>
        <v/>
      </c>
      <c r="O2029" s="886" t="str">
        <f>N2029</f>
        <v/>
      </c>
      <c r="P2029" s="887" t="str">
        <f>IF(ISNA(INDEX(PoderesDeCriatura_Adquiridos,MATCH(P$2027&amp;$A1,Principal!$U$42:$U$69,0))),"",IF(INDEX(Principal!$AO$42:$AO$69,MATCH(P$2027&amp;$A1,Principal!$U$42:$U$69,0))&gt;0,INDEX(Principal!$AF$42:$AF$69,MATCH(P$2027&amp;$A1,Principal!$U$42:$U$69,0)),INDEX(PoderesDeCriatura_Adquiridos,MATCH(P$2027&amp;$A1,Principal!$U$42:$U$69,0))))</f>
        <v/>
      </c>
      <c r="Q2029" s="886" t="str">
        <f>P2029</f>
        <v/>
      </c>
      <c r="R2029" s="887" t="str">
        <f>IF(ISNA(INDEX(PoderesDeCriatura_Adquiridos,MATCH(R$2027&amp;$A1,Principal!$U$42:$U$69,0))),"",IF(INDEX(Principal!$AO$42:$AO$69,MATCH(R$2027&amp;$A1,Principal!$U$42:$U$69,0))&gt;0,INDEX(Principal!$AF$42:$AF$69,MATCH(R$2027&amp;$A1,Principal!$U$42:$U$69,0)),INDEX(PoderesDeCriatura_Adquiridos,MATCH(R$2027&amp;$A1,Principal!$U$42:$U$69,0))))</f>
        <v/>
      </c>
      <c r="S2029" s="886" t="str">
        <f>R2029</f>
        <v/>
      </c>
      <c r="T2029" s="887" t="str">
        <f>IF(ISNA(INDEX(PoderesDeCriatura_Adquiridos,MATCH(T$2027&amp;$A1,Principal!$U$42:$U$69,0))),"",IF(INDEX(Principal!$AO$42:$AO$69,MATCH(T$2027&amp;$A1,Principal!$U$42:$U$69,0))&gt;0,INDEX(Principal!$AF$42:$AF$69,MATCH(T$2027&amp;$A1,Principal!$U$42:$U$69,0)),INDEX(PoderesDeCriatura_Adquiridos,MATCH(T$2027&amp;$A1,Principal!$U$42:$U$69,0))))</f>
        <v/>
      </c>
      <c r="U2029" s="886" t="str">
        <f>T2029</f>
        <v/>
      </c>
      <c r="V2029" s="887" t="str">
        <f>IF(ISNA(INDEX(PoderesDeCriatura_Adquiridos,MATCH(V$2027&amp;$A1,Principal!$U$42:$U$69,0))),"",IF(INDEX(Principal!$AO$42:$AO$69,MATCH(V$2027&amp;$A1,Principal!$U$42:$U$69,0))&gt;0,INDEX(Principal!$AF$42:$AF$69,MATCH(V$2027&amp;$A1,Principal!$U$42:$U$69,0)),INDEX(PoderesDeCriatura_Adquiridos,MATCH(V$2027&amp;$A1,Principal!$U$42:$U$69,0))))</f>
        <v/>
      </c>
      <c r="W2029" s="886" t="str">
        <f>V2029</f>
        <v/>
      </c>
      <c r="X2029" s="887" t="str">
        <f>IF(ISNA(INDEX(PoderesDeCriatura_Adquiridos,MATCH(X$2027&amp;$A1,Principal!$U$42:$U$69,0))),"",IF(INDEX(Principal!$AO$42:$AO$69,MATCH(X$2027&amp;$A1,Principal!$U$42:$U$69,0))&gt;0,INDEX(Principal!$AF$42:$AF$69,MATCH(X$2027&amp;$A1,Principal!$U$42:$U$69,0)),INDEX(PoderesDeCriatura_Adquiridos,MATCH(X$2027&amp;$A1,Principal!$U$42:$U$69,0))))</f>
        <v/>
      </c>
      <c r="Y2029" s="886" t="str">
        <f>X2029</f>
        <v/>
      </c>
      <c r="Z2029" s="887" t="str">
        <f>IF(ISNA(INDEX(PoderesDeCriatura_Adquiridos,MATCH(Z$2027&amp;$A1,Principal!$U$42:$U$69,0))),"",IF(INDEX(Principal!$AO$42:$AO$69,MATCH(Z$2027&amp;$A1,Principal!$U$42:$U$69,0))&gt;0,INDEX(Principal!$AF$42:$AF$69,MATCH(Z$2027&amp;$A1,Principal!$U$42:$U$69,0)),INDEX(PoderesDeCriatura_Adquiridos,MATCH(Z$2027&amp;$A1,Principal!$U$42:$U$69,0))))</f>
        <v/>
      </c>
      <c r="AA2029" s="886" t="str">
        <f>Z2029</f>
        <v/>
      </c>
      <c r="AB2029" s="887" t="str">
        <f>IF(ISNA(INDEX(PoderesDeCriatura_Adquiridos,MATCH(AB$2027&amp;$A1,Principal!$U$42:$U$69,0))),"",IF(INDEX(Principal!$AO$42:$AO$69,MATCH(AB$2027&amp;$A1,Principal!$U$42:$U$69,0))&gt;0,INDEX(Principal!$AF$42:$AF$69,MATCH(AB$2027&amp;$A1,Principal!$U$42:$U$69,0)),INDEX(PoderesDeCriatura_Adquiridos,MATCH(AB$2027&amp;$A1,Principal!$U$42:$U$69,0))))</f>
        <v/>
      </c>
      <c r="AC2029" s="886" t="str">
        <f>AB2029</f>
        <v/>
      </c>
      <c r="AD2029" s="887" t="str">
        <f>IF(ISNA(INDEX(PoderesDeCriatura_Adquiridos,MATCH(AD$2027&amp;$A1,Principal!$U$42:$U$69,0))),"",IF(INDEX(Principal!$AO$42:$AO$69,MATCH(AD$2027&amp;$A1,Principal!$U$42:$U$69,0))&gt;0,INDEX(Principal!$AF$42:$AF$69,MATCH(AD$2027&amp;$A1,Principal!$U$42:$U$69,0)),INDEX(PoderesDeCriatura_Adquiridos,MATCH(AD$2027&amp;$A1,Principal!$U$42:$U$69,0))))</f>
        <v/>
      </c>
      <c r="AE2029" s="890" t="str">
        <f>AD2029</f>
        <v/>
      </c>
      <c r="AF2029" s="1363" t="s">
        <v>2665</v>
      </c>
      <c r="AG2029" s="1364" t="s">
        <v>7273</v>
      </c>
    </row>
    <row r="2030" spans="1:33" ht="12.75" customHeight="1" x14ac:dyDescent="0.2">
      <c r="A2030" s="237">
        <v>2030</v>
      </c>
      <c r="B2030" s="5838"/>
      <c r="C2030" s="910" t="str">
        <f t="shared" si="299"/>
        <v/>
      </c>
      <c r="D2030" s="513" t="str">
        <f t="shared" ref="D2030:D2038" si="301">IFERROR(LEFT(H2030,FIND("(",H2030)-2),H2030)</f>
        <v/>
      </c>
      <c r="E2030" s="513" t="str">
        <f t="shared" ref="E2030:E2038" si="302">D2030&amp;IF(ISNUMBER(I2030)," ("&amp;SUMIFS($I$2029:$I$2038,$D$2029:$D$2038,D2030)&amp;")","")</f>
        <v/>
      </c>
      <c r="F2030" s="880" t="str">
        <f>IF(ISNA(VLOOKUP(MIN($C$2023:$C$2065)+A8-1,$C$2023:$E$2065,3,0)),"",", "&amp;VLOOKUP(MIN($C$2023:$C$2065)+A8-1,$C$2023:$E$2065,3,0))</f>
        <v/>
      </c>
      <c r="G2030" s="5939"/>
      <c r="H2030" s="1429" t="str">
        <f>Combate!AB20</f>
        <v/>
      </c>
      <c r="I2030" s="1437" t="str">
        <f t="shared" ref="I2030:I2038" si="303">IFERROR(VALUE(MID(H2030,FIND("(",H2030)+1,LEN(H2030)-1-FIND("(",H2030))),"")</f>
        <v/>
      </c>
      <c r="J2030" s="870" t="str">
        <f>IF(ISNA(VLOOKUP(A3,Principal!$S$42:$AH$69,10,FALSE)),"",IF(VLOOKUP(A3,Principal!$S$42:$AH$69,10,FALSE)=0,"",INDEX(PoderesDeCriatura_Adquiridos,MATCH(A3,Principal!$S$42:$S$69,0))))</f>
        <v/>
      </c>
      <c r="K2030" s="933" t="str">
        <f t="shared" ref="K2030:K2057" si="304">IF(AND(K2029&lt;&gt;"",J2030&lt;&gt;""),", ","")&amp;J2030</f>
        <v/>
      </c>
      <c r="L2030" s="887" t="str">
        <f>IF(ISNA(INDEX(PoderesDeCriatura_Adquiridos,MATCH(L$2027&amp;$A2,Principal!$U$42:$U$69,0))),"",IF(INDEX(Principal!$AO$42:$AO$69,MATCH(L$2027&amp;$A2,Principal!$U$42:$U$69,0))&gt;0,INDEX(Principal!$AF$42:$AF$69,MATCH(L$2027&amp;$A2,Principal!$U$42:$U$69,0)),INDEX(PoderesDeCriatura_Adquiridos,MATCH(L$2027&amp;$A2,Principal!$U$42:$U$69,0))))</f>
        <v/>
      </c>
      <c r="M2030" s="236" t="str">
        <f t="shared" ref="M2030:M2057" si="305">IF(L2030="","",", "&amp;L2030)</f>
        <v/>
      </c>
      <c r="N2030" s="887" t="str">
        <f>IF(ISNA(INDEX(PoderesDeCriatura_Adquiridos,MATCH(N$2027&amp;$A2,Principal!$U$42:$U$69,0))),"",IF(INDEX(Principal!$AO$42:$AO$69,MATCH(N$2027&amp;$A2,Principal!$U$42:$U$69,0))&gt;0,INDEX(Principal!$AF$42:$AF$69,MATCH(N$2027&amp;$A2,Principal!$U$42:$U$69,0)),INDEX(PoderesDeCriatura_Adquiridos,MATCH(N$2027&amp;$A2,Principal!$U$42:$U$69,0))))</f>
        <v/>
      </c>
      <c r="O2030" s="236" t="str">
        <f t="shared" ref="O2030:O2057" si="306">IF(N2030="","",", "&amp;N2030)</f>
        <v/>
      </c>
      <c r="P2030" s="887" t="str">
        <f>IF(ISNA(INDEX(PoderesDeCriatura_Adquiridos,MATCH(P$2027&amp;$A2,Principal!$U$42:$U$69,0))),"",IF(INDEX(Principal!$AO$42:$AO$69,MATCH(P$2027&amp;$A2,Principal!$U$42:$U$69,0))&gt;0,INDEX(Principal!$AF$42:$AF$69,MATCH(P$2027&amp;$A2,Principal!$U$42:$U$69,0)),INDEX(PoderesDeCriatura_Adquiridos,MATCH(P$2027&amp;$A2,Principal!$U$42:$U$69,0))))</f>
        <v/>
      </c>
      <c r="Q2030" s="236" t="str">
        <f>IF(P2030="","",", "&amp;P2030)</f>
        <v/>
      </c>
      <c r="R2030" s="887" t="str">
        <f>IF(ISNA(INDEX(PoderesDeCriatura_Adquiridos,MATCH(R$2027&amp;$A2,Principal!$U$42:$U$69,0))),"",IF(INDEX(Principal!$AO$42:$AO$69,MATCH(R$2027&amp;$A2,Principal!$U$42:$U$69,0))&gt;0,INDEX(Principal!$AF$42:$AF$69,MATCH(R$2027&amp;$A2,Principal!$U$42:$U$69,0)),INDEX(PoderesDeCriatura_Adquiridos,MATCH(R$2027&amp;$A2,Principal!$U$42:$U$69,0))))</f>
        <v/>
      </c>
      <c r="S2030" s="236" t="str">
        <f>IF(R2030="","",", "&amp;R2030)</f>
        <v/>
      </c>
      <c r="T2030" s="887" t="str">
        <f>IF(ISNA(INDEX(PoderesDeCriatura_Adquiridos,MATCH(T$2027&amp;$A2,Principal!$U$42:$U$69,0))),"",IF(INDEX(Principal!$AO$42:$AO$69,MATCH(T$2027&amp;$A2,Principal!$U$42:$U$69,0))&gt;0,INDEX(Principal!$AF$42:$AF$69,MATCH(T$2027&amp;$A2,Principal!$U$42:$U$69,0)),INDEX(PoderesDeCriatura_Adquiridos,MATCH(T$2027&amp;$A2,Principal!$U$42:$U$69,0))))</f>
        <v/>
      </c>
      <c r="U2030" s="236" t="str">
        <f>IF(T2030="","",", "&amp;T2030)</f>
        <v/>
      </c>
      <c r="V2030" s="887" t="str">
        <f>IF(ISNA(INDEX(PoderesDeCriatura_Adquiridos,MATCH(V$2027&amp;$A2,Principal!$U$42:$U$69,0))),"",IF(INDEX(Principal!$AO$42:$AO$69,MATCH(V$2027&amp;$A2,Principal!$U$42:$U$69,0))&gt;0,INDEX(Principal!$AF$42:$AF$69,MATCH(V$2027&amp;$A2,Principal!$U$42:$U$69,0)),INDEX(PoderesDeCriatura_Adquiridos,MATCH(V$2027&amp;$A2,Principal!$U$42:$U$69,0))))</f>
        <v/>
      </c>
      <c r="W2030" s="236" t="str">
        <f>IF(V2030="","",", "&amp;V2030)</f>
        <v/>
      </c>
      <c r="X2030" s="887" t="str">
        <f>IF(ISNA(INDEX(PoderesDeCriatura_Adquiridos,MATCH(X$2027&amp;$A2,Principal!$U$42:$U$69,0))),"",IF(INDEX(Principal!$AO$42:$AO$69,MATCH(X$2027&amp;$A2,Principal!$U$42:$U$69,0))&gt;0,INDEX(Principal!$AF$42:$AF$69,MATCH(X$2027&amp;$A2,Principal!$U$42:$U$69,0)),INDEX(PoderesDeCriatura_Adquiridos,MATCH(X$2027&amp;$A2,Principal!$U$42:$U$69,0))))</f>
        <v/>
      </c>
      <c r="Y2030" s="236" t="str">
        <f>IF(X2030="","",", "&amp;X2030)</f>
        <v/>
      </c>
      <c r="Z2030" s="887" t="str">
        <f>IF(ISNA(INDEX(PoderesDeCriatura_Adquiridos,MATCH(Z$2027&amp;$A2,Principal!$U$42:$U$69,0))),"",IF(INDEX(Principal!$AO$42:$AO$69,MATCH(Z$2027&amp;$A2,Principal!$U$42:$U$69,0))&gt;0,INDEX(Principal!$AF$42:$AF$69,MATCH(Z$2027&amp;$A2,Principal!$U$42:$U$69,0)),INDEX(PoderesDeCriatura_Adquiridos,MATCH(Z$2027&amp;$A2,Principal!$U$42:$U$69,0))))</f>
        <v/>
      </c>
      <c r="AA2030" s="236" t="str">
        <f>IF(Z2030="","",", "&amp;Z2030)</f>
        <v/>
      </c>
      <c r="AB2030" s="887" t="str">
        <f>IF(ISNA(INDEX(PoderesDeCriatura_Adquiridos,MATCH(AB$2027&amp;$A2,Principal!$U$42:$U$69,0))),"",IF(INDEX(Principal!$AO$42:$AO$69,MATCH(AB$2027&amp;$A2,Principal!$U$42:$U$69,0))&gt;0,INDEX(Principal!$AF$42:$AF$69,MATCH(AB$2027&amp;$A2,Principal!$U$42:$U$69,0)),INDEX(PoderesDeCriatura_Adquiridos,MATCH(AB$2027&amp;$A2,Principal!$U$42:$U$69,0))))</f>
        <v/>
      </c>
      <c r="AC2030" s="236" t="str">
        <f>IF(AB2030="","",", "&amp;AB2030)</f>
        <v/>
      </c>
      <c r="AD2030" s="887" t="str">
        <f>IF(ISNA(INDEX(PoderesDeCriatura_Adquiridos,MATCH(AD$2027&amp;$A2,Principal!$U$42:$U$69,0))),"",IF(INDEX(Principal!$AO$42:$AO$69,MATCH(AD$2027&amp;$A2,Principal!$U$42:$U$69,0))&gt;0,INDEX(Principal!$AF$42:$AF$69,MATCH(AD$2027&amp;$A2,Principal!$U$42:$U$69,0)),INDEX(PoderesDeCriatura_Adquiridos,MATCH(AD$2027&amp;$A2,Principal!$U$42:$U$69,0))))</f>
        <v/>
      </c>
      <c r="AE2030" s="891" t="str">
        <f>IF(AD2030="","",", "&amp;AD2030)</f>
        <v/>
      </c>
      <c r="AF2030" s="886" t="str">
        <f>IF(AG2030=0,"",MAX($AF$2029:AF2029)+1)</f>
        <v/>
      </c>
      <c r="AG2030" s="1365">
        <f>Principal!V42</f>
        <v>0</v>
      </c>
    </row>
    <row r="2031" spans="1:33" ht="12.75" customHeight="1" x14ac:dyDescent="0.2">
      <c r="A2031" s="237">
        <v>2031</v>
      </c>
      <c r="B2031" s="5838"/>
      <c r="C2031" s="910" t="str">
        <f t="shared" si="299"/>
        <v/>
      </c>
      <c r="D2031" s="513" t="str">
        <f t="shared" si="301"/>
        <v/>
      </c>
      <c r="E2031" s="513" t="str">
        <f t="shared" si="302"/>
        <v/>
      </c>
      <c r="F2031" s="880" t="str">
        <f>IF(ISNA(VLOOKUP(MIN($C$2023:$C$2065)+A9-1,$C$2023:$E$2065,3,0)),"",", "&amp;VLOOKUP(MIN($C$2023:$C$2065)+A9-1,$C$2023:$E$2065,3,0))</f>
        <v/>
      </c>
      <c r="G2031" s="5939"/>
      <c r="H2031" s="1429" t="str">
        <f>Combate!AB21</f>
        <v/>
      </c>
      <c r="I2031" s="1437" t="str">
        <f t="shared" si="303"/>
        <v/>
      </c>
      <c r="J2031" s="870" t="str">
        <f>IF(ISNA(VLOOKUP(A4,Principal!$S$42:$AH$69,10,FALSE)),"",IF(VLOOKUP(A4,Principal!$S$42:$AH$69,10,FALSE)=0,"",INDEX(PoderesDeCriatura_Adquiridos,MATCH(A4,Principal!$S$42:$S$69,0))))</f>
        <v/>
      </c>
      <c r="K2031" s="933" t="str">
        <f t="shared" si="304"/>
        <v/>
      </c>
      <c r="L2031" s="887" t="str">
        <f>IF(ISNA(INDEX(PoderesDeCriatura_Adquiridos,MATCH(L$2027&amp;$A3,Principal!$U$42:$U$69,0))),"",IF(INDEX(Principal!$AO$42:$AO$69,MATCH(L$2027&amp;$A3,Principal!$U$42:$U$69,0))&gt;0,INDEX(Principal!$AF$42:$AF$69,MATCH(L$2027&amp;$A3,Principal!$U$42:$U$69,0)),INDEX(PoderesDeCriatura_Adquiridos,MATCH(L$2027&amp;$A3,Principal!$U$42:$U$69,0))))</f>
        <v/>
      </c>
      <c r="M2031" s="236" t="str">
        <f t="shared" si="305"/>
        <v/>
      </c>
      <c r="N2031" s="887" t="str">
        <f>IF(ISNA(INDEX(PoderesDeCriatura_Adquiridos,MATCH(N$2027&amp;$A3,Principal!$U$42:$U$69,0))),"",IF(INDEX(Principal!$AO$42:$AO$69,MATCH(N$2027&amp;$A3,Principal!$U$42:$U$69,0))&gt;0,INDEX(Principal!$AF$42:$AF$69,MATCH(N$2027&amp;$A3,Principal!$U$42:$U$69,0)),INDEX(PoderesDeCriatura_Adquiridos,MATCH(N$2027&amp;$A3,Principal!$U$42:$U$69,0))))</f>
        <v/>
      </c>
      <c r="O2031" s="236" t="str">
        <f t="shared" si="306"/>
        <v/>
      </c>
      <c r="P2031" s="887" t="str">
        <f>IF(ISNA(INDEX(PoderesDeCriatura_Adquiridos,MATCH(P$2027&amp;$A3,Principal!$U$42:$U$69,0))),"",IF(INDEX(Principal!$AO$42:$AO$69,MATCH(P$2027&amp;$A3,Principal!$U$42:$U$69,0))&gt;0,INDEX(Principal!$AF$42:$AF$69,MATCH(P$2027&amp;$A3,Principal!$U$42:$U$69,0)),INDEX(PoderesDeCriatura_Adquiridos,MATCH(P$2027&amp;$A3,Principal!$U$42:$U$69,0))))</f>
        <v/>
      </c>
      <c r="Q2031" s="236" t="str">
        <f t="shared" ref="Q2031" si="307">IF(P2031="","",", "&amp;P2031)</f>
        <v/>
      </c>
      <c r="R2031" s="887" t="str">
        <f>IF(ISNA(INDEX(PoderesDeCriatura_Adquiridos,MATCH(R$2027&amp;$A3,Principal!$U$42:$U$69,0))),"",IF(INDEX(Principal!$AO$42:$AO$69,MATCH(R$2027&amp;$A3,Principal!$U$42:$U$69,0))&gt;0,INDEX(Principal!$AF$42:$AF$69,MATCH(R$2027&amp;$A3,Principal!$U$42:$U$69,0)),INDEX(PoderesDeCriatura_Adquiridos,MATCH(R$2027&amp;$A3,Principal!$U$42:$U$69,0))))</f>
        <v/>
      </c>
      <c r="S2031" s="236" t="str">
        <f t="shared" ref="S2031" si="308">IF(R2031="","",", "&amp;R2031)</f>
        <v/>
      </c>
      <c r="T2031" s="887" t="str">
        <f>IF(ISNA(INDEX(PoderesDeCriatura_Adquiridos,MATCH(T$2027&amp;$A3,Principal!$U$42:$U$69,0))),"",IF(INDEX(Principal!$AO$42:$AO$69,MATCH(T$2027&amp;$A3,Principal!$U$42:$U$69,0))&gt;0,INDEX(Principal!$AF$42:$AF$69,MATCH(T$2027&amp;$A3,Principal!$U$42:$U$69,0)),INDEX(PoderesDeCriatura_Adquiridos,MATCH(T$2027&amp;$A3,Principal!$U$42:$U$69,0))))</f>
        <v/>
      </c>
      <c r="U2031" s="236" t="str">
        <f t="shared" ref="U2031" si="309">IF(T2031="","",", "&amp;T2031)</f>
        <v/>
      </c>
      <c r="V2031" s="887" t="str">
        <f>IF(ISNA(INDEX(PoderesDeCriatura_Adquiridos,MATCH(V$2027&amp;$A3,Principal!$U$42:$U$69,0))),"",IF(INDEX(Principal!$AO$42:$AO$69,MATCH(V$2027&amp;$A3,Principal!$U$42:$U$69,0))&gt;0,INDEX(Principal!$AF$42:$AF$69,MATCH(V$2027&amp;$A3,Principal!$U$42:$U$69,0)),INDEX(PoderesDeCriatura_Adquiridos,MATCH(V$2027&amp;$A3,Principal!$U$42:$U$69,0))))</f>
        <v/>
      </c>
      <c r="W2031" s="236" t="str">
        <f t="shared" ref="W2031" si="310">IF(V2031="","",", "&amp;V2031)</f>
        <v/>
      </c>
      <c r="X2031" s="887" t="str">
        <f>IF(ISNA(INDEX(PoderesDeCriatura_Adquiridos,MATCH(X$2027&amp;$A3,Principal!$U$42:$U$69,0))),"",IF(INDEX(Principal!$AO$42:$AO$69,MATCH(X$2027&amp;$A3,Principal!$U$42:$U$69,0))&gt;0,INDEX(Principal!$AF$42:$AF$69,MATCH(X$2027&amp;$A3,Principal!$U$42:$U$69,0)),INDEX(PoderesDeCriatura_Adquiridos,MATCH(X$2027&amp;$A3,Principal!$U$42:$U$69,0))))</f>
        <v/>
      </c>
      <c r="Y2031" s="236" t="str">
        <f t="shared" ref="Y2031" si="311">IF(X2031="","",", "&amp;X2031)</f>
        <v/>
      </c>
      <c r="Z2031" s="887" t="str">
        <f>IF(ISNA(INDEX(PoderesDeCriatura_Adquiridos,MATCH(Z$2027&amp;$A3,Principal!$U$42:$U$69,0))),"",IF(INDEX(Principal!$AO$42:$AO$69,MATCH(Z$2027&amp;$A3,Principal!$U$42:$U$69,0))&gt;0,INDEX(Principal!$AF$42:$AF$69,MATCH(Z$2027&amp;$A3,Principal!$U$42:$U$69,0)),INDEX(PoderesDeCriatura_Adquiridos,MATCH(Z$2027&amp;$A3,Principal!$U$42:$U$69,0))))</f>
        <v/>
      </c>
      <c r="AA2031" s="236" t="str">
        <f t="shared" ref="AA2031" si="312">IF(Z2031="","",", "&amp;Z2031)</f>
        <v/>
      </c>
      <c r="AB2031" s="887" t="str">
        <f>IF(ISNA(INDEX(PoderesDeCriatura_Adquiridos,MATCH(AB$2027&amp;$A3,Principal!$U$42:$U$69,0))),"",IF(INDEX(Principal!$AO$42:$AO$69,MATCH(AB$2027&amp;$A3,Principal!$U$42:$U$69,0))&gt;0,INDEX(Principal!$AF$42:$AF$69,MATCH(AB$2027&amp;$A3,Principal!$U$42:$U$69,0)),INDEX(PoderesDeCriatura_Adquiridos,MATCH(AB$2027&amp;$A3,Principal!$U$42:$U$69,0))))</f>
        <v/>
      </c>
      <c r="AC2031" s="236" t="str">
        <f t="shared" ref="AC2031" si="313">IF(AB2031="","",", "&amp;AB2031)</f>
        <v/>
      </c>
      <c r="AD2031" s="887" t="str">
        <f>IF(ISNA(INDEX(PoderesDeCriatura_Adquiridos,MATCH(AD$2027&amp;$A3,Principal!$U$42:$U$69,0))),"",IF(INDEX(Principal!$AO$42:$AO$69,MATCH(AD$2027&amp;$A3,Principal!$U$42:$U$69,0))&gt;0,INDEX(Principal!$AF$42:$AF$69,MATCH(AD$2027&amp;$A3,Principal!$U$42:$U$69,0)),INDEX(PoderesDeCriatura_Adquiridos,MATCH(AD$2027&amp;$A3,Principal!$U$42:$U$69,0))))</f>
        <v/>
      </c>
      <c r="AE2031" s="891" t="str">
        <f t="shared" ref="AE2031" si="314">IF(AD2031="","",", "&amp;AD2031)</f>
        <v/>
      </c>
      <c r="AF2031" s="886" t="str">
        <f>IF(OR(AG2031=0,ISNUMBER(MATCH(AG2031,$AG$2030:$AG2030,0))),"",MAX($AF$2029:AF2030)+1)</f>
        <v/>
      </c>
      <c r="AG2031" s="1365">
        <f>Principal!V43</f>
        <v>0</v>
      </c>
    </row>
    <row r="2032" spans="1:33" ht="12.75" customHeight="1" x14ac:dyDescent="0.2">
      <c r="A2032" s="237">
        <v>2032</v>
      </c>
      <c r="B2032" s="5838"/>
      <c r="C2032" s="910" t="str">
        <f t="shared" si="299"/>
        <v/>
      </c>
      <c r="D2032" s="513" t="str">
        <f t="shared" si="301"/>
        <v/>
      </c>
      <c r="E2032" s="513" t="str">
        <f t="shared" si="302"/>
        <v/>
      </c>
      <c r="F2032" s="880" t="str">
        <f>IF(ISNA(VLOOKUP(MIN($C$2023:$C$2065)+A10-1,$C$2023:$E$2065,3,0)),"",", "&amp;VLOOKUP(MIN($C$2023:$C$2065)+A10-1,$C$2023:$E$2065,3,0))</f>
        <v/>
      </c>
      <c r="G2032" s="5939"/>
      <c r="H2032" s="1429" t="str">
        <f>Combate!AB22</f>
        <v/>
      </c>
      <c r="I2032" s="1437" t="str">
        <f t="shared" si="303"/>
        <v/>
      </c>
      <c r="J2032" s="870" t="str">
        <f>IF(ISNA(VLOOKUP(A5,Principal!$S$42:$AH$69,10,FALSE)),"",IF(VLOOKUP(A5,Principal!$S$42:$AH$69,10,FALSE)=0,"",INDEX(PoderesDeCriatura_Adquiridos,MATCH(A5,Principal!$S$42:$S$69,0))))</f>
        <v/>
      </c>
      <c r="K2032" s="933" t="str">
        <f t="shared" si="304"/>
        <v/>
      </c>
      <c r="L2032" s="887" t="str">
        <f>IF(ISNA(INDEX(PoderesDeCriatura_Adquiridos,MATCH(L$2027&amp;$A4,Principal!$U$42:$U$69,0))),"",IF(INDEX(Principal!$AO$42:$AO$69,MATCH(L$2027&amp;$A4,Principal!$U$42:$U$69,0))&gt;0,INDEX(Principal!$AF$42:$AF$69,MATCH(L$2027&amp;$A4,Principal!$U$42:$U$69,0)),INDEX(PoderesDeCriatura_Adquiridos,MATCH(L$2027&amp;$A4,Principal!$U$42:$U$69,0))))</f>
        <v/>
      </c>
      <c r="M2032" s="236" t="str">
        <f t="shared" si="305"/>
        <v/>
      </c>
      <c r="N2032" s="887" t="str">
        <f>IF(ISNA(INDEX(PoderesDeCriatura_Adquiridos,MATCH(N$2027&amp;$A4,Principal!$U$42:$U$69,0))),"",IF(INDEX(Principal!$AO$42:$AO$69,MATCH(N$2027&amp;$A4,Principal!$U$42:$U$69,0))&gt;0,INDEX(Principal!$AF$42:$AF$69,MATCH(N$2027&amp;$A4,Principal!$U$42:$U$69,0)),INDEX(PoderesDeCriatura_Adquiridos,MATCH(N$2027&amp;$A4,Principal!$U$42:$U$69,0))))</f>
        <v/>
      </c>
      <c r="O2032" s="236" t="str">
        <f t="shared" si="306"/>
        <v/>
      </c>
      <c r="P2032" s="887" t="str">
        <f>IF(ISNA(INDEX(PoderesDeCriatura_Adquiridos,MATCH(P$2027&amp;$A4,Principal!$U$42:$U$69,0))),"",IF(INDEX(Principal!$AO$42:$AO$69,MATCH(P$2027&amp;$A4,Principal!$U$42:$U$69,0))&gt;0,INDEX(Principal!$AF$42:$AF$69,MATCH(P$2027&amp;$A4,Principal!$U$42:$U$69,0)),INDEX(PoderesDeCriatura_Adquiridos,MATCH(P$2027&amp;$A4,Principal!$U$42:$U$69,0))))</f>
        <v/>
      </c>
      <c r="Q2032" s="236" t="str">
        <f t="shared" ref="Q2032" si="315">IF(P2032="","",", "&amp;P2032)</f>
        <v/>
      </c>
      <c r="R2032" s="887" t="str">
        <f>IF(ISNA(INDEX(PoderesDeCriatura_Adquiridos,MATCH(R$2027&amp;$A4,Principal!$U$42:$U$69,0))),"",IF(INDEX(Principal!$AO$42:$AO$69,MATCH(R$2027&amp;$A4,Principal!$U$42:$U$69,0))&gt;0,INDEX(Principal!$AF$42:$AF$69,MATCH(R$2027&amp;$A4,Principal!$U$42:$U$69,0)),INDEX(PoderesDeCriatura_Adquiridos,MATCH(R$2027&amp;$A4,Principal!$U$42:$U$69,0))))</f>
        <v/>
      </c>
      <c r="S2032" s="236" t="str">
        <f t="shared" ref="S2032" si="316">IF(R2032="","",", "&amp;R2032)</f>
        <v/>
      </c>
      <c r="T2032" s="887" t="str">
        <f>IF(ISNA(INDEX(PoderesDeCriatura_Adquiridos,MATCH(T$2027&amp;$A4,Principal!$U$42:$U$69,0))),"",IF(INDEX(Principal!$AO$42:$AO$69,MATCH(T$2027&amp;$A4,Principal!$U$42:$U$69,0))&gt;0,INDEX(Principal!$AF$42:$AF$69,MATCH(T$2027&amp;$A4,Principal!$U$42:$U$69,0)),INDEX(PoderesDeCriatura_Adquiridos,MATCH(T$2027&amp;$A4,Principal!$U$42:$U$69,0))))</f>
        <v/>
      </c>
      <c r="U2032" s="236" t="str">
        <f t="shared" ref="U2032" si="317">IF(T2032="","",", "&amp;T2032)</f>
        <v/>
      </c>
      <c r="V2032" s="887" t="str">
        <f>IF(ISNA(INDEX(PoderesDeCriatura_Adquiridos,MATCH(V$2027&amp;$A4,Principal!$U$42:$U$69,0))),"",IF(INDEX(Principal!$AO$42:$AO$69,MATCH(V$2027&amp;$A4,Principal!$U$42:$U$69,0))&gt;0,INDEX(Principal!$AF$42:$AF$69,MATCH(V$2027&amp;$A4,Principal!$U$42:$U$69,0)),INDEX(PoderesDeCriatura_Adquiridos,MATCH(V$2027&amp;$A4,Principal!$U$42:$U$69,0))))</f>
        <v/>
      </c>
      <c r="W2032" s="236" t="str">
        <f t="shared" ref="W2032" si="318">IF(V2032="","",", "&amp;V2032)</f>
        <v/>
      </c>
      <c r="X2032" s="887" t="str">
        <f>IF(ISNA(INDEX(PoderesDeCriatura_Adquiridos,MATCH(X$2027&amp;$A4,Principal!$U$42:$U$69,0))),"",IF(INDEX(Principal!$AO$42:$AO$69,MATCH(X$2027&amp;$A4,Principal!$U$42:$U$69,0))&gt;0,INDEX(Principal!$AF$42:$AF$69,MATCH(X$2027&amp;$A4,Principal!$U$42:$U$69,0)),INDEX(PoderesDeCriatura_Adquiridos,MATCH(X$2027&amp;$A4,Principal!$U$42:$U$69,0))))</f>
        <v/>
      </c>
      <c r="Y2032" s="236" t="str">
        <f t="shared" ref="Y2032" si="319">IF(X2032="","",", "&amp;X2032)</f>
        <v/>
      </c>
      <c r="Z2032" s="887" t="str">
        <f>IF(ISNA(INDEX(PoderesDeCriatura_Adquiridos,MATCH(Z$2027&amp;$A4,Principal!$U$42:$U$69,0))),"",IF(INDEX(Principal!$AO$42:$AO$69,MATCH(Z$2027&amp;$A4,Principal!$U$42:$U$69,0))&gt;0,INDEX(Principal!$AF$42:$AF$69,MATCH(Z$2027&amp;$A4,Principal!$U$42:$U$69,0)),INDEX(PoderesDeCriatura_Adquiridos,MATCH(Z$2027&amp;$A4,Principal!$U$42:$U$69,0))))</f>
        <v/>
      </c>
      <c r="AA2032" s="236" t="str">
        <f t="shared" ref="AA2032" si="320">IF(Z2032="","",", "&amp;Z2032)</f>
        <v/>
      </c>
      <c r="AB2032" s="887" t="str">
        <f>IF(ISNA(INDEX(PoderesDeCriatura_Adquiridos,MATCH(AB$2027&amp;$A4,Principal!$U$42:$U$69,0))),"",IF(INDEX(Principal!$AO$42:$AO$69,MATCH(AB$2027&amp;$A4,Principal!$U$42:$U$69,0))&gt;0,INDEX(Principal!$AF$42:$AF$69,MATCH(AB$2027&amp;$A4,Principal!$U$42:$U$69,0)),INDEX(PoderesDeCriatura_Adquiridos,MATCH(AB$2027&amp;$A4,Principal!$U$42:$U$69,0))))</f>
        <v/>
      </c>
      <c r="AC2032" s="236" t="str">
        <f t="shared" ref="AC2032" si="321">IF(AB2032="","",", "&amp;AB2032)</f>
        <v/>
      </c>
      <c r="AD2032" s="887" t="str">
        <f>IF(ISNA(INDEX(PoderesDeCriatura_Adquiridos,MATCH(AD$2027&amp;$A4,Principal!$U$42:$U$69,0))),"",IF(INDEX(Principal!$AO$42:$AO$69,MATCH(AD$2027&amp;$A4,Principal!$U$42:$U$69,0))&gt;0,INDEX(Principal!$AF$42:$AF$69,MATCH(AD$2027&amp;$A4,Principal!$U$42:$U$69,0)),INDEX(PoderesDeCriatura_Adquiridos,MATCH(AD$2027&amp;$A4,Principal!$U$42:$U$69,0))))</f>
        <v/>
      </c>
      <c r="AE2032" s="891" t="str">
        <f t="shared" ref="AE2032" si="322">IF(AD2032="","",", "&amp;AD2032)</f>
        <v/>
      </c>
      <c r="AF2032" s="886" t="str">
        <f>IF(OR(AG2032=0,ISNUMBER(MATCH(AG2032,$AG$2030:$AG2031,0))),"",MAX($AF$2029:AF2031)+1)</f>
        <v/>
      </c>
      <c r="AG2032" s="1365">
        <f>Principal!V44</f>
        <v>0</v>
      </c>
    </row>
    <row r="2033" spans="1:33" ht="12.75" customHeight="1" x14ac:dyDescent="0.2">
      <c r="A2033" s="237">
        <v>2033</v>
      </c>
      <c r="B2033" s="5838"/>
      <c r="C2033" s="910" t="str">
        <f t="shared" si="299"/>
        <v/>
      </c>
      <c r="D2033" s="513" t="str">
        <f t="shared" si="301"/>
        <v/>
      </c>
      <c r="E2033" s="513" t="str">
        <f t="shared" si="302"/>
        <v/>
      </c>
      <c r="F2033" s="880" t="str">
        <f>IF(ISNA(VLOOKUP(MIN($C$2023:$C$2065)+A11-1,$C$2023:$E$2065,3,0)),"",", "&amp;VLOOKUP(MIN($C$2023:$C$2065)+A11-1,$C$2023:$E$2065,3,0))</f>
        <v/>
      </c>
      <c r="G2033" s="5939"/>
      <c r="H2033" s="1429" t="str">
        <f>Combate!AB23</f>
        <v/>
      </c>
      <c r="I2033" s="1437" t="str">
        <f t="shared" si="303"/>
        <v/>
      </c>
      <c r="J2033" s="870" t="str">
        <f>IF(ISNA(VLOOKUP(A6,Principal!$S$42:$AH$69,10,FALSE)),"",IF(VLOOKUP(A6,Principal!$S$42:$AH$69,10,FALSE)=0,"",INDEX(PoderesDeCriatura_Adquiridos,MATCH(A6,Principal!$S$42:$S$69,0))))</f>
        <v/>
      </c>
      <c r="K2033" s="933" t="str">
        <f t="shared" si="304"/>
        <v/>
      </c>
      <c r="L2033" s="887" t="str">
        <f>IF(ISNA(INDEX(PoderesDeCriatura_Adquiridos,MATCH(L$2027&amp;$A5,Principal!$U$42:$U$69,0))),"",IF(INDEX(Principal!$AO$42:$AO$69,MATCH(L$2027&amp;$A5,Principal!$U$42:$U$69,0))&gt;0,INDEX(Principal!$AF$42:$AF$69,MATCH(L$2027&amp;$A5,Principal!$U$42:$U$69,0)),INDEX(PoderesDeCriatura_Adquiridos,MATCH(L$2027&amp;$A5,Principal!$U$42:$U$69,0))))</f>
        <v/>
      </c>
      <c r="M2033" s="236" t="str">
        <f t="shared" si="305"/>
        <v/>
      </c>
      <c r="N2033" s="887" t="str">
        <f>IF(ISNA(INDEX(PoderesDeCriatura_Adquiridos,MATCH(N$2027&amp;$A5,Principal!$U$42:$U$69,0))),"",IF(INDEX(Principal!$AO$42:$AO$69,MATCH(N$2027&amp;$A5,Principal!$U$42:$U$69,0))&gt;0,INDEX(Principal!$AF$42:$AF$69,MATCH(N$2027&amp;$A5,Principal!$U$42:$U$69,0)),INDEX(PoderesDeCriatura_Adquiridos,MATCH(N$2027&amp;$A5,Principal!$U$42:$U$69,0))))</f>
        <v/>
      </c>
      <c r="O2033" s="236" t="str">
        <f t="shared" si="306"/>
        <v/>
      </c>
      <c r="P2033" s="887" t="str">
        <f>IF(ISNA(INDEX(PoderesDeCriatura_Adquiridos,MATCH(P$2027&amp;$A5,Principal!$U$42:$U$69,0))),"",IF(INDEX(Principal!$AO$42:$AO$69,MATCH(P$2027&amp;$A5,Principal!$U$42:$U$69,0))&gt;0,INDEX(Principal!$AF$42:$AF$69,MATCH(P$2027&amp;$A5,Principal!$U$42:$U$69,0)),INDEX(PoderesDeCriatura_Adquiridos,MATCH(P$2027&amp;$A5,Principal!$U$42:$U$69,0))))</f>
        <v/>
      </c>
      <c r="Q2033" s="236" t="str">
        <f t="shared" ref="Q2033" si="323">IF(P2033="","",", "&amp;P2033)</f>
        <v/>
      </c>
      <c r="R2033" s="887" t="str">
        <f>IF(ISNA(INDEX(PoderesDeCriatura_Adquiridos,MATCH(R$2027&amp;$A5,Principal!$U$42:$U$69,0))),"",IF(INDEX(Principal!$AO$42:$AO$69,MATCH(R$2027&amp;$A5,Principal!$U$42:$U$69,0))&gt;0,INDEX(Principal!$AF$42:$AF$69,MATCH(R$2027&amp;$A5,Principal!$U$42:$U$69,0)),INDEX(PoderesDeCriatura_Adquiridos,MATCH(R$2027&amp;$A5,Principal!$U$42:$U$69,0))))</f>
        <v/>
      </c>
      <c r="S2033" s="236" t="str">
        <f t="shared" ref="S2033" si="324">IF(R2033="","",", "&amp;R2033)</f>
        <v/>
      </c>
      <c r="T2033" s="887" t="str">
        <f>IF(ISNA(INDEX(PoderesDeCriatura_Adquiridos,MATCH(T$2027&amp;$A5,Principal!$U$42:$U$69,0))),"",IF(INDEX(Principal!$AO$42:$AO$69,MATCH(T$2027&amp;$A5,Principal!$U$42:$U$69,0))&gt;0,INDEX(Principal!$AF$42:$AF$69,MATCH(T$2027&amp;$A5,Principal!$U$42:$U$69,0)),INDEX(PoderesDeCriatura_Adquiridos,MATCH(T$2027&amp;$A5,Principal!$U$42:$U$69,0))))</f>
        <v/>
      </c>
      <c r="U2033" s="236" t="str">
        <f t="shared" ref="U2033" si="325">IF(T2033="","",", "&amp;T2033)</f>
        <v/>
      </c>
      <c r="V2033" s="887" t="str">
        <f>IF(ISNA(INDEX(PoderesDeCriatura_Adquiridos,MATCH(V$2027&amp;$A5,Principal!$U$42:$U$69,0))),"",IF(INDEX(Principal!$AO$42:$AO$69,MATCH(V$2027&amp;$A5,Principal!$U$42:$U$69,0))&gt;0,INDEX(Principal!$AF$42:$AF$69,MATCH(V$2027&amp;$A5,Principal!$U$42:$U$69,0)),INDEX(PoderesDeCriatura_Adquiridos,MATCH(V$2027&amp;$A5,Principal!$U$42:$U$69,0))))</f>
        <v/>
      </c>
      <c r="W2033" s="236" t="str">
        <f t="shared" ref="W2033" si="326">IF(V2033="","",", "&amp;V2033)</f>
        <v/>
      </c>
      <c r="X2033" s="887" t="str">
        <f>IF(ISNA(INDEX(PoderesDeCriatura_Adquiridos,MATCH(X$2027&amp;$A5,Principal!$U$42:$U$69,0))),"",IF(INDEX(Principal!$AO$42:$AO$69,MATCH(X$2027&amp;$A5,Principal!$U$42:$U$69,0))&gt;0,INDEX(Principal!$AF$42:$AF$69,MATCH(X$2027&amp;$A5,Principal!$U$42:$U$69,0)),INDEX(PoderesDeCriatura_Adquiridos,MATCH(X$2027&amp;$A5,Principal!$U$42:$U$69,0))))</f>
        <v/>
      </c>
      <c r="Y2033" s="236" t="str">
        <f t="shared" ref="Y2033" si="327">IF(X2033="","",", "&amp;X2033)</f>
        <v/>
      </c>
      <c r="Z2033" s="887" t="str">
        <f>IF(ISNA(INDEX(PoderesDeCriatura_Adquiridos,MATCH(Z$2027&amp;$A5,Principal!$U$42:$U$69,0))),"",IF(INDEX(Principal!$AO$42:$AO$69,MATCH(Z$2027&amp;$A5,Principal!$U$42:$U$69,0))&gt;0,INDEX(Principal!$AF$42:$AF$69,MATCH(Z$2027&amp;$A5,Principal!$U$42:$U$69,0)),INDEX(PoderesDeCriatura_Adquiridos,MATCH(Z$2027&amp;$A5,Principal!$U$42:$U$69,0))))</f>
        <v/>
      </c>
      <c r="AA2033" s="236" t="str">
        <f t="shared" ref="AA2033" si="328">IF(Z2033="","",", "&amp;Z2033)</f>
        <v/>
      </c>
      <c r="AB2033" s="887" t="str">
        <f>IF(ISNA(INDEX(PoderesDeCriatura_Adquiridos,MATCH(AB$2027&amp;$A5,Principal!$U$42:$U$69,0))),"",IF(INDEX(Principal!$AO$42:$AO$69,MATCH(AB$2027&amp;$A5,Principal!$U$42:$U$69,0))&gt;0,INDEX(Principal!$AF$42:$AF$69,MATCH(AB$2027&amp;$A5,Principal!$U$42:$U$69,0)),INDEX(PoderesDeCriatura_Adquiridos,MATCH(AB$2027&amp;$A5,Principal!$U$42:$U$69,0))))</f>
        <v/>
      </c>
      <c r="AC2033" s="236" t="str">
        <f t="shared" ref="AC2033" si="329">IF(AB2033="","",", "&amp;AB2033)</f>
        <v/>
      </c>
      <c r="AD2033" s="887" t="str">
        <f>IF(ISNA(INDEX(PoderesDeCriatura_Adquiridos,MATCH(AD$2027&amp;$A5,Principal!$U$42:$U$69,0))),"",IF(INDEX(Principal!$AO$42:$AO$69,MATCH(AD$2027&amp;$A5,Principal!$U$42:$U$69,0))&gt;0,INDEX(Principal!$AF$42:$AF$69,MATCH(AD$2027&amp;$A5,Principal!$U$42:$U$69,0)),INDEX(PoderesDeCriatura_Adquiridos,MATCH(AD$2027&amp;$A5,Principal!$U$42:$U$69,0))))</f>
        <v/>
      </c>
      <c r="AE2033" s="891" t="str">
        <f t="shared" ref="AE2033" si="330">IF(AD2033="","",", "&amp;AD2033)</f>
        <v/>
      </c>
      <c r="AF2033" s="886" t="str">
        <f>IF(OR(AG2033=0,ISNUMBER(MATCH(AG2033,$AG$2030:$AG2032,0))),"",MAX($AF$2029:AF2032)+1)</f>
        <v/>
      </c>
      <c r="AG2033" s="1365">
        <f>Principal!V45</f>
        <v>0</v>
      </c>
    </row>
    <row r="2034" spans="1:33" ht="12.75" customHeight="1" x14ac:dyDescent="0.2">
      <c r="A2034" s="237">
        <v>2034</v>
      </c>
      <c r="B2034" s="5838"/>
      <c r="C2034" s="910" t="str">
        <f t="shared" si="299"/>
        <v/>
      </c>
      <c r="D2034" s="513" t="str">
        <f t="shared" si="301"/>
        <v/>
      </c>
      <c r="E2034" s="513" t="str">
        <f t="shared" si="302"/>
        <v/>
      </c>
      <c r="F2034" s="880" t="str">
        <f>IF(ISNA(VLOOKUP(MIN($C$2023:$C$2065)+A12-1,$C$2023:$E$2065,3,0)),"",", "&amp;VLOOKUP(MIN($C$2023:$C$2065)+A12-1,$C$2023:$E$2065,3,0))</f>
        <v/>
      </c>
      <c r="G2034" s="5939"/>
      <c r="H2034" s="1429" t="str">
        <f>Combate!AB24</f>
        <v/>
      </c>
      <c r="I2034" s="1437" t="str">
        <f t="shared" si="303"/>
        <v/>
      </c>
      <c r="J2034" s="870" t="str">
        <f>IF(ISNA(VLOOKUP(A7,Principal!$S$42:$AH$69,10,FALSE)),"",IF(VLOOKUP(A7,Principal!$S$42:$AH$69,10,FALSE)=0,"",INDEX(PoderesDeCriatura_Adquiridos,MATCH(A7,Principal!$S$42:$S$69,0))))</f>
        <v/>
      </c>
      <c r="K2034" s="933" t="str">
        <f t="shared" si="304"/>
        <v/>
      </c>
      <c r="L2034" s="887" t="str">
        <f>IF(ISNA(INDEX(PoderesDeCriatura_Adquiridos,MATCH(L$2027&amp;$A6,Principal!$U$42:$U$69,0))),"",IF(INDEX(Principal!$AO$42:$AO$69,MATCH(L$2027&amp;$A6,Principal!$U$42:$U$69,0))&gt;0,INDEX(Principal!$AF$42:$AF$69,MATCH(L$2027&amp;$A6,Principal!$U$42:$U$69,0)),INDEX(PoderesDeCriatura_Adquiridos,MATCH(L$2027&amp;$A6,Principal!$U$42:$U$69,0))))</f>
        <v/>
      </c>
      <c r="M2034" s="236" t="str">
        <f t="shared" si="305"/>
        <v/>
      </c>
      <c r="N2034" s="887" t="str">
        <f>IF(ISNA(INDEX(PoderesDeCriatura_Adquiridos,MATCH(N$2027&amp;$A6,Principal!$U$42:$U$69,0))),"",IF(INDEX(Principal!$AO$42:$AO$69,MATCH(N$2027&amp;$A6,Principal!$U$42:$U$69,0))&gt;0,INDEX(Principal!$AF$42:$AF$69,MATCH(N$2027&amp;$A6,Principal!$U$42:$U$69,0)),INDEX(PoderesDeCriatura_Adquiridos,MATCH(N$2027&amp;$A6,Principal!$U$42:$U$69,0))))</f>
        <v/>
      </c>
      <c r="O2034" s="236" t="str">
        <f t="shared" si="306"/>
        <v/>
      </c>
      <c r="P2034" s="887" t="str">
        <f>IF(ISNA(INDEX(PoderesDeCriatura_Adquiridos,MATCH(P$2027&amp;$A6,Principal!$U$42:$U$69,0))),"",IF(INDEX(Principal!$AO$42:$AO$69,MATCH(P$2027&amp;$A6,Principal!$U$42:$U$69,0))&gt;0,INDEX(Principal!$AF$42:$AF$69,MATCH(P$2027&amp;$A6,Principal!$U$42:$U$69,0)),INDEX(PoderesDeCriatura_Adquiridos,MATCH(P$2027&amp;$A6,Principal!$U$42:$U$69,0))))</f>
        <v/>
      </c>
      <c r="Q2034" s="236" t="str">
        <f t="shared" ref="Q2034" si="331">IF(P2034="","",", "&amp;P2034)</f>
        <v/>
      </c>
      <c r="R2034" s="887" t="str">
        <f>IF(ISNA(INDEX(PoderesDeCriatura_Adquiridos,MATCH(R$2027&amp;$A6,Principal!$U$42:$U$69,0))),"",IF(INDEX(Principal!$AO$42:$AO$69,MATCH(R$2027&amp;$A6,Principal!$U$42:$U$69,0))&gt;0,INDEX(Principal!$AF$42:$AF$69,MATCH(R$2027&amp;$A6,Principal!$U$42:$U$69,0)),INDEX(PoderesDeCriatura_Adquiridos,MATCH(R$2027&amp;$A6,Principal!$U$42:$U$69,0))))</f>
        <v/>
      </c>
      <c r="S2034" s="236" t="str">
        <f t="shared" ref="S2034" si="332">IF(R2034="","",", "&amp;R2034)</f>
        <v/>
      </c>
      <c r="T2034" s="887" t="str">
        <f>IF(ISNA(INDEX(PoderesDeCriatura_Adquiridos,MATCH(T$2027&amp;$A6,Principal!$U$42:$U$69,0))),"",IF(INDEX(Principal!$AO$42:$AO$69,MATCH(T$2027&amp;$A6,Principal!$U$42:$U$69,0))&gt;0,INDEX(Principal!$AF$42:$AF$69,MATCH(T$2027&amp;$A6,Principal!$U$42:$U$69,0)),INDEX(PoderesDeCriatura_Adquiridos,MATCH(T$2027&amp;$A6,Principal!$U$42:$U$69,0))))</f>
        <v/>
      </c>
      <c r="U2034" s="236" t="str">
        <f t="shared" ref="U2034" si="333">IF(T2034="","",", "&amp;T2034)</f>
        <v/>
      </c>
      <c r="V2034" s="887" t="str">
        <f>IF(ISNA(INDEX(PoderesDeCriatura_Adquiridos,MATCH(V$2027&amp;$A6,Principal!$U$42:$U$69,0))),"",IF(INDEX(Principal!$AO$42:$AO$69,MATCH(V$2027&amp;$A6,Principal!$U$42:$U$69,0))&gt;0,INDEX(Principal!$AF$42:$AF$69,MATCH(V$2027&amp;$A6,Principal!$U$42:$U$69,0)),INDEX(PoderesDeCriatura_Adquiridos,MATCH(V$2027&amp;$A6,Principal!$U$42:$U$69,0))))</f>
        <v/>
      </c>
      <c r="W2034" s="236" t="str">
        <f t="shared" ref="W2034" si="334">IF(V2034="","",", "&amp;V2034)</f>
        <v/>
      </c>
      <c r="X2034" s="887" t="str">
        <f>IF(ISNA(INDEX(PoderesDeCriatura_Adquiridos,MATCH(X$2027&amp;$A6,Principal!$U$42:$U$69,0))),"",IF(INDEX(Principal!$AO$42:$AO$69,MATCH(X$2027&amp;$A6,Principal!$U$42:$U$69,0))&gt;0,INDEX(Principal!$AF$42:$AF$69,MATCH(X$2027&amp;$A6,Principal!$U$42:$U$69,0)),INDEX(PoderesDeCriatura_Adquiridos,MATCH(X$2027&amp;$A6,Principal!$U$42:$U$69,0))))</f>
        <v/>
      </c>
      <c r="Y2034" s="236" t="str">
        <f t="shared" ref="Y2034" si="335">IF(X2034="","",", "&amp;X2034)</f>
        <v/>
      </c>
      <c r="Z2034" s="887" t="str">
        <f>IF(ISNA(INDEX(PoderesDeCriatura_Adquiridos,MATCH(Z$2027&amp;$A6,Principal!$U$42:$U$69,0))),"",IF(INDEX(Principal!$AO$42:$AO$69,MATCH(Z$2027&amp;$A6,Principal!$U$42:$U$69,0))&gt;0,INDEX(Principal!$AF$42:$AF$69,MATCH(Z$2027&amp;$A6,Principal!$U$42:$U$69,0)),INDEX(PoderesDeCriatura_Adquiridos,MATCH(Z$2027&amp;$A6,Principal!$U$42:$U$69,0))))</f>
        <v/>
      </c>
      <c r="AA2034" s="236" t="str">
        <f t="shared" ref="AA2034" si="336">IF(Z2034="","",", "&amp;Z2034)</f>
        <v/>
      </c>
      <c r="AB2034" s="887" t="str">
        <f>IF(ISNA(INDEX(PoderesDeCriatura_Adquiridos,MATCH(AB$2027&amp;$A6,Principal!$U$42:$U$69,0))),"",IF(INDEX(Principal!$AO$42:$AO$69,MATCH(AB$2027&amp;$A6,Principal!$U$42:$U$69,0))&gt;0,INDEX(Principal!$AF$42:$AF$69,MATCH(AB$2027&amp;$A6,Principal!$U$42:$U$69,0)),INDEX(PoderesDeCriatura_Adquiridos,MATCH(AB$2027&amp;$A6,Principal!$U$42:$U$69,0))))</f>
        <v/>
      </c>
      <c r="AC2034" s="236" t="str">
        <f t="shared" ref="AC2034" si="337">IF(AB2034="","",", "&amp;AB2034)</f>
        <v/>
      </c>
      <c r="AD2034" s="887" t="str">
        <f>IF(ISNA(INDEX(PoderesDeCriatura_Adquiridos,MATCH(AD$2027&amp;$A6,Principal!$U$42:$U$69,0))),"",IF(INDEX(Principal!$AO$42:$AO$69,MATCH(AD$2027&amp;$A6,Principal!$U$42:$U$69,0))&gt;0,INDEX(Principal!$AF$42:$AF$69,MATCH(AD$2027&amp;$A6,Principal!$U$42:$U$69,0)),INDEX(PoderesDeCriatura_Adquiridos,MATCH(AD$2027&amp;$A6,Principal!$U$42:$U$69,0))))</f>
        <v/>
      </c>
      <c r="AE2034" s="891" t="str">
        <f t="shared" ref="AE2034" si="338">IF(AD2034="","",", "&amp;AD2034)</f>
        <v/>
      </c>
      <c r="AF2034" s="886" t="str">
        <f>IF(OR(AG2034=0,ISNUMBER(MATCH(AG2034,$AG$2030:$AG2033,0))),"",MAX($AF$2029:AF2033)+1)</f>
        <v/>
      </c>
      <c r="AG2034" s="1365">
        <f>Principal!V46</f>
        <v>0</v>
      </c>
    </row>
    <row r="2035" spans="1:33" ht="12.75" customHeight="1" x14ac:dyDescent="0.2">
      <c r="A2035" s="237">
        <v>2035</v>
      </c>
      <c r="B2035" s="5838"/>
      <c r="C2035" s="910" t="str">
        <f t="shared" si="299"/>
        <v/>
      </c>
      <c r="D2035" s="513" t="str">
        <f t="shared" si="301"/>
        <v/>
      </c>
      <c r="E2035" s="513" t="str">
        <f t="shared" si="302"/>
        <v/>
      </c>
      <c r="F2035" s="880" t="str">
        <f>IF(ISNA(VLOOKUP(MIN($C$2023:$C$2065)+A13-1,$C$2023:$E$2065,3,0)),"",", "&amp;VLOOKUP(MIN($C$2023:$C$2065)+A13-1,$C$2023:$E$2065,3,0))</f>
        <v/>
      </c>
      <c r="G2035" s="5939"/>
      <c r="H2035" s="1429" t="str">
        <f>Combate!AB25</f>
        <v/>
      </c>
      <c r="I2035" s="1437" t="str">
        <f t="shared" si="303"/>
        <v/>
      </c>
      <c r="J2035" s="870" t="str">
        <f>IF(ISNA(VLOOKUP(A8,Principal!$S$42:$AH$69,10,FALSE)),"",IF(VLOOKUP(A8,Principal!$S$42:$AH$69,10,FALSE)=0,"",INDEX(PoderesDeCriatura_Adquiridos,MATCH(A8,Principal!$S$42:$S$69,0))))</f>
        <v/>
      </c>
      <c r="K2035" s="933" t="str">
        <f t="shared" si="304"/>
        <v/>
      </c>
      <c r="L2035" s="887" t="str">
        <f>IF(ISNA(INDEX(PoderesDeCriatura_Adquiridos,MATCH(L$2027&amp;$A7,Principal!$U$42:$U$69,0))),"",IF(INDEX(Principal!$AO$42:$AO$69,MATCH(L$2027&amp;$A7,Principal!$U$42:$U$69,0))&gt;0,INDEX(Principal!$AF$42:$AF$69,MATCH(L$2027&amp;$A7,Principal!$U$42:$U$69,0)),INDEX(PoderesDeCriatura_Adquiridos,MATCH(L$2027&amp;$A7,Principal!$U$42:$U$69,0))))</f>
        <v/>
      </c>
      <c r="M2035" s="236" t="str">
        <f t="shared" si="305"/>
        <v/>
      </c>
      <c r="N2035" s="887" t="str">
        <f>IF(ISNA(INDEX(PoderesDeCriatura_Adquiridos,MATCH(N$2027&amp;$A7,Principal!$U$42:$U$69,0))),"",IF(INDEX(Principal!$AO$42:$AO$69,MATCH(N$2027&amp;$A7,Principal!$U$42:$U$69,0))&gt;0,INDEX(Principal!$AF$42:$AF$69,MATCH(N$2027&amp;$A7,Principal!$U$42:$U$69,0)),INDEX(PoderesDeCriatura_Adquiridos,MATCH(N$2027&amp;$A7,Principal!$U$42:$U$69,0))))</f>
        <v/>
      </c>
      <c r="O2035" s="236" t="str">
        <f t="shared" si="306"/>
        <v/>
      </c>
      <c r="P2035" s="887" t="str">
        <f>IF(ISNA(INDEX(PoderesDeCriatura_Adquiridos,MATCH(P$2027&amp;$A7,Principal!$U$42:$U$69,0))),"",IF(INDEX(Principal!$AO$42:$AO$69,MATCH(P$2027&amp;$A7,Principal!$U$42:$U$69,0))&gt;0,INDEX(Principal!$AF$42:$AF$69,MATCH(P$2027&amp;$A7,Principal!$U$42:$U$69,0)),INDEX(PoderesDeCriatura_Adquiridos,MATCH(P$2027&amp;$A7,Principal!$U$42:$U$69,0))))</f>
        <v/>
      </c>
      <c r="Q2035" s="236" t="str">
        <f t="shared" ref="Q2035" si="339">IF(P2035="","",", "&amp;P2035)</f>
        <v/>
      </c>
      <c r="R2035" s="887" t="str">
        <f>IF(ISNA(INDEX(PoderesDeCriatura_Adquiridos,MATCH(R$2027&amp;$A7,Principal!$U$42:$U$69,0))),"",IF(INDEX(Principal!$AO$42:$AO$69,MATCH(R$2027&amp;$A7,Principal!$U$42:$U$69,0))&gt;0,INDEX(Principal!$AF$42:$AF$69,MATCH(R$2027&amp;$A7,Principal!$U$42:$U$69,0)),INDEX(PoderesDeCriatura_Adquiridos,MATCH(R$2027&amp;$A7,Principal!$U$42:$U$69,0))))</f>
        <v/>
      </c>
      <c r="S2035" s="236" t="str">
        <f t="shared" ref="S2035" si="340">IF(R2035="","",", "&amp;R2035)</f>
        <v/>
      </c>
      <c r="T2035" s="887" t="str">
        <f>IF(ISNA(INDEX(PoderesDeCriatura_Adquiridos,MATCH(T$2027&amp;$A7,Principal!$U$42:$U$69,0))),"",IF(INDEX(Principal!$AO$42:$AO$69,MATCH(T$2027&amp;$A7,Principal!$U$42:$U$69,0))&gt;0,INDEX(Principal!$AF$42:$AF$69,MATCH(T$2027&amp;$A7,Principal!$U$42:$U$69,0)),INDEX(PoderesDeCriatura_Adquiridos,MATCH(T$2027&amp;$A7,Principal!$U$42:$U$69,0))))</f>
        <v/>
      </c>
      <c r="U2035" s="236" t="str">
        <f t="shared" ref="U2035" si="341">IF(T2035="","",", "&amp;T2035)</f>
        <v/>
      </c>
      <c r="V2035" s="887" t="str">
        <f>IF(ISNA(INDEX(PoderesDeCriatura_Adquiridos,MATCH(V$2027&amp;$A7,Principal!$U$42:$U$69,0))),"",IF(INDEX(Principal!$AO$42:$AO$69,MATCH(V$2027&amp;$A7,Principal!$U$42:$U$69,0))&gt;0,INDEX(Principal!$AF$42:$AF$69,MATCH(V$2027&amp;$A7,Principal!$U$42:$U$69,0)),INDEX(PoderesDeCriatura_Adquiridos,MATCH(V$2027&amp;$A7,Principal!$U$42:$U$69,0))))</f>
        <v/>
      </c>
      <c r="W2035" s="236" t="str">
        <f t="shared" ref="W2035" si="342">IF(V2035="","",", "&amp;V2035)</f>
        <v/>
      </c>
      <c r="X2035" s="887" t="str">
        <f>IF(ISNA(INDEX(PoderesDeCriatura_Adquiridos,MATCH(X$2027&amp;$A7,Principal!$U$42:$U$69,0))),"",IF(INDEX(Principal!$AO$42:$AO$69,MATCH(X$2027&amp;$A7,Principal!$U$42:$U$69,0))&gt;0,INDEX(Principal!$AF$42:$AF$69,MATCH(X$2027&amp;$A7,Principal!$U$42:$U$69,0)),INDEX(PoderesDeCriatura_Adquiridos,MATCH(X$2027&amp;$A7,Principal!$U$42:$U$69,0))))</f>
        <v/>
      </c>
      <c r="Y2035" s="236" t="str">
        <f t="shared" ref="Y2035" si="343">IF(X2035="","",", "&amp;X2035)</f>
        <v/>
      </c>
      <c r="Z2035" s="887" t="str">
        <f>IF(ISNA(INDEX(PoderesDeCriatura_Adquiridos,MATCH(Z$2027&amp;$A7,Principal!$U$42:$U$69,0))),"",IF(INDEX(Principal!$AO$42:$AO$69,MATCH(Z$2027&amp;$A7,Principal!$U$42:$U$69,0))&gt;0,INDEX(Principal!$AF$42:$AF$69,MATCH(Z$2027&amp;$A7,Principal!$U$42:$U$69,0)),INDEX(PoderesDeCriatura_Adquiridos,MATCH(Z$2027&amp;$A7,Principal!$U$42:$U$69,0))))</f>
        <v/>
      </c>
      <c r="AA2035" s="236" t="str">
        <f t="shared" ref="AA2035" si="344">IF(Z2035="","",", "&amp;Z2035)</f>
        <v/>
      </c>
      <c r="AB2035" s="887" t="str">
        <f>IF(ISNA(INDEX(PoderesDeCriatura_Adquiridos,MATCH(AB$2027&amp;$A7,Principal!$U$42:$U$69,0))),"",IF(INDEX(Principal!$AO$42:$AO$69,MATCH(AB$2027&amp;$A7,Principal!$U$42:$U$69,0))&gt;0,INDEX(Principal!$AF$42:$AF$69,MATCH(AB$2027&amp;$A7,Principal!$U$42:$U$69,0)),INDEX(PoderesDeCriatura_Adquiridos,MATCH(AB$2027&amp;$A7,Principal!$U$42:$U$69,0))))</f>
        <v/>
      </c>
      <c r="AC2035" s="236" t="str">
        <f t="shared" ref="AC2035" si="345">IF(AB2035="","",", "&amp;AB2035)</f>
        <v/>
      </c>
      <c r="AD2035" s="887" t="str">
        <f>IF(ISNA(INDEX(PoderesDeCriatura_Adquiridos,MATCH(AD$2027&amp;$A7,Principal!$U$42:$U$69,0))),"",IF(INDEX(Principal!$AO$42:$AO$69,MATCH(AD$2027&amp;$A7,Principal!$U$42:$U$69,0))&gt;0,INDEX(Principal!$AF$42:$AF$69,MATCH(AD$2027&amp;$A7,Principal!$U$42:$U$69,0)),INDEX(PoderesDeCriatura_Adquiridos,MATCH(AD$2027&amp;$A7,Principal!$U$42:$U$69,0))))</f>
        <v/>
      </c>
      <c r="AE2035" s="891" t="str">
        <f t="shared" ref="AE2035" si="346">IF(AD2035="","",", "&amp;AD2035)</f>
        <v/>
      </c>
      <c r="AF2035" s="886" t="str">
        <f>IF(OR(AG2035=0,ISNUMBER(MATCH(AG2035,$AG$2030:$AG2034,0))),"",MAX($AF$2029:AF2034)+1)</f>
        <v/>
      </c>
      <c r="AG2035" s="1365">
        <f>Principal!V47</f>
        <v>0</v>
      </c>
    </row>
    <row r="2036" spans="1:33" ht="12.75" customHeight="1" x14ac:dyDescent="0.2">
      <c r="A2036" s="237">
        <v>2036</v>
      </c>
      <c r="B2036" s="5838"/>
      <c r="C2036" s="910" t="str">
        <f t="shared" si="299"/>
        <v/>
      </c>
      <c r="D2036" s="513" t="str">
        <f t="shared" si="301"/>
        <v/>
      </c>
      <c r="E2036" s="513" t="str">
        <f t="shared" si="302"/>
        <v/>
      </c>
      <c r="F2036" s="880" t="str">
        <f>IF(ISNA(VLOOKUP(MIN($C$2023:$C$2065)+A14-1,$C$2023:$E$2065,3,0)),"",", "&amp;VLOOKUP(MIN($C$2023:$C$2065)+A14-1,$C$2023:$E$2065,3,0))</f>
        <v/>
      </c>
      <c r="G2036" s="5939"/>
      <c r="H2036" s="1429" t="str">
        <f>Combate!AB26</f>
        <v/>
      </c>
      <c r="I2036" s="1437" t="str">
        <f t="shared" si="303"/>
        <v/>
      </c>
      <c r="J2036" s="870" t="str">
        <f>IF(ISNA(VLOOKUP(A9,Principal!$S$42:$AH$69,10,FALSE)),"",IF(VLOOKUP(A9,Principal!$S$42:$AH$69,10,FALSE)=0,"",INDEX(PoderesDeCriatura_Adquiridos,MATCH(A9,Principal!$S$42:$S$69,0))))</f>
        <v/>
      </c>
      <c r="K2036" s="933" t="str">
        <f t="shared" si="304"/>
        <v/>
      </c>
      <c r="L2036" s="887" t="str">
        <f>IF(ISNA(INDEX(PoderesDeCriatura_Adquiridos,MATCH(L$2027&amp;$A8,Principal!$U$42:$U$69,0))),"",IF(INDEX(Principal!$AO$42:$AO$69,MATCH(L$2027&amp;$A8,Principal!$U$42:$U$69,0))&gt;0,INDEX(Principal!$AF$42:$AF$69,MATCH(L$2027&amp;$A8,Principal!$U$42:$U$69,0)),INDEX(PoderesDeCriatura_Adquiridos,MATCH(L$2027&amp;$A8,Principal!$U$42:$U$69,0))))</f>
        <v/>
      </c>
      <c r="M2036" s="236" t="str">
        <f t="shared" si="305"/>
        <v/>
      </c>
      <c r="N2036" s="887" t="str">
        <f>IF(ISNA(INDEX(PoderesDeCriatura_Adquiridos,MATCH(N$2027&amp;$A8,Principal!$U$42:$U$69,0))),"",IF(INDEX(Principal!$AO$42:$AO$69,MATCH(N$2027&amp;$A8,Principal!$U$42:$U$69,0))&gt;0,INDEX(Principal!$AF$42:$AF$69,MATCH(N$2027&amp;$A8,Principal!$U$42:$U$69,0)),INDEX(PoderesDeCriatura_Adquiridos,MATCH(N$2027&amp;$A8,Principal!$U$42:$U$69,0))))</f>
        <v/>
      </c>
      <c r="O2036" s="236" t="str">
        <f t="shared" si="306"/>
        <v/>
      </c>
      <c r="P2036" s="887" t="str">
        <f>IF(ISNA(INDEX(PoderesDeCriatura_Adquiridos,MATCH(P$2027&amp;$A8,Principal!$U$42:$U$69,0))),"",IF(INDEX(Principal!$AO$42:$AO$69,MATCH(P$2027&amp;$A8,Principal!$U$42:$U$69,0))&gt;0,INDEX(Principal!$AF$42:$AF$69,MATCH(P$2027&amp;$A8,Principal!$U$42:$U$69,0)),INDEX(PoderesDeCriatura_Adquiridos,MATCH(P$2027&amp;$A8,Principal!$U$42:$U$69,0))))</f>
        <v/>
      </c>
      <c r="Q2036" s="236" t="str">
        <f t="shared" ref="Q2036" si="347">IF(P2036="","",", "&amp;P2036)</f>
        <v/>
      </c>
      <c r="R2036" s="887" t="str">
        <f>IF(ISNA(INDEX(PoderesDeCriatura_Adquiridos,MATCH(R$2027&amp;$A8,Principal!$U$42:$U$69,0))),"",IF(INDEX(Principal!$AO$42:$AO$69,MATCH(R$2027&amp;$A8,Principal!$U$42:$U$69,0))&gt;0,INDEX(Principal!$AF$42:$AF$69,MATCH(R$2027&amp;$A8,Principal!$U$42:$U$69,0)),INDEX(PoderesDeCriatura_Adquiridos,MATCH(R$2027&amp;$A8,Principal!$U$42:$U$69,0))))</f>
        <v/>
      </c>
      <c r="S2036" s="236" t="str">
        <f t="shared" ref="S2036" si="348">IF(R2036="","",", "&amp;R2036)</f>
        <v/>
      </c>
      <c r="T2036" s="887" t="str">
        <f>IF(ISNA(INDEX(PoderesDeCriatura_Adquiridos,MATCH(T$2027&amp;$A8,Principal!$U$42:$U$69,0))),"",IF(INDEX(Principal!$AO$42:$AO$69,MATCH(T$2027&amp;$A8,Principal!$U$42:$U$69,0))&gt;0,INDEX(Principal!$AF$42:$AF$69,MATCH(T$2027&amp;$A8,Principal!$U$42:$U$69,0)),INDEX(PoderesDeCriatura_Adquiridos,MATCH(T$2027&amp;$A8,Principal!$U$42:$U$69,0))))</f>
        <v/>
      </c>
      <c r="U2036" s="236" t="str">
        <f t="shared" ref="U2036" si="349">IF(T2036="","",", "&amp;T2036)</f>
        <v/>
      </c>
      <c r="V2036" s="887" t="str">
        <f>IF(ISNA(INDEX(PoderesDeCriatura_Adquiridos,MATCH(V$2027&amp;$A8,Principal!$U$42:$U$69,0))),"",IF(INDEX(Principal!$AO$42:$AO$69,MATCH(V$2027&amp;$A8,Principal!$U$42:$U$69,0))&gt;0,INDEX(Principal!$AF$42:$AF$69,MATCH(V$2027&amp;$A8,Principal!$U$42:$U$69,0)),INDEX(PoderesDeCriatura_Adquiridos,MATCH(V$2027&amp;$A8,Principal!$U$42:$U$69,0))))</f>
        <v/>
      </c>
      <c r="W2036" s="236" t="str">
        <f t="shared" ref="W2036" si="350">IF(V2036="","",", "&amp;V2036)</f>
        <v/>
      </c>
      <c r="X2036" s="887" t="str">
        <f>IF(ISNA(INDEX(PoderesDeCriatura_Adquiridos,MATCH(X$2027&amp;$A8,Principal!$U$42:$U$69,0))),"",IF(INDEX(Principal!$AO$42:$AO$69,MATCH(X$2027&amp;$A8,Principal!$U$42:$U$69,0))&gt;0,INDEX(Principal!$AF$42:$AF$69,MATCH(X$2027&amp;$A8,Principal!$U$42:$U$69,0)),INDEX(PoderesDeCriatura_Adquiridos,MATCH(X$2027&amp;$A8,Principal!$U$42:$U$69,0))))</f>
        <v/>
      </c>
      <c r="Y2036" s="236" t="str">
        <f t="shared" ref="Y2036" si="351">IF(X2036="","",", "&amp;X2036)</f>
        <v/>
      </c>
      <c r="Z2036" s="887" t="str">
        <f>IF(ISNA(INDEX(PoderesDeCriatura_Adquiridos,MATCH(Z$2027&amp;$A8,Principal!$U$42:$U$69,0))),"",IF(INDEX(Principal!$AO$42:$AO$69,MATCH(Z$2027&amp;$A8,Principal!$U$42:$U$69,0))&gt;0,INDEX(Principal!$AF$42:$AF$69,MATCH(Z$2027&amp;$A8,Principal!$U$42:$U$69,0)),INDEX(PoderesDeCriatura_Adquiridos,MATCH(Z$2027&amp;$A8,Principal!$U$42:$U$69,0))))</f>
        <v/>
      </c>
      <c r="AA2036" s="236" t="str">
        <f t="shared" ref="AA2036" si="352">IF(Z2036="","",", "&amp;Z2036)</f>
        <v/>
      </c>
      <c r="AB2036" s="887" t="str">
        <f>IF(ISNA(INDEX(PoderesDeCriatura_Adquiridos,MATCH(AB$2027&amp;$A8,Principal!$U$42:$U$69,0))),"",IF(INDEX(Principal!$AO$42:$AO$69,MATCH(AB$2027&amp;$A8,Principal!$U$42:$U$69,0))&gt;0,INDEX(Principal!$AF$42:$AF$69,MATCH(AB$2027&amp;$A8,Principal!$U$42:$U$69,0)),INDEX(PoderesDeCriatura_Adquiridos,MATCH(AB$2027&amp;$A8,Principal!$U$42:$U$69,0))))</f>
        <v/>
      </c>
      <c r="AC2036" s="236" t="str">
        <f t="shared" ref="AC2036" si="353">IF(AB2036="","",", "&amp;AB2036)</f>
        <v/>
      </c>
      <c r="AD2036" s="887" t="str">
        <f>IF(ISNA(INDEX(PoderesDeCriatura_Adquiridos,MATCH(AD$2027&amp;$A8,Principal!$U$42:$U$69,0))),"",IF(INDEX(Principal!$AO$42:$AO$69,MATCH(AD$2027&amp;$A8,Principal!$U$42:$U$69,0))&gt;0,INDEX(Principal!$AF$42:$AF$69,MATCH(AD$2027&amp;$A8,Principal!$U$42:$U$69,0)),INDEX(PoderesDeCriatura_Adquiridos,MATCH(AD$2027&amp;$A8,Principal!$U$42:$U$69,0))))</f>
        <v/>
      </c>
      <c r="AE2036" s="891" t="str">
        <f t="shared" ref="AE2036" si="354">IF(AD2036="","",", "&amp;AD2036)</f>
        <v/>
      </c>
      <c r="AF2036" s="886" t="str">
        <f>IF(OR(AG2036=0,ISNUMBER(MATCH(AG2036,$AG$2030:$AG2035,0))),"",MAX($AF$2029:AF2035)+1)</f>
        <v/>
      </c>
      <c r="AG2036" s="1365">
        <f>Principal!V48</f>
        <v>0</v>
      </c>
    </row>
    <row r="2037" spans="1:33" ht="12.75" customHeight="1" x14ac:dyDescent="0.2">
      <c r="A2037" s="237">
        <v>2037</v>
      </c>
      <c r="B2037" s="5838"/>
      <c r="C2037" s="910" t="str">
        <f t="shared" si="299"/>
        <v/>
      </c>
      <c r="D2037" s="513" t="str">
        <f t="shared" si="301"/>
        <v/>
      </c>
      <c r="E2037" s="513" t="str">
        <f t="shared" si="302"/>
        <v/>
      </c>
      <c r="F2037" s="880" t="str">
        <f>IF(ISNA(VLOOKUP(MIN($C$2023:$C$2065)+A15-1,$C$2023:$E$2065,3,0)),"",", "&amp;VLOOKUP(MIN($C$2023:$C$2065)+A15-1,$C$2023:$E$2065,3,0))</f>
        <v/>
      </c>
      <c r="G2037" s="5939"/>
      <c r="H2037" s="1429" t="str">
        <f>Combate!AB27</f>
        <v/>
      </c>
      <c r="I2037" s="1437" t="str">
        <f t="shared" si="303"/>
        <v/>
      </c>
      <c r="J2037" s="870" t="str">
        <f>IF(ISNA(VLOOKUP(A10,Principal!$S$42:$AH$69,10,FALSE)),"",IF(VLOOKUP(A10,Principal!$S$42:$AH$69,10,FALSE)=0,"",INDEX(PoderesDeCriatura_Adquiridos,MATCH(A10,Principal!$S$42:$S$69,0))))</f>
        <v/>
      </c>
      <c r="K2037" s="933" t="str">
        <f t="shared" si="304"/>
        <v/>
      </c>
      <c r="L2037" s="887" t="str">
        <f>IF(ISNA(INDEX(PoderesDeCriatura_Adquiridos,MATCH(L$2027&amp;$A9,Principal!$U$42:$U$69,0))),"",IF(INDEX(Principal!$AO$42:$AO$69,MATCH(L$2027&amp;$A9,Principal!$U$42:$U$69,0))&gt;0,INDEX(Principal!$AF$42:$AF$69,MATCH(L$2027&amp;$A9,Principal!$U$42:$U$69,0)),INDEX(PoderesDeCriatura_Adquiridos,MATCH(L$2027&amp;$A9,Principal!$U$42:$U$69,0))))</f>
        <v/>
      </c>
      <c r="M2037" s="236" t="str">
        <f t="shared" si="305"/>
        <v/>
      </c>
      <c r="N2037" s="887" t="str">
        <f>IF(ISNA(INDEX(PoderesDeCriatura_Adquiridos,MATCH(N$2027&amp;$A9,Principal!$U$42:$U$69,0))),"",IF(INDEX(Principal!$AO$42:$AO$69,MATCH(N$2027&amp;$A9,Principal!$U$42:$U$69,0))&gt;0,INDEX(Principal!$AF$42:$AF$69,MATCH(N$2027&amp;$A9,Principal!$U$42:$U$69,0)),INDEX(PoderesDeCriatura_Adquiridos,MATCH(N$2027&amp;$A9,Principal!$U$42:$U$69,0))))</f>
        <v/>
      </c>
      <c r="O2037" s="236" t="str">
        <f t="shared" si="306"/>
        <v/>
      </c>
      <c r="P2037" s="887" t="str">
        <f>IF(ISNA(INDEX(PoderesDeCriatura_Adquiridos,MATCH(P$2027&amp;$A9,Principal!$U$42:$U$69,0))),"",IF(INDEX(Principal!$AO$42:$AO$69,MATCH(P$2027&amp;$A9,Principal!$U$42:$U$69,0))&gt;0,INDEX(Principal!$AF$42:$AF$69,MATCH(P$2027&amp;$A9,Principal!$U$42:$U$69,0)),INDEX(PoderesDeCriatura_Adquiridos,MATCH(P$2027&amp;$A9,Principal!$U$42:$U$69,0))))</f>
        <v/>
      </c>
      <c r="Q2037" s="236" t="str">
        <f t="shared" ref="Q2037" si="355">IF(P2037="","",", "&amp;P2037)</f>
        <v/>
      </c>
      <c r="R2037" s="887" t="str">
        <f>IF(ISNA(INDEX(PoderesDeCriatura_Adquiridos,MATCH(R$2027&amp;$A9,Principal!$U$42:$U$69,0))),"",IF(INDEX(Principal!$AO$42:$AO$69,MATCH(R$2027&amp;$A9,Principal!$U$42:$U$69,0))&gt;0,INDEX(Principal!$AF$42:$AF$69,MATCH(R$2027&amp;$A9,Principal!$U$42:$U$69,0)),INDEX(PoderesDeCriatura_Adquiridos,MATCH(R$2027&amp;$A9,Principal!$U$42:$U$69,0))))</f>
        <v/>
      </c>
      <c r="S2037" s="236" t="str">
        <f t="shared" ref="S2037" si="356">IF(R2037="","",", "&amp;R2037)</f>
        <v/>
      </c>
      <c r="T2037" s="887" t="str">
        <f>IF(ISNA(INDEX(PoderesDeCriatura_Adquiridos,MATCH(T$2027&amp;$A9,Principal!$U$42:$U$69,0))),"",IF(INDEX(Principal!$AO$42:$AO$69,MATCH(T$2027&amp;$A9,Principal!$U$42:$U$69,0))&gt;0,INDEX(Principal!$AF$42:$AF$69,MATCH(T$2027&amp;$A9,Principal!$U$42:$U$69,0)),INDEX(PoderesDeCriatura_Adquiridos,MATCH(T$2027&amp;$A9,Principal!$U$42:$U$69,0))))</f>
        <v/>
      </c>
      <c r="U2037" s="236" t="str">
        <f t="shared" ref="U2037" si="357">IF(T2037="","",", "&amp;T2037)</f>
        <v/>
      </c>
      <c r="V2037" s="887" t="str">
        <f>IF(ISNA(INDEX(PoderesDeCriatura_Adquiridos,MATCH(V$2027&amp;$A9,Principal!$U$42:$U$69,0))),"",IF(INDEX(Principal!$AO$42:$AO$69,MATCH(V$2027&amp;$A9,Principal!$U$42:$U$69,0))&gt;0,INDEX(Principal!$AF$42:$AF$69,MATCH(V$2027&amp;$A9,Principal!$U$42:$U$69,0)),INDEX(PoderesDeCriatura_Adquiridos,MATCH(V$2027&amp;$A9,Principal!$U$42:$U$69,0))))</f>
        <v/>
      </c>
      <c r="W2037" s="236" t="str">
        <f t="shared" ref="W2037" si="358">IF(V2037="","",", "&amp;V2037)</f>
        <v/>
      </c>
      <c r="X2037" s="887" t="str">
        <f>IF(ISNA(INDEX(PoderesDeCriatura_Adquiridos,MATCH(X$2027&amp;$A9,Principal!$U$42:$U$69,0))),"",IF(INDEX(Principal!$AO$42:$AO$69,MATCH(X$2027&amp;$A9,Principal!$U$42:$U$69,0))&gt;0,INDEX(Principal!$AF$42:$AF$69,MATCH(X$2027&amp;$A9,Principal!$U$42:$U$69,0)),INDEX(PoderesDeCriatura_Adquiridos,MATCH(X$2027&amp;$A9,Principal!$U$42:$U$69,0))))</f>
        <v/>
      </c>
      <c r="Y2037" s="236" t="str">
        <f t="shared" ref="Y2037" si="359">IF(X2037="","",", "&amp;X2037)</f>
        <v/>
      </c>
      <c r="Z2037" s="887" t="str">
        <f>IF(ISNA(INDEX(PoderesDeCriatura_Adquiridos,MATCH(Z$2027&amp;$A9,Principal!$U$42:$U$69,0))),"",IF(INDEX(Principal!$AO$42:$AO$69,MATCH(Z$2027&amp;$A9,Principal!$U$42:$U$69,0))&gt;0,INDEX(Principal!$AF$42:$AF$69,MATCH(Z$2027&amp;$A9,Principal!$U$42:$U$69,0)),INDEX(PoderesDeCriatura_Adquiridos,MATCH(Z$2027&amp;$A9,Principal!$U$42:$U$69,0))))</f>
        <v/>
      </c>
      <c r="AA2037" s="236" t="str">
        <f t="shared" ref="AA2037" si="360">IF(Z2037="","",", "&amp;Z2037)</f>
        <v/>
      </c>
      <c r="AB2037" s="887" t="str">
        <f>IF(ISNA(INDEX(PoderesDeCriatura_Adquiridos,MATCH(AB$2027&amp;$A9,Principal!$U$42:$U$69,0))),"",IF(INDEX(Principal!$AO$42:$AO$69,MATCH(AB$2027&amp;$A9,Principal!$U$42:$U$69,0))&gt;0,INDEX(Principal!$AF$42:$AF$69,MATCH(AB$2027&amp;$A9,Principal!$U$42:$U$69,0)),INDEX(PoderesDeCriatura_Adquiridos,MATCH(AB$2027&amp;$A9,Principal!$U$42:$U$69,0))))</f>
        <v/>
      </c>
      <c r="AC2037" s="236" t="str">
        <f t="shared" ref="AC2037" si="361">IF(AB2037="","",", "&amp;AB2037)</f>
        <v/>
      </c>
      <c r="AD2037" s="887" t="str">
        <f>IF(ISNA(INDEX(PoderesDeCriatura_Adquiridos,MATCH(AD$2027&amp;$A9,Principal!$U$42:$U$69,0))),"",IF(INDEX(Principal!$AO$42:$AO$69,MATCH(AD$2027&amp;$A9,Principal!$U$42:$U$69,0))&gt;0,INDEX(Principal!$AF$42:$AF$69,MATCH(AD$2027&amp;$A9,Principal!$U$42:$U$69,0)),INDEX(PoderesDeCriatura_Adquiridos,MATCH(AD$2027&amp;$A9,Principal!$U$42:$U$69,0))))</f>
        <v/>
      </c>
      <c r="AE2037" s="891" t="str">
        <f t="shared" ref="AE2037" si="362">IF(AD2037="","",", "&amp;AD2037)</f>
        <v/>
      </c>
      <c r="AF2037" s="886" t="str">
        <f>IF(OR(AG2037=0,ISNUMBER(MATCH(AG2037,$AG$2030:$AG2036,0))),"",MAX($AF$2029:AF2036)+1)</f>
        <v/>
      </c>
      <c r="AG2037" s="1365">
        <f>Principal!V49</f>
        <v>0</v>
      </c>
    </row>
    <row r="2038" spans="1:33" ht="12.75" customHeight="1" x14ac:dyDescent="0.2">
      <c r="A2038" s="237">
        <v>2038</v>
      </c>
      <c r="B2038" s="5838"/>
      <c r="C2038" s="910" t="str">
        <f>IF(D2038="","",COUNTIF($D$2023:$D$2065,"&lt;="&amp;D2038)-SUMPRODUCT(--($D$2023:$D$2065="")))</f>
        <v/>
      </c>
      <c r="D2038" s="878" t="str">
        <f t="shared" si="301"/>
        <v/>
      </c>
      <c r="E2038" s="878" t="str">
        <f t="shared" si="302"/>
        <v/>
      </c>
      <c r="F2038" s="880" t="str">
        <f>IF(ISNA(VLOOKUP(MIN($C$2023:$C$2065)+A16-1,$C$2023:$E$2065,3,0)),"",", "&amp;VLOOKUP(MIN($C$2023:$C$2065)+A16-1,$C$2023:$E$2065,3,0))</f>
        <v/>
      </c>
      <c r="G2038" s="5939"/>
      <c r="H2038" s="1430" t="str">
        <f>Combate!AB28</f>
        <v/>
      </c>
      <c r="I2038" s="1438" t="str">
        <f t="shared" si="303"/>
        <v/>
      </c>
      <c r="J2038" s="870" t="str">
        <f>IF(ISNA(VLOOKUP(A11,Principal!$S$42:$AH$69,10,FALSE)),"",IF(VLOOKUP(A11,Principal!$S$42:$AH$69,10,FALSE)=0,"",INDEX(PoderesDeCriatura_Adquiridos,MATCH(A11,Principal!$S$42:$S$69,0))))</f>
        <v/>
      </c>
      <c r="K2038" s="933" t="str">
        <f t="shared" si="304"/>
        <v/>
      </c>
      <c r="L2038" s="887" t="str">
        <f>IF(ISNA(INDEX(PoderesDeCriatura_Adquiridos,MATCH(L$2027&amp;$A10,Principal!$U$42:$U$69,0))),"",IF(INDEX(Principal!$AO$42:$AO$69,MATCH(L$2027&amp;$A10,Principal!$U$42:$U$69,0))&gt;0,INDEX(Principal!$AF$42:$AF$69,MATCH(L$2027&amp;$A10,Principal!$U$42:$U$69,0)),INDEX(PoderesDeCriatura_Adquiridos,MATCH(L$2027&amp;$A10,Principal!$U$42:$U$69,0))))</f>
        <v/>
      </c>
      <c r="M2038" s="236" t="str">
        <f t="shared" si="305"/>
        <v/>
      </c>
      <c r="N2038" s="887" t="str">
        <f>IF(ISNA(INDEX(PoderesDeCriatura_Adquiridos,MATCH(N$2027&amp;$A10,Principal!$U$42:$U$69,0))),"",IF(INDEX(Principal!$AO$42:$AO$69,MATCH(N$2027&amp;$A10,Principal!$U$42:$U$69,0))&gt;0,INDEX(Principal!$AF$42:$AF$69,MATCH(N$2027&amp;$A10,Principal!$U$42:$U$69,0)),INDEX(PoderesDeCriatura_Adquiridos,MATCH(N$2027&amp;$A10,Principal!$U$42:$U$69,0))))</f>
        <v/>
      </c>
      <c r="O2038" s="236" t="str">
        <f t="shared" si="306"/>
        <v/>
      </c>
      <c r="P2038" s="887" t="str">
        <f>IF(ISNA(INDEX(PoderesDeCriatura_Adquiridos,MATCH(P$2027&amp;$A10,Principal!$U$42:$U$69,0))),"",IF(INDEX(Principal!$AO$42:$AO$69,MATCH(P$2027&amp;$A10,Principal!$U$42:$U$69,0))&gt;0,INDEX(Principal!$AF$42:$AF$69,MATCH(P$2027&amp;$A10,Principal!$U$42:$U$69,0)),INDEX(PoderesDeCriatura_Adquiridos,MATCH(P$2027&amp;$A10,Principal!$U$42:$U$69,0))))</f>
        <v/>
      </c>
      <c r="Q2038" s="236" t="str">
        <f t="shared" ref="Q2038" si="363">IF(P2038="","",", "&amp;P2038)</f>
        <v/>
      </c>
      <c r="R2038" s="887" t="str">
        <f>IF(ISNA(INDEX(PoderesDeCriatura_Adquiridos,MATCH(R$2027&amp;$A10,Principal!$U$42:$U$69,0))),"",IF(INDEX(Principal!$AO$42:$AO$69,MATCH(R$2027&amp;$A10,Principal!$U$42:$U$69,0))&gt;0,INDEX(Principal!$AF$42:$AF$69,MATCH(R$2027&amp;$A10,Principal!$U$42:$U$69,0)),INDEX(PoderesDeCriatura_Adquiridos,MATCH(R$2027&amp;$A10,Principal!$U$42:$U$69,0))))</f>
        <v/>
      </c>
      <c r="S2038" s="236" t="str">
        <f t="shared" ref="S2038" si="364">IF(R2038="","",", "&amp;R2038)</f>
        <v/>
      </c>
      <c r="T2038" s="887" t="str">
        <f>IF(ISNA(INDEX(PoderesDeCriatura_Adquiridos,MATCH(T$2027&amp;$A10,Principal!$U$42:$U$69,0))),"",IF(INDEX(Principal!$AO$42:$AO$69,MATCH(T$2027&amp;$A10,Principal!$U$42:$U$69,0))&gt;0,INDEX(Principal!$AF$42:$AF$69,MATCH(T$2027&amp;$A10,Principal!$U$42:$U$69,0)),INDEX(PoderesDeCriatura_Adquiridos,MATCH(T$2027&amp;$A10,Principal!$U$42:$U$69,0))))</f>
        <v/>
      </c>
      <c r="U2038" s="236" t="str">
        <f t="shared" ref="U2038" si="365">IF(T2038="","",", "&amp;T2038)</f>
        <v/>
      </c>
      <c r="V2038" s="887" t="str">
        <f>IF(ISNA(INDEX(PoderesDeCriatura_Adquiridos,MATCH(V$2027&amp;$A10,Principal!$U$42:$U$69,0))),"",IF(INDEX(Principal!$AO$42:$AO$69,MATCH(V$2027&amp;$A10,Principal!$U$42:$U$69,0))&gt;0,INDEX(Principal!$AF$42:$AF$69,MATCH(V$2027&amp;$A10,Principal!$U$42:$U$69,0)),INDEX(PoderesDeCriatura_Adquiridos,MATCH(V$2027&amp;$A10,Principal!$U$42:$U$69,0))))</f>
        <v/>
      </c>
      <c r="W2038" s="236" t="str">
        <f t="shared" ref="W2038" si="366">IF(V2038="","",", "&amp;V2038)</f>
        <v/>
      </c>
      <c r="X2038" s="887" t="str">
        <f>IF(ISNA(INDEX(PoderesDeCriatura_Adquiridos,MATCH(X$2027&amp;$A10,Principal!$U$42:$U$69,0))),"",IF(INDEX(Principal!$AO$42:$AO$69,MATCH(X$2027&amp;$A10,Principal!$U$42:$U$69,0))&gt;0,INDEX(Principal!$AF$42:$AF$69,MATCH(X$2027&amp;$A10,Principal!$U$42:$U$69,0)),INDEX(PoderesDeCriatura_Adquiridos,MATCH(X$2027&amp;$A10,Principal!$U$42:$U$69,0))))</f>
        <v/>
      </c>
      <c r="Y2038" s="236" t="str">
        <f t="shared" ref="Y2038" si="367">IF(X2038="","",", "&amp;X2038)</f>
        <v/>
      </c>
      <c r="Z2038" s="887" t="str">
        <f>IF(ISNA(INDEX(PoderesDeCriatura_Adquiridos,MATCH(Z$2027&amp;$A10,Principal!$U$42:$U$69,0))),"",IF(INDEX(Principal!$AO$42:$AO$69,MATCH(Z$2027&amp;$A10,Principal!$U$42:$U$69,0))&gt;0,INDEX(Principal!$AF$42:$AF$69,MATCH(Z$2027&amp;$A10,Principal!$U$42:$U$69,0)),INDEX(PoderesDeCriatura_Adquiridos,MATCH(Z$2027&amp;$A10,Principal!$U$42:$U$69,0))))</f>
        <v/>
      </c>
      <c r="AA2038" s="236" t="str">
        <f t="shared" ref="AA2038" si="368">IF(Z2038="","",", "&amp;Z2038)</f>
        <v/>
      </c>
      <c r="AB2038" s="887" t="str">
        <f>IF(ISNA(INDEX(PoderesDeCriatura_Adquiridos,MATCH(AB$2027&amp;$A10,Principal!$U$42:$U$69,0))),"",IF(INDEX(Principal!$AO$42:$AO$69,MATCH(AB$2027&amp;$A10,Principal!$U$42:$U$69,0))&gt;0,INDEX(Principal!$AF$42:$AF$69,MATCH(AB$2027&amp;$A10,Principal!$U$42:$U$69,0)),INDEX(PoderesDeCriatura_Adquiridos,MATCH(AB$2027&amp;$A10,Principal!$U$42:$U$69,0))))</f>
        <v/>
      </c>
      <c r="AC2038" s="236" t="str">
        <f t="shared" ref="AC2038" si="369">IF(AB2038="","",", "&amp;AB2038)</f>
        <v/>
      </c>
      <c r="AD2038" s="887" t="str">
        <f>IF(ISNA(INDEX(PoderesDeCriatura_Adquiridos,MATCH(AD$2027&amp;$A10,Principal!$U$42:$U$69,0))),"",IF(INDEX(Principal!$AO$42:$AO$69,MATCH(AD$2027&amp;$A10,Principal!$U$42:$U$69,0))&gt;0,INDEX(Principal!$AF$42:$AF$69,MATCH(AD$2027&amp;$A10,Principal!$U$42:$U$69,0)),INDEX(PoderesDeCriatura_Adquiridos,MATCH(AD$2027&amp;$A10,Principal!$U$42:$U$69,0))))</f>
        <v/>
      </c>
      <c r="AE2038" s="891" t="str">
        <f t="shared" ref="AE2038" si="370">IF(AD2038="","",", "&amp;AD2038)</f>
        <v/>
      </c>
      <c r="AF2038" s="886" t="str">
        <f>IF(OR(AG2038=0,ISNUMBER(MATCH(AG2038,$AG$2030:$AG2037,0))),"",MAX($AF$2029:AF2037)+1)</f>
        <v/>
      </c>
      <c r="AG2038" s="1365">
        <f>Principal!V50</f>
        <v>0</v>
      </c>
    </row>
    <row r="2039" spans="1:33" ht="12.75" customHeight="1" x14ac:dyDescent="0.2">
      <c r="A2039" s="237">
        <v>2039</v>
      </c>
      <c r="B2039" s="5838"/>
      <c r="C2039" s="914" t="str">
        <f>IF(D2039="","",COUNTIF($D$2023:$D$2065,"&lt;="&amp;D2039)-SUMPRODUCT(--($D$2023:$D$2065="")))</f>
        <v/>
      </c>
      <c r="D2039" s="513" t="str">
        <f>IFERROR(LEFT(H2039,FIND("(",H2039)-2),"")</f>
        <v/>
      </c>
      <c r="E2039" s="513" t="str">
        <f>IFERROR(VLOOKUP(D2039&amp;" (Arcano)",$H$2039:$H$2057,1,0),IFERROR(VLOOKUP(D2039&amp;" (Supremo)",$H$2039:$H$2057,1,0),IFERROR(VLOOKUP(D2039&amp;" (Avanzado)",$H$2039:$H$2057,1,0),IFERROR(VLOOKUP(D2039&amp;" (Base)",$H$2039:$H$2057,1,0),""))))</f>
        <v/>
      </c>
      <c r="F2039" s="880" t="str">
        <f>IF(ISNA(VLOOKUP(MIN($C$2023:$C$2065)+A17-1,$C$2023:$E$2065,3,0)),"",", "&amp;VLOOKUP(MIN($C$2023:$C$2065)+A17-1,$C$2023:$E$2065,3,0))</f>
        <v/>
      </c>
      <c r="G2039" s="5939"/>
      <c r="H2039" s="1429" t="str">
        <f>Combate!AB31</f>
        <v/>
      </c>
      <c r="J2039" s="870" t="str">
        <f>IF(ISNA(VLOOKUP(A12,Principal!$S$42:$AH$69,10,FALSE)),"",IF(VLOOKUP(A12,Principal!$S$42:$AH$69,10,FALSE)=0,"",INDEX(PoderesDeCriatura_Adquiridos,MATCH(A12,Principal!$S$42:$S$69,0))))</f>
        <v/>
      </c>
      <c r="K2039" s="933" t="str">
        <f t="shared" si="304"/>
        <v/>
      </c>
      <c r="L2039" s="887" t="str">
        <f>IF(ISNA(INDEX(PoderesDeCriatura_Adquiridos,MATCH(L$2027&amp;$A11,Principal!$U$42:$U$69,0))),"",IF(INDEX(Principal!$AO$42:$AO$69,MATCH(L$2027&amp;$A11,Principal!$U$42:$U$69,0))&gt;0,INDEX(Principal!$AF$42:$AF$69,MATCH(L$2027&amp;$A11,Principal!$U$42:$U$69,0)),INDEX(PoderesDeCriatura_Adquiridos,MATCH(L$2027&amp;$A11,Principal!$U$42:$U$69,0))))</f>
        <v/>
      </c>
      <c r="M2039" s="236" t="str">
        <f t="shared" si="305"/>
        <v/>
      </c>
      <c r="N2039" s="887" t="str">
        <f>IF(ISNA(INDEX(PoderesDeCriatura_Adquiridos,MATCH(N$2027&amp;$A11,Principal!$U$42:$U$69,0))),"",IF(INDEX(Principal!$AO$42:$AO$69,MATCH(N$2027&amp;$A11,Principal!$U$42:$U$69,0))&gt;0,INDEX(Principal!$AF$42:$AF$69,MATCH(N$2027&amp;$A11,Principal!$U$42:$U$69,0)),INDEX(PoderesDeCriatura_Adquiridos,MATCH(N$2027&amp;$A11,Principal!$U$42:$U$69,0))))</f>
        <v/>
      </c>
      <c r="O2039" s="236" t="str">
        <f t="shared" si="306"/>
        <v/>
      </c>
      <c r="P2039" s="887" t="str">
        <f>IF(ISNA(INDEX(PoderesDeCriatura_Adquiridos,MATCH(P$2027&amp;$A11,Principal!$U$42:$U$69,0))),"",IF(INDEX(Principal!$AO$42:$AO$69,MATCH(P$2027&amp;$A11,Principal!$U$42:$U$69,0))&gt;0,INDEX(Principal!$AF$42:$AF$69,MATCH(P$2027&amp;$A11,Principal!$U$42:$U$69,0)),INDEX(PoderesDeCriatura_Adquiridos,MATCH(P$2027&amp;$A11,Principal!$U$42:$U$69,0))))</f>
        <v/>
      </c>
      <c r="Q2039" s="236" t="str">
        <f t="shared" ref="Q2039" si="371">IF(P2039="","",", "&amp;P2039)</f>
        <v/>
      </c>
      <c r="R2039" s="887" t="str">
        <f>IF(ISNA(INDEX(PoderesDeCriatura_Adquiridos,MATCH(R$2027&amp;$A11,Principal!$U$42:$U$69,0))),"",IF(INDEX(Principal!$AO$42:$AO$69,MATCH(R$2027&amp;$A11,Principal!$U$42:$U$69,0))&gt;0,INDEX(Principal!$AF$42:$AF$69,MATCH(R$2027&amp;$A11,Principal!$U$42:$U$69,0)),INDEX(PoderesDeCriatura_Adquiridos,MATCH(R$2027&amp;$A11,Principal!$U$42:$U$69,0))))</f>
        <v/>
      </c>
      <c r="S2039" s="236" t="str">
        <f t="shared" ref="S2039" si="372">IF(R2039="","",", "&amp;R2039)</f>
        <v/>
      </c>
      <c r="T2039" s="887" t="str">
        <f>IF(ISNA(INDEX(PoderesDeCriatura_Adquiridos,MATCH(T$2027&amp;$A11,Principal!$U$42:$U$69,0))),"",IF(INDEX(Principal!$AO$42:$AO$69,MATCH(T$2027&amp;$A11,Principal!$U$42:$U$69,0))&gt;0,INDEX(Principal!$AF$42:$AF$69,MATCH(T$2027&amp;$A11,Principal!$U$42:$U$69,0)),INDEX(PoderesDeCriatura_Adquiridos,MATCH(T$2027&amp;$A11,Principal!$U$42:$U$69,0))))</f>
        <v/>
      </c>
      <c r="U2039" s="236" t="str">
        <f t="shared" ref="U2039" si="373">IF(T2039="","",", "&amp;T2039)</f>
        <v/>
      </c>
      <c r="V2039" s="887" t="str">
        <f>IF(ISNA(INDEX(PoderesDeCriatura_Adquiridos,MATCH(V$2027&amp;$A11,Principal!$U$42:$U$69,0))),"",IF(INDEX(Principal!$AO$42:$AO$69,MATCH(V$2027&amp;$A11,Principal!$U$42:$U$69,0))&gt;0,INDEX(Principal!$AF$42:$AF$69,MATCH(V$2027&amp;$A11,Principal!$U$42:$U$69,0)),INDEX(PoderesDeCriatura_Adquiridos,MATCH(V$2027&amp;$A11,Principal!$U$42:$U$69,0))))</f>
        <v/>
      </c>
      <c r="W2039" s="236" t="str">
        <f t="shared" ref="W2039" si="374">IF(V2039="","",", "&amp;V2039)</f>
        <v/>
      </c>
      <c r="X2039" s="887" t="str">
        <f>IF(ISNA(INDEX(PoderesDeCriatura_Adquiridos,MATCH(X$2027&amp;$A11,Principal!$U$42:$U$69,0))),"",IF(INDEX(Principal!$AO$42:$AO$69,MATCH(X$2027&amp;$A11,Principal!$U$42:$U$69,0))&gt;0,INDEX(Principal!$AF$42:$AF$69,MATCH(X$2027&amp;$A11,Principal!$U$42:$U$69,0)),INDEX(PoderesDeCriatura_Adquiridos,MATCH(X$2027&amp;$A11,Principal!$U$42:$U$69,0))))</f>
        <v/>
      </c>
      <c r="Y2039" s="236" t="str">
        <f t="shared" ref="Y2039" si="375">IF(X2039="","",", "&amp;X2039)</f>
        <v/>
      </c>
      <c r="Z2039" s="887" t="str">
        <f>IF(ISNA(INDEX(PoderesDeCriatura_Adquiridos,MATCH(Z$2027&amp;$A11,Principal!$U$42:$U$69,0))),"",IF(INDEX(Principal!$AO$42:$AO$69,MATCH(Z$2027&amp;$A11,Principal!$U$42:$U$69,0))&gt;0,INDEX(Principal!$AF$42:$AF$69,MATCH(Z$2027&amp;$A11,Principal!$U$42:$U$69,0)),INDEX(PoderesDeCriatura_Adquiridos,MATCH(Z$2027&amp;$A11,Principal!$U$42:$U$69,0))))</f>
        <v/>
      </c>
      <c r="AA2039" s="236" t="str">
        <f t="shared" ref="AA2039" si="376">IF(Z2039="","",", "&amp;Z2039)</f>
        <v/>
      </c>
      <c r="AB2039" s="887" t="str">
        <f>IF(ISNA(INDEX(PoderesDeCriatura_Adquiridos,MATCH(AB$2027&amp;$A11,Principal!$U$42:$U$69,0))),"",IF(INDEX(Principal!$AO$42:$AO$69,MATCH(AB$2027&amp;$A11,Principal!$U$42:$U$69,0))&gt;0,INDEX(Principal!$AF$42:$AF$69,MATCH(AB$2027&amp;$A11,Principal!$U$42:$U$69,0)),INDEX(PoderesDeCriatura_Adquiridos,MATCH(AB$2027&amp;$A11,Principal!$U$42:$U$69,0))))</f>
        <v/>
      </c>
      <c r="AC2039" s="236" t="str">
        <f t="shared" ref="AC2039" si="377">IF(AB2039="","",", "&amp;AB2039)</f>
        <v/>
      </c>
      <c r="AD2039" s="887" t="str">
        <f>IF(ISNA(INDEX(PoderesDeCriatura_Adquiridos,MATCH(AD$2027&amp;$A11,Principal!$U$42:$U$69,0))),"",IF(INDEX(Principal!$AO$42:$AO$69,MATCH(AD$2027&amp;$A11,Principal!$U$42:$U$69,0))&gt;0,INDEX(Principal!$AF$42:$AF$69,MATCH(AD$2027&amp;$A11,Principal!$U$42:$U$69,0)),INDEX(PoderesDeCriatura_Adquiridos,MATCH(AD$2027&amp;$A11,Principal!$U$42:$U$69,0))))</f>
        <v/>
      </c>
      <c r="AE2039" s="891" t="str">
        <f t="shared" ref="AE2039" si="378">IF(AD2039="","",", "&amp;AD2039)</f>
        <v/>
      </c>
      <c r="AF2039" s="886" t="str">
        <f>IF(OR(AG2039=0,ISNUMBER(MATCH(AG2039,$AG$2030:$AG2038,0))),"",MAX($AF$2029:AF2038)+1)</f>
        <v/>
      </c>
      <c r="AG2039" s="1365">
        <f>Principal!V51</f>
        <v>0</v>
      </c>
    </row>
    <row r="2040" spans="1:33" ht="12.75" customHeight="1" x14ac:dyDescent="0.2">
      <c r="A2040" s="237">
        <v>2040</v>
      </c>
      <c r="B2040" s="5838"/>
      <c r="C2040" s="914" t="str">
        <f t="shared" si="299"/>
        <v/>
      </c>
      <c r="D2040" s="513" t="str">
        <f t="shared" ref="D2040:D2057" si="379">IFERROR(LEFT(H2040,FIND("(",H2040)-2),"")</f>
        <v/>
      </c>
      <c r="E2040" s="513" t="str">
        <f t="shared" ref="E2040:E2057" si="380">IFERROR(VLOOKUP(D2040&amp;" (Arcano)",$H$2039:$H$2057,1,0),IFERROR(VLOOKUP(D2040&amp;" (Supremo)",$H$2039:$H$2057,1,0),IFERROR(VLOOKUP(D2040&amp;" (Avanzado)",$H$2039:$H$2057,1,0),IFERROR(VLOOKUP(D2040&amp;" (Base)",$H$2039:$H$2057,1,0),""))))</f>
        <v/>
      </c>
      <c r="F2040" s="880" t="str">
        <f>IF(ISNA(VLOOKUP(MIN($C$2023:$C$2065)+A18-1,$C$2023:$E$2065,3,0)),"",", "&amp;VLOOKUP(MIN($C$2023:$C$2065)+A18-1,$C$2023:$E$2065,3,0))</f>
        <v/>
      </c>
      <c r="G2040" s="5939"/>
      <c r="H2040" s="1429" t="str">
        <f>Combate!AB32</f>
        <v/>
      </c>
      <c r="I2040" s="592"/>
      <c r="J2040" s="870" t="str">
        <f>IF(ISNA(VLOOKUP(A13,Principal!$S$42:$AH$69,10,FALSE)),"",IF(VLOOKUP(A13,Principal!$S$42:$AH$69,10,FALSE)=0,"",INDEX(PoderesDeCriatura_Adquiridos,MATCH(A13,Principal!$S$42:$S$69,0))))</f>
        <v/>
      </c>
      <c r="K2040" s="933" t="str">
        <f t="shared" si="304"/>
        <v/>
      </c>
      <c r="L2040" s="887" t="str">
        <f>IF(ISNA(INDEX(PoderesDeCriatura_Adquiridos,MATCH(L$2027&amp;$A12,Principal!$U$42:$U$69,0))),"",IF(INDEX(Principal!$AO$42:$AO$69,MATCH(L$2027&amp;$A12,Principal!$U$42:$U$69,0))&gt;0,INDEX(Principal!$AF$42:$AF$69,MATCH(L$2027&amp;$A12,Principal!$U$42:$U$69,0)),INDEX(PoderesDeCriatura_Adquiridos,MATCH(L$2027&amp;$A12,Principal!$U$42:$U$69,0))))</f>
        <v/>
      </c>
      <c r="M2040" s="236" t="str">
        <f t="shared" si="305"/>
        <v/>
      </c>
      <c r="N2040" s="887" t="str">
        <f>IF(ISNA(INDEX(PoderesDeCriatura_Adquiridos,MATCH(N$2027&amp;$A12,Principal!$U$42:$U$69,0))),"",IF(INDEX(Principal!$AO$42:$AO$69,MATCH(N$2027&amp;$A12,Principal!$U$42:$U$69,0))&gt;0,INDEX(Principal!$AF$42:$AF$69,MATCH(N$2027&amp;$A12,Principal!$U$42:$U$69,0)),INDEX(PoderesDeCriatura_Adquiridos,MATCH(N$2027&amp;$A12,Principal!$U$42:$U$69,0))))</f>
        <v/>
      </c>
      <c r="O2040" s="236" t="str">
        <f t="shared" si="306"/>
        <v/>
      </c>
      <c r="P2040" s="887" t="str">
        <f>IF(ISNA(INDEX(PoderesDeCriatura_Adquiridos,MATCH(P$2027&amp;$A12,Principal!$U$42:$U$69,0))),"",IF(INDEX(Principal!$AO$42:$AO$69,MATCH(P$2027&amp;$A12,Principal!$U$42:$U$69,0))&gt;0,INDEX(Principal!$AF$42:$AF$69,MATCH(P$2027&amp;$A12,Principal!$U$42:$U$69,0)),INDEX(PoderesDeCriatura_Adquiridos,MATCH(P$2027&amp;$A12,Principal!$U$42:$U$69,0))))</f>
        <v/>
      </c>
      <c r="Q2040" s="236" t="str">
        <f t="shared" ref="Q2040" si="381">IF(P2040="","",", "&amp;P2040)</f>
        <v/>
      </c>
      <c r="R2040" s="887" t="str">
        <f>IF(ISNA(INDEX(PoderesDeCriatura_Adquiridos,MATCH(R$2027&amp;$A12,Principal!$U$42:$U$69,0))),"",IF(INDEX(Principal!$AO$42:$AO$69,MATCH(R$2027&amp;$A12,Principal!$U$42:$U$69,0))&gt;0,INDEX(Principal!$AF$42:$AF$69,MATCH(R$2027&amp;$A12,Principal!$U$42:$U$69,0)),INDEX(PoderesDeCriatura_Adquiridos,MATCH(R$2027&amp;$A12,Principal!$U$42:$U$69,0))))</f>
        <v/>
      </c>
      <c r="S2040" s="236" t="str">
        <f t="shared" ref="S2040" si="382">IF(R2040="","",", "&amp;R2040)</f>
        <v/>
      </c>
      <c r="T2040" s="887" t="str">
        <f>IF(ISNA(INDEX(PoderesDeCriatura_Adquiridos,MATCH(T$2027&amp;$A12,Principal!$U$42:$U$69,0))),"",IF(INDEX(Principal!$AO$42:$AO$69,MATCH(T$2027&amp;$A12,Principal!$U$42:$U$69,0))&gt;0,INDEX(Principal!$AF$42:$AF$69,MATCH(T$2027&amp;$A12,Principal!$U$42:$U$69,0)),INDEX(PoderesDeCriatura_Adquiridos,MATCH(T$2027&amp;$A12,Principal!$U$42:$U$69,0))))</f>
        <v/>
      </c>
      <c r="U2040" s="236" t="str">
        <f t="shared" ref="U2040" si="383">IF(T2040="","",", "&amp;T2040)</f>
        <v/>
      </c>
      <c r="V2040" s="887" t="str">
        <f>IF(ISNA(INDEX(PoderesDeCriatura_Adquiridos,MATCH(V$2027&amp;$A12,Principal!$U$42:$U$69,0))),"",IF(INDEX(Principal!$AO$42:$AO$69,MATCH(V$2027&amp;$A12,Principal!$U$42:$U$69,0))&gt;0,INDEX(Principal!$AF$42:$AF$69,MATCH(V$2027&amp;$A12,Principal!$U$42:$U$69,0)),INDEX(PoderesDeCriatura_Adquiridos,MATCH(V$2027&amp;$A12,Principal!$U$42:$U$69,0))))</f>
        <v/>
      </c>
      <c r="W2040" s="236" t="str">
        <f t="shared" ref="W2040" si="384">IF(V2040="","",", "&amp;V2040)</f>
        <v/>
      </c>
      <c r="X2040" s="887" t="str">
        <f>IF(ISNA(INDEX(PoderesDeCriatura_Adquiridos,MATCH(X$2027&amp;$A12,Principal!$U$42:$U$69,0))),"",IF(INDEX(Principal!$AO$42:$AO$69,MATCH(X$2027&amp;$A12,Principal!$U$42:$U$69,0))&gt;0,INDEX(Principal!$AF$42:$AF$69,MATCH(X$2027&amp;$A12,Principal!$U$42:$U$69,0)),INDEX(PoderesDeCriatura_Adquiridos,MATCH(X$2027&amp;$A12,Principal!$U$42:$U$69,0))))</f>
        <v/>
      </c>
      <c r="Y2040" s="236" t="str">
        <f t="shared" ref="Y2040" si="385">IF(X2040="","",", "&amp;X2040)</f>
        <v/>
      </c>
      <c r="Z2040" s="887" t="str">
        <f>IF(ISNA(INDEX(PoderesDeCriatura_Adquiridos,MATCH(Z$2027&amp;$A12,Principal!$U$42:$U$69,0))),"",IF(INDEX(Principal!$AO$42:$AO$69,MATCH(Z$2027&amp;$A12,Principal!$U$42:$U$69,0))&gt;0,INDEX(Principal!$AF$42:$AF$69,MATCH(Z$2027&amp;$A12,Principal!$U$42:$U$69,0)),INDEX(PoderesDeCriatura_Adquiridos,MATCH(Z$2027&amp;$A12,Principal!$U$42:$U$69,0))))</f>
        <v/>
      </c>
      <c r="AA2040" s="236" t="str">
        <f t="shared" ref="AA2040" si="386">IF(Z2040="","",", "&amp;Z2040)</f>
        <v/>
      </c>
      <c r="AB2040" s="887" t="str">
        <f>IF(ISNA(INDEX(PoderesDeCriatura_Adquiridos,MATCH(AB$2027&amp;$A12,Principal!$U$42:$U$69,0))),"",IF(INDEX(Principal!$AO$42:$AO$69,MATCH(AB$2027&amp;$A12,Principal!$U$42:$U$69,0))&gt;0,INDEX(Principal!$AF$42:$AF$69,MATCH(AB$2027&amp;$A12,Principal!$U$42:$U$69,0)),INDEX(PoderesDeCriatura_Adquiridos,MATCH(AB$2027&amp;$A12,Principal!$U$42:$U$69,0))))</f>
        <v/>
      </c>
      <c r="AC2040" s="236" t="str">
        <f t="shared" ref="AC2040" si="387">IF(AB2040="","",", "&amp;AB2040)</f>
        <v/>
      </c>
      <c r="AD2040" s="887" t="str">
        <f>IF(ISNA(INDEX(PoderesDeCriatura_Adquiridos,MATCH(AD$2027&amp;$A12,Principal!$U$42:$U$69,0))),"",IF(INDEX(Principal!$AO$42:$AO$69,MATCH(AD$2027&amp;$A12,Principal!$U$42:$U$69,0))&gt;0,INDEX(Principal!$AF$42:$AF$69,MATCH(AD$2027&amp;$A12,Principal!$U$42:$U$69,0)),INDEX(PoderesDeCriatura_Adquiridos,MATCH(AD$2027&amp;$A12,Principal!$U$42:$U$69,0))))</f>
        <v/>
      </c>
      <c r="AE2040" s="891" t="str">
        <f t="shared" ref="AE2040" si="388">IF(AD2040="","",", "&amp;AD2040)</f>
        <v/>
      </c>
      <c r="AF2040" s="886" t="str">
        <f>IF(OR(AG2040=0,ISNUMBER(MATCH(AG2040,$AG$2030:$AG2039,0))),"",MAX($AF$2029:AF2039)+1)</f>
        <v/>
      </c>
      <c r="AG2040" s="1365">
        <f>Principal!V52</f>
        <v>0</v>
      </c>
    </row>
    <row r="2041" spans="1:33" ht="12.75" customHeight="1" x14ac:dyDescent="0.2">
      <c r="A2041" s="237">
        <v>2041</v>
      </c>
      <c r="B2041" s="5838"/>
      <c r="C2041" s="914" t="str">
        <f t="shared" si="299"/>
        <v/>
      </c>
      <c r="D2041" s="513" t="str">
        <f t="shared" si="379"/>
        <v/>
      </c>
      <c r="E2041" s="513" t="str">
        <f t="shared" si="380"/>
        <v/>
      </c>
      <c r="F2041" s="880" t="str">
        <f>IF(ISNA(VLOOKUP(MIN($C$2023:$C$2065)+A19-1,$C$2023:$E$2065,3,0)),"",", "&amp;VLOOKUP(MIN($C$2023:$C$2065)+A19-1,$C$2023:$E$2065,3,0))</f>
        <v/>
      </c>
      <c r="G2041" s="5939"/>
      <c r="H2041" s="1429" t="str">
        <f>Combate!AB33</f>
        <v/>
      </c>
      <c r="I2041" s="592"/>
      <c r="J2041" s="870" t="str">
        <f>IF(ISNA(VLOOKUP(A14,Principal!$S$42:$AH$69,10,FALSE)),"",IF(VLOOKUP(A14,Principal!$S$42:$AH$69,10,FALSE)=0,"",INDEX(PoderesDeCriatura_Adquiridos,MATCH(A14,Principal!$S$42:$S$69,0))))</f>
        <v/>
      </c>
      <c r="K2041" s="933" t="str">
        <f t="shared" si="304"/>
        <v/>
      </c>
      <c r="L2041" s="887" t="str">
        <f>IF(ISNA(INDEX(PoderesDeCriatura_Adquiridos,MATCH(L$2027&amp;$A13,Principal!$U$42:$U$69,0))),"",IF(INDEX(Principal!$AO$42:$AO$69,MATCH(L$2027&amp;$A13,Principal!$U$42:$U$69,0))&gt;0,INDEX(Principal!$AF$42:$AF$69,MATCH(L$2027&amp;$A13,Principal!$U$42:$U$69,0)),INDEX(PoderesDeCriatura_Adquiridos,MATCH(L$2027&amp;$A13,Principal!$U$42:$U$69,0))))</f>
        <v/>
      </c>
      <c r="M2041" s="236" t="str">
        <f t="shared" si="305"/>
        <v/>
      </c>
      <c r="N2041" s="887" t="str">
        <f>IF(ISNA(INDEX(PoderesDeCriatura_Adquiridos,MATCH(N$2027&amp;$A13,Principal!$U$42:$U$69,0))),"",IF(INDEX(Principal!$AO$42:$AO$69,MATCH(N$2027&amp;$A13,Principal!$U$42:$U$69,0))&gt;0,INDEX(Principal!$AF$42:$AF$69,MATCH(N$2027&amp;$A13,Principal!$U$42:$U$69,0)),INDEX(PoderesDeCriatura_Adquiridos,MATCH(N$2027&amp;$A13,Principal!$U$42:$U$69,0))))</f>
        <v/>
      </c>
      <c r="O2041" s="236" t="str">
        <f t="shared" si="306"/>
        <v/>
      </c>
      <c r="P2041" s="887" t="str">
        <f>IF(ISNA(INDEX(PoderesDeCriatura_Adquiridos,MATCH(P$2027&amp;$A13,Principal!$U$42:$U$69,0))),"",IF(INDEX(Principal!$AO$42:$AO$69,MATCH(P$2027&amp;$A13,Principal!$U$42:$U$69,0))&gt;0,INDEX(Principal!$AF$42:$AF$69,MATCH(P$2027&amp;$A13,Principal!$U$42:$U$69,0)),INDEX(PoderesDeCriatura_Adquiridos,MATCH(P$2027&amp;$A13,Principal!$U$42:$U$69,0))))</f>
        <v/>
      </c>
      <c r="Q2041" s="236" t="str">
        <f t="shared" ref="Q2041" si="389">IF(P2041="","",", "&amp;P2041)</f>
        <v/>
      </c>
      <c r="R2041" s="887" t="str">
        <f>IF(ISNA(INDEX(PoderesDeCriatura_Adquiridos,MATCH(R$2027&amp;$A13,Principal!$U$42:$U$69,0))),"",IF(INDEX(Principal!$AO$42:$AO$69,MATCH(R$2027&amp;$A13,Principal!$U$42:$U$69,0))&gt;0,INDEX(Principal!$AF$42:$AF$69,MATCH(R$2027&amp;$A13,Principal!$U$42:$U$69,0)),INDEX(PoderesDeCriatura_Adquiridos,MATCH(R$2027&amp;$A13,Principal!$U$42:$U$69,0))))</f>
        <v/>
      </c>
      <c r="S2041" s="236" t="str">
        <f t="shared" ref="S2041" si="390">IF(R2041="","",", "&amp;R2041)</f>
        <v/>
      </c>
      <c r="T2041" s="887" t="str">
        <f>IF(ISNA(INDEX(PoderesDeCriatura_Adquiridos,MATCH(T$2027&amp;$A13,Principal!$U$42:$U$69,0))),"",IF(INDEX(Principal!$AO$42:$AO$69,MATCH(T$2027&amp;$A13,Principal!$U$42:$U$69,0))&gt;0,INDEX(Principal!$AF$42:$AF$69,MATCH(T$2027&amp;$A13,Principal!$U$42:$U$69,0)),INDEX(PoderesDeCriatura_Adquiridos,MATCH(T$2027&amp;$A13,Principal!$U$42:$U$69,0))))</f>
        <v/>
      </c>
      <c r="U2041" s="236" t="str">
        <f t="shared" ref="U2041" si="391">IF(T2041="","",", "&amp;T2041)</f>
        <v/>
      </c>
      <c r="V2041" s="887" t="str">
        <f>IF(ISNA(INDEX(PoderesDeCriatura_Adquiridos,MATCH(V$2027&amp;$A13,Principal!$U$42:$U$69,0))),"",IF(INDEX(Principal!$AO$42:$AO$69,MATCH(V$2027&amp;$A13,Principal!$U$42:$U$69,0))&gt;0,INDEX(Principal!$AF$42:$AF$69,MATCH(V$2027&amp;$A13,Principal!$U$42:$U$69,0)),INDEX(PoderesDeCriatura_Adquiridos,MATCH(V$2027&amp;$A13,Principal!$U$42:$U$69,0))))</f>
        <v/>
      </c>
      <c r="W2041" s="236" t="str">
        <f t="shared" ref="W2041" si="392">IF(V2041="","",", "&amp;V2041)</f>
        <v/>
      </c>
      <c r="X2041" s="887" t="str">
        <f>IF(ISNA(INDEX(PoderesDeCriatura_Adquiridos,MATCH(X$2027&amp;$A13,Principal!$U$42:$U$69,0))),"",IF(INDEX(Principal!$AO$42:$AO$69,MATCH(X$2027&amp;$A13,Principal!$U$42:$U$69,0))&gt;0,INDEX(Principal!$AF$42:$AF$69,MATCH(X$2027&amp;$A13,Principal!$U$42:$U$69,0)),INDEX(PoderesDeCriatura_Adquiridos,MATCH(X$2027&amp;$A13,Principal!$U$42:$U$69,0))))</f>
        <v/>
      </c>
      <c r="Y2041" s="236" t="str">
        <f t="shared" ref="Y2041" si="393">IF(X2041="","",", "&amp;X2041)</f>
        <v/>
      </c>
      <c r="Z2041" s="887" t="str">
        <f>IF(ISNA(INDEX(PoderesDeCriatura_Adquiridos,MATCH(Z$2027&amp;$A13,Principal!$U$42:$U$69,0))),"",IF(INDEX(Principal!$AO$42:$AO$69,MATCH(Z$2027&amp;$A13,Principal!$U$42:$U$69,0))&gt;0,INDEX(Principal!$AF$42:$AF$69,MATCH(Z$2027&amp;$A13,Principal!$U$42:$U$69,0)),INDEX(PoderesDeCriatura_Adquiridos,MATCH(Z$2027&amp;$A13,Principal!$U$42:$U$69,0))))</f>
        <v/>
      </c>
      <c r="AA2041" s="236" t="str">
        <f t="shared" ref="AA2041" si="394">IF(Z2041="","",", "&amp;Z2041)</f>
        <v/>
      </c>
      <c r="AB2041" s="887" t="str">
        <f>IF(ISNA(INDEX(PoderesDeCriatura_Adquiridos,MATCH(AB$2027&amp;$A13,Principal!$U$42:$U$69,0))),"",IF(INDEX(Principal!$AO$42:$AO$69,MATCH(AB$2027&amp;$A13,Principal!$U$42:$U$69,0))&gt;0,INDEX(Principal!$AF$42:$AF$69,MATCH(AB$2027&amp;$A13,Principal!$U$42:$U$69,0)),INDEX(PoderesDeCriatura_Adquiridos,MATCH(AB$2027&amp;$A13,Principal!$U$42:$U$69,0))))</f>
        <v/>
      </c>
      <c r="AC2041" s="236" t="str">
        <f t="shared" ref="AC2041" si="395">IF(AB2041="","",", "&amp;AB2041)</f>
        <v/>
      </c>
      <c r="AD2041" s="887" t="str">
        <f>IF(ISNA(INDEX(PoderesDeCriatura_Adquiridos,MATCH(AD$2027&amp;$A13,Principal!$U$42:$U$69,0))),"",IF(INDEX(Principal!$AO$42:$AO$69,MATCH(AD$2027&amp;$A13,Principal!$U$42:$U$69,0))&gt;0,INDEX(Principal!$AF$42:$AF$69,MATCH(AD$2027&amp;$A13,Principal!$U$42:$U$69,0)),INDEX(PoderesDeCriatura_Adquiridos,MATCH(AD$2027&amp;$A13,Principal!$U$42:$U$69,0))))</f>
        <v/>
      </c>
      <c r="AE2041" s="891" t="str">
        <f t="shared" ref="AE2041" si="396">IF(AD2041="","",", "&amp;AD2041)</f>
        <v/>
      </c>
      <c r="AF2041" s="886" t="str">
        <f>IF(OR(AG2041=0,ISNUMBER(MATCH(AG2041,$AG$2030:$AG2040,0))),"",MAX($AF$2029:AF2040)+1)</f>
        <v/>
      </c>
      <c r="AG2041" s="1365">
        <f>Principal!V53</f>
        <v>0</v>
      </c>
    </row>
    <row r="2042" spans="1:33" ht="12.75" customHeight="1" x14ac:dyDescent="0.2">
      <c r="A2042" s="237">
        <v>2042</v>
      </c>
      <c r="B2042" s="5838"/>
      <c r="C2042" s="914" t="str">
        <f t="shared" si="299"/>
        <v/>
      </c>
      <c r="D2042" s="513" t="str">
        <f t="shared" si="379"/>
        <v/>
      </c>
      <c r="E2042" s="513" t="str">
        <f t="shared" si="380"/>
        <v/>
      </c>
      <c r="F2042" s="880" t="str">
        <f>IF(ISNA(VLOOKUP(MIN($C$2023:$C$2065)+A20-1,$C$2023:$E$2065,3,0)),"",", "&amp;VLOOKUP(MIN($C$2023:$C$2065)+A20-1,$C$2023:$E$2065,3,0))</f>
        <v/>
      </c>
      <c r="G2042" s="5939"/>
      <c r="H2042" s="1429" t="str">
        <f>Combate!AB34</f>
        <v/>
      </c>
      <c r="I2042" s="592"/>
      <c r="J2042" s="870" t="str">
        <f>IF(ISNA(VLOOKUP(A15,Principal!$S$42:$AH$69,10,FALSE)),"",IF(VLOOKUP(A15,Principal!$S$42:$AH$69,10,FALSE)=0,"",INDEX(PoderesDeCriatura_Adquiridos,MATCH(A15,Principal!$S$42:$S$69,0))))</f>
        <v/>
      </c>
      <c r="K2042" s="933" t="str">
        <f t="shared" si="304"/>
        <v/>
      </c>
      <c r="L2042" s="887" t="str">
        <f>IF(ISNA(INDEX(PoderesDeCriatura_Adquiridos,MATCH(L$2027&amp;$A14,Principal!$U$42:$U$69,0))),"",IF(INDEX(Principal!$AO$42:$AO$69,MATCH(L$2027&amp;$A14,Principal!$U$42:$U$69,0))&gt;0,INDEX(Principal!$AF$42:$AF$69,MATCH(L$2027&amp;$A14,Principal!$U$42:$U$69,0)),INDEX(PoderesDeCriatura_Adquiridos,MATCH(L$2027&amp;$A14,Principal!$U$42:$U$69,0))))</f>
        <v/>
      </c>
      <c r="M2042" s="236" t="str">
        <f t="shared" si="305"/>
        <v/>
      </c>
      <c r="N2042" s="887" t="str">
        <f>IF(ISNA(INDEX(PoderesDeCriatura_Adquiridos,MATCH(N$2027&amp;$A14,Principal!$U$42:$U$69,0))),"",IF(INDEX(Principal!$AO$42:$AO$69,MATCH(N$2027&amp;$A14,Principal!$U$42:$U$69,0))&gt;0,INDEX(Principal!$AF$42:$AF$69,MATCH(N$2027&amp;$A14,Principal!$U$42:$U$69,0)),INDEX(PoderesDeCriatura_Adquiridos,MATCH(N$2027&amp;$A14,Principal!$U$42:$U$69,0))))</f>
        <v/>
      </c>
      <c r="O2042" s="236" t="str">
        <f t="shared" si="306"/>
        <v/>
      </c>
      <c r="P2042" s="887" t="str">
        <f>IF(ISNA(INDEX(PoderesDeCriatura_Adquiridos,MATCH(P$2027&amp;$A14,Principal!$U$42:$U$69,0))),"",IF(INDEX(Principal!$AO$42:$AO$69,MATCH(P$2027&amp;$A14,Principal!$U$42:$U$69,0))&gt;0,INDEX(Principal!$AF$42:$AF$69,MATCH(P$2027&amp;$A14,Principal!$U$42:$U$69,0)),INDEX(PoderesDeCriatura_Adquiridos,MATCH(P$2027&amp;$A14,Principal!$U$42:$U$69,0))))</f>
        <v/>
      </c>
      <c r="Q2042" s="236" t="str">
        <f t="shared" ref="Q2042" si="397">IF(P2042="","",", "&amp;P2042)</f>
        <v/>
      </c>
      <c r="R2042" s="887" t="str">
        <f>IF(ISNA(INDEX(PoderesDeCriatura_Adquiridos,MATCH(R$2027&amp;$A14,Principal!$U$42:$U$69,0))),"",IF(INDEX(Principal!$AO$42:$AO$69,MATCH(R$2027&amp;$A14,Principal!$U$42:$U$69,0))&gt;0,INDEX(Principal!$AF$42:$AF$69,MATCH(R$2027&amp;$A14,Principal!$U$42:$U$69,0)),INDEX(PoderesDeCriatura_Adquiridos,MATCH(R$2027&amp;$A14,Principal!$U$42:$U$69,0))))</f>
        <v/>
      </c>
      <c r="S2042" s="236" t="str">
        <f t="shared" ref="S2042" si="398">IF(R2042="","",", "&amp;R2042)</f>
        <v/>
      </c>
      <c r="T2042" s="887" t="str">
        <f>IF(ISNA(INDEX(PoderesDeCriatura_Adquiridos,MATCH(T$2027&amp;$A14,Principal!$U$42:$U$69,0))),"",IF(INDEX(Principal!$AO$42:$AO$69,MATCH(T$2027&amp;$A14,Principal!$U$42:$U$69,0))&gt;0,INDEX(Principal!$AF$42:$AF$69,MATCH(T$2027&amp;$A14,Principal!$U$42:$U$69,0)),INDEX(PoderesDeCriatura_Adquiridos,MATCH(T$2027&amp;$A14,Principal!$U$42:$U$69,0))))</f>
        <v/>
      </c>
      <c r="U2042" s="236" t="str">
        <f t="shared" ref="U2042" si="399">IF(T2042="","",", "&amp;T2042)</f>
        <v/>
      </c>
      <c r="V2042" s="887" t="str">
        <f>IF(ISNA(INDEX(PoderesDeCriatura_Adquiridos,MATCH(V$2027&amp;$A14,Principal!$U$42:$U$69,0))),"",IF(INDEX(Principal!$AO$42:$AO$69,MATCH(V$2027&amp;$A14,Principal!$U$42:$U$69,0))&gt;0,INDEX(Principal!$AF$42:$AF$69,MATCH(V$2027&amp;$A14,Principal!$U$42:$U$69,0)),INDEX(PoderesDeCriatura_Adquiridos,MATCH(V$2027&amp;$A14,Principal!$U$42:$U$69,0))))</f>
        <v/>
      </c>
      <c r="W2042" s="236" t="str">
        <f t="shared" ref="W2042" si="400">IF(V2042="","",", "&amp;V2042)</f>
        <v/>
      </c>
      <c r="X2042" s="887" t="str">
        <f>IF(ISNA(INDEX(PoderesDeCriatura_Adquiridos,MATCH(X$2027&amp;$A14,Principal!$U$42:$U$69,0))),"",IF(INDEX(Principal!$AO$42:$AO$69,MATCH(X$2027&amp;$A14,Principal!$U$42:$U$69,0))&gt;0,INDEX(Principal!$AF$42:$AF$69,MATCH(X$2027&amp;$A14,Principal!$U$42:$U$69,0)),INDEX(PoderesDeCriatura_Adquiridos,MATCH(X$2027&amp;$A14,Principal!$U$42:$U$69,0))))</f>
        <v/>
      </c>
      <c r="Y2042" s="236" t="str">
        <f t="shared" ref="Y2042" si="401">IF(X2042="","",", "&amp;X2042)</f>
        <v/>
      </c>
      <c r="Z2042" s="887" t="str">
        <f>IF(ISNA(INDEX(PoderesDeCriatura_Adquiridos,MATCH(Z$2027&amp;$A14,Principal!$U$42:$U$69,0))),"",IF(INDEX(Principal!$AO$42:$AO$69,MATCH(Z$2027&amp;$A14,Principal!$U$42:$U$69,0))&gt;0,INDEX(Principal!$AF$42:$AF$69,MATCH(Z$2027&amp;$A14,Principal!$U$42:$U$69,0)),INDEX(PoderesDeCriatura_Adquiridos,MATCH(Z$2027&amp;$A14,Principal!$U$42:$U$69,0))))</f>
        <v/>
      </c>
      <c r="AA2042" s="236" t="str">
        <f t="shared" ref="AA2042" si="402">IF(Z2042="","",", "&amp;Z2042)</f>
        <v/>
      </c>
      <c r="AB2042" s="887" t="str">
        <f>IF(ISNA(INDEX(PoderesDeCriatura_Adquiridos,MATCH(AB$2027&amp;$A14,Principal!$U$42:$U$69,0))),"",IF(INDEX(Principal!$AO$42:$AO$69,MATCH(AB$2027&amp;$A14,Principal!$U$42:$U$69,0))&gt;0,INDEX(Principal!$AF$42:$AF$69,MATCH(AB$2027&amp;$A14,Principal!$U$42:$U$69,0)),INDEX(PoderesDeCriatura_Adquiridos,MATCH(AB$2027&amp;$A14,Principal!$U$42:$U$69,0))))</f>
        <v/>
      </c>
      <c r="AC2042" s="236" t="str">
        <f t="shared" ref="AC2042" si="403">IF(AB2042="","",", "&amp;AB2042)</f>
        <v/>
      </c>
      <c r="AD2042" s="887" t="str">
        <f>IF(ISNA(INDEX(PoderesDeCriatura_Adquiridos,MATCH(AD$2027&amp;$A14,Principal!$U$42:$U$69,0))),"",IF(INDEX(Principal!$AO$42:$AO$69,MATCH(AD$2027&amp;$A14,Principal!$U$42:$U$69,0))&gt;0,INDEX(Principal!$AF$42:$AF$69,MATCH(AD$2027&amp;$A14,Principal!$U$42:$U$69,0)),INDEX(PoderesDeCriatura_Adquiridos,MATCH(AD$2027&amp;$A14,Principal!$U$42:$U$69,0))))</f>
        <v/>
      </c>
      <c r="AE2042" s="891" t="str">
        <f t="shared" ref="AE2042" si="404">IF(AD2042="","",", "&amp;AD2042)</f>
        <v/>
      </c>
      <c r="AF2042" s="886" t="str">
        <f>IF(OR(AG2042=0,ISNUMBER(MATCH(AG2042,$AG$2030:$AG2041,0))),"",MAX($AF$2029:AF2041)+1)</f>
        <v/>
      </c>
      <c r="AG2042" s="1365">
        <f>Principal!V54</f>
        <v>0</v>
      </c>
    </row>
    <row r="2043" spans="1:33" ht="12.75" customHeight="1" x14ac:dyDescent="0.2">
      <c r="A2043" s="237">
        <v>2043</v>
      </c>
      <c r="B2043" s="5838"/>
      <c r="C2043" s="914" t="str">
        <f t="shared" si="299"/>
        <v/>
      </c>
      <c r="D2043" s="513" t="str">
        <f t="shared" si="379"/>
        <v/>
      </c>
      <c r="E2043" s="513" t="str">
        <f t="shared" si="380"/>
        <v/>
      </c>
      <c r="F2043" s="880" t="str">
        <f>IF(ISNA(VLOOKUP(MIN($C$2023:$C$2065)+A21-1,$C$2023:$E$2065,3,0)),"",", "&amp;VLOOKUP(MIN($C$2023:$C$2065)+A21-1,$C$2023:$E$2065,3,0))</f>
        <v/>
      </c>
      <c r="G2043" s="5939"/>
      <c r="H2043" s="1429" t="str">
        <f>Combate!AB35</f>
        <v/>
      </c>
      <c r="J2043" s="870" t="str">
        <f>IF(ISNA(VLOOKUP(A16,Principal!$S$42:$AH$69,10,FALSE)),"",IF(VLOOKUP(A16,Principal!$S$42:$AH$69,10,FALSE)=0,"",INDEX(PoderesDeCriatura_Adquiridos,MATCH(A16,Principal!$S$42:$S$69,0))))</f>
        <v/>
      </c>
      <c r="K2043" s="933" t="str">
        <f t="shared" si="304"/>
        <v/>
      </c>
      <c r="L2043" s="887" t="str">
        <f>IF(ISNA(INDEX(PoderesDeCriatura_Adquiridos,MATCH(L$2027&amp;$A15,Principal!$U$42:$U$69,0))),"",IF(INDEX(Principal!$AO$42:$AO$69,MATCH(L$2027&amp;$A15,Principal!$U$42:$U$69,0))&gt;0,INDEX(Principal!$AF$42:$AF$69,MATCH(L$2027&amp;$A15,Principal!$U$42:$U$69,0)),INDEX(PoderesDeCriatura_Adquiridos,MATCH(L$2027&amp;$A15,Principal!$U$42:$U$69,0))))</f>
        <v/>
      </c>
      <c r="M2043" s="236" t="str">
        <f t="shared" si="305"/>
        <v/>
      </c>
      <c r="N2043" s="887" t="str">
        <f>IF(ISNA(INDEX(PoderesDeCriatura_Adquiridos,MATCH(N$2027&amp;$A15,Principal!$U$42:$U$69,0))),"",IF(INDEX(Principal!$AO$42:$AO$69,MATCH(N$2027&amp;$A15,Principal!$U$42:$U$69,0))&gt;0,INDEX(Principal!$AF$42:$AF$69,MATCH(N$2027&amp;$A15,Principal!$U$42:$U$69,0)),INDEX(PoderesDeCriatura_Adquiridos,MATCH(N$2027&amp;$A15,Principal!$U$42:$U$69,0))))</f>
        <v/>
      </c>
      <c r="O2043" s="236" t="str">
        <f t="shared" si="306"/>
        <v/>
      </c>
      <c r="P2043" s="887" t="str">
        <f>IF(ISNA(INDEX(PoderesDeCriatura_Adquiridos,MATCH(P$2027&amp;$A15,Principal!$U$42:$U$69,0))),"",IF(INDEX(Principal!$AO$42:$AO$69,MATCH(P$2027&amp;$A15,Principal!$U$42:$U$69,0))&gt;0,INDEX(Principal!$AF$42:$AF$69,MATCH(P$2027&amp;$A15,Principal!$U$42:$U$69,0)),INDEX(PoderesDeCriatura_Adquiridos,MATCH(P$2027&amp;$A15,Principal!$U$42:$U$69,0))))</f>
        <v/>
      </c>
      <c r="Q2043" s="236" t="str">
        <f t="shared" ref="Q2043" si="405">IF(P2043="","",", "&amp;P2043)</f>
        <v/>
      </c>
      <c r="R2043" s="887" t="str">
        <f>IF(ISNA(INDEX(PoderesDeCriatura_Adquiridos,MATCH(R$2027&amp;$A15,Principal!$U$42:$U$69,0))),"",IF(INDEX(Principal!$AO$42:$AO$69,MATCH(R$2027&amp;$A15,Principal!$U$42:$U$69,0))&gt;0,INDEX(Principal!$AF$42:$AF$69,MATCH(R$2027&amp;$A15,Principal!$U$42:$U$69,0)),INDEX(PoderesDeCriatura_Adquiridos,MATCH(R$2027&amp;$A15,Principal!$U$42:$U$69,0))))</f>
        <v/>
      </c>
      <c r="S2043" s="236" t="str">
        <f t="shared" ref="S2043" si="406">IF(R2043="","",", "&amp;R2043)</f>
        <v/>
      </c>
      <c r="T2043" s="887" t="str">
        <f>IF(ISNA(INDEX(PoderesDeCriatura_Adquiridos,MATCH(T$2027&amp;$A15,Principal!$U$42:$U$69,0))),"",IF(INDEX(Principal!$AO$42:$AO$69,MATCH(T$2027&amp;$A15,Principal!$U$42:$U$69,0))&gt;0,INDEX(Principal!$AF$42:$AF$69,MATCH(T$2027&amp;$A15,Principal!$U$42:$U$69,0)),INDEX(PoderesDeCriatura_Adquiridos,MATCH(T$2027&amp;$A15,Principal!$U$42:$U$69,0))))</f>
        <v/>
      </c>
      <c r="U2043" s="236" t="str">
        <f t="shared" ref="U2043" si="407">IF(T2043="","",", "&amp;T2043)</f>
        <v/>
      </c>
      <c r="V2043" s="887" t="str">
        <f>IF(ISNA(INDEX(PoderesDeCriatura_Adquiridos,MATCH(V$2027&amp;$A15,Principal!$U$42:$U$69,0))),"",IF(INDEX(Principal!$AO$42:$AO$69,MATCH(V$2027&amp;$A15,Principal!$U$42:$U$69,0))&gt;0,INDEX(Principal!$AF$42:$AF$69,MATCH(V$2027&amp;$A15,Principal!$U$42:$U$69,0)),INDEX(PoderesDeCriatura_Adquiridos,MATCH(V$2027&amp;$A15,Principal!$U$42:$U$69,0))))</f>
        <v/>
      </c>
      <c r="W2043" s="236" t="str">
        <f t="shared" ref="W2043" si="408">IF(V2043="","",", "&amp;V2043)</f>
        <v/>
      </c>
      <c r="X2043" s="887" t="str">
        <f>IF(ISNA(INDEX(PoderesDeCriatura_Adquiridos,MATCH(X$2027&amp;$A15,Principal!$U$42:$U$69,0))),"",IF(INDEX(Principal!$AO$42:$AO$69,MATCH(X$2027&amp;$A15,Principal!$U$42:$U$69,0))&gt;0,INDEX(Principal!$AF$42:$AF$69,MATCH(X$2027&amp;$A15,Principal!$U$42:$U$69,0)),INDEX(PoderesDeCriatura_Adquiridos,MATCH(X$2027&amp;$A15,Principal!$U$42:$U$69,0))))</f>
        <v/>
      </c>
      <c r="Y2043" s="236" t="str">
        <f t="shared" ref="Y2043" si="409">IF(X2043="","",", "&amp;X2043)</f>
        <v/>
      </c>
      <c r="Z2043" s="887" t="str">
        <f>IF(ISNA(INDEX(PoderesDeCriatura_Adquiridos,MATCH(Z$2027&amp;$A15,Principal!$U$42:$U$69,0))),"",IF(INDEX(Principal!$AO$42:$AO$69,MATCH(Z$2027&amp;$A15,Principal!$U$42:$U$69,0))&gt;0,INDEX(Principal!$AF$42:$AF$69,MATCH(Z$2027&amp;$A15,Principal!$U$42:$U$69,0)),INDEX(PoderesDeCriatura_Adquiridos,MATCH(Z$2027&amp;$A15,Principal!$U$42:$U$69,0))))</f>
        <v/>
      </c>
      <c r="AA2043" s="236" t="str">
        <f t="shared" ref="AA2043" si="410">IF(Z2043="","",", "&amp;Z2043)</f>
        <v/>
      </c>
      <c r="AB2043" s="887" t="str">
        <f>IF(ISNA(INDEX(PoderesDeCriatura_Adquiridos,MATCH(AB$2027&amp;$A15,Principal!$U$42:$U$69,0))),"",IF(INDEX(Principal!$AO$42:$AO$69,MATCH(AB$2027&amp;$A15,Principal!$U$42:$U$69,0))&gt;0,INDEX(Principal!$AF$42:$AF$69,MATCH(AB$2027&amp;$A15,Principal!$U$42:$U$69,0)),INDEX(PoderesDeCriatura_Adquiridos,MATCH(AB$2027&amp;$A15,Principal!$U$42:$U$69,0))))</f>
        <v/>
      </c>
      <c r="AC2043" s="236" t="str">
        <f t="shared" ref="AC2043" si="411">IF(AB2043="","",", "&amp;AB2043)</f>
        <v/>
      </c>
      <c r="AD2043" s="887" t="str">
        <f>IF(ISNA(INDEX(PoderesDeCriatura_Adquiridos,MATCH(AD$2027&amp;$A15,Principal!$U$42:$U$69,0))),"",IF(INDEX(Principal!$AO$42:$AO$69,MATCH(AD$2027&amp;$A15,Principal!$U$42:$U$69,0))&gt;0,INDEX(Principal!$AF$42:$AF$69,MATCH(AD$2027&amp;$A15,Principal!$U$42:$U$69,0)),INDEX(PoderesDeCriatura_Adquiridos,MATCH(AD$2027&amp;$A15,Principal!$U$42:$U$69,0))))</f>
        <v/>
      </c>
      <c r="AE2043" s="891" t="str">
        <f t="shared" ref="AE2043" si="412">IF(AD2043="","",", "&amp;AD2043)</f>
        <v/>
      </c>
      <c r="AF2043" s="886" t="str">
        <f>IF(OR(AG2043=0,ISNUMBER(MATCH(AG2043,$AG$2030:$AG2042,0))),"",MAX($AF$2029:AF2042)+1)</f>
        <v/>
      </c>
      <c r="AG2043" s="1365">
        <f>Principal!V55</f>
        <v>0</v>
      </c>
    </row>
    <row r="2044" spans="1:33" ht="12.75" customHeight="1" x14ac:dyDescent="0.2">
      <c r="A2044" s="237">
        <v>2044</v>
      </c>
      <c r="B2044" s="5838"/>
      <c r="C2044" s="914" t="str">
        <f t="shared" si="299"/>
        <v/>
      </c>
      <c r="D2044" s="513" t="str">
        <f t="shared" si="379"/>
        <v/>
      </c>
      <c r="E2044" s="513" t="str">
        <f t="shared" si="380"/>
        <v/>
      </c>
      <c r="F2044" s="880" t="str">
        <f>IF(ISNA(VLOOKUP(MIN($C$2023:$C$2065)+A22-1,$C$2023:$E$2065,3,0)),"",", "&amp;VLOOKUP(MIN($C$2023:$C$2065)+A22-1,$C$2023:$E$2065,3,0))</f>
        <v/>
      </c>
      <c r="G2044" s="5939"/>
      <c r="H2044" s="1429" t="str">
        <f>Combate!AB36</f>
        <v/>
      </c>
      <c r="J2044" s="870" t="str">
        <f>IF(ISNA(VLOOKUP(A17,Principal!$S$42:$AH$69,10,FALSE)),"",IF(VLOOKUP(A17,Principal!$S$42:$AH$69,10,FALSE)=0,"",INDEX(PoderesDeCriatura_Adquiridos,MATCH(A17,Principal!$S$42:$S$69,0))))</f>
        <v/>
      </c>
      <c r="K2044" s="933" t="str">
        <f t="shared" si="304"/>
        <v/>
      </c>
      <c r="L2044" s="887" t="str">
        <f>IF(ISNA(INDEX(PoderesDeCriatura_Adquiridos,MATCH(L$2027&amp;$A16,Principal!$U$42:$U$69,0))),"",IF(INDEX(Principal!$AO$42:$AO$69,MATCH(L$2027&amp;$A16,Principal!$U$42:$U$69,0))&gt;0,INDEX(Principal!$AF$42:$AF$69,MATCH(L$2027&amp;$A16,Principal!$U$42:$U$69,0)),INDEX(PoderesDeCriatura_Adquiridos,MATCH(L$2027&amp;$A16,Principal!$U$42:$U$69,0))))</f>
        <v/>
      </c>
      <c r="M2044" s="236" t="str">
        <f t="shared" si="305"/>
        <v/>
      </c>
      <c r="N2044" s="887" t="str">
        <f>IF(ISNA(INDEX(PoderesDeCriatura_Adquiridos,MATCH(N$2027&amp;$A16,Principal!$U$42:$U$69,0))),"",IF(INDEX(Principal!$AO$42:$AO$69,MATCH(N$2027&amp;$A16,Principal!$U$42:$U$69,0))&gt;0,INDEX(Principal!$AF$42:$AF$69,MATCH(N$2027&amp;$A16,Principal!$U$42:$U$69,0)),INDEX(PoderesDeCriatura_Adquiridos,MATCH(N$2027&amp;$A16,Principal!$U$42:$U$69,0))))</f>
        <v/>
      </c>
      <c r="O2044" s="236" t="str">
        <f t="shared" si="306"/>
        <v/>
      </c>
      <c r="P2044" s="887" t="str">
        <f>IF(ISNA(INDEX(PoderesDeCriatura_Adquiridos,MATCH(P$2027&amp;$A16,Principal!$U$42:$U$69,0))),"",IF(INDEX(Principal!$AO$42:$AO$69,MATCH(P$2027&amp;$A16,Principal!$U$42:$U$69,0))&gt;0,INDEX(Principal!$AF$42:$AF$69,MATCH(P$2027&amp;$A16,Principal!$U$42:$U$69,0)),INDEX(PoderesDeCriatura_Adquiridos,MATCH(P$2027&amp;$A16,Principal!$U$42:$U$69,0))))</f>
        <v/>
      </c>
      <c r="Q2044" s="236" t="str">
        <f t="shared" ref="Q2044" si="413">IF(P2044="","",", "&amp;P2044)</f>
        <v/>
      </c>
      <c r="R2044" s="887" t="str">
        <f>IF(ISNA(INDEX(PoderesDeCriatura_Adquiridos,MATCH(R$2027&amp;$A16,Principal!$U$42:$U$69,0))),"",IF(INDEX(Principal!$AO$42:$AO$69,MATCH(R$2027&amp;$A16,Principal!$U$42:$U$69,0))&gt;0,INDEX(Principal!$AF$42:$AF$69,MATCH(R$2027&amp;$A16,Principal!$U$42:$U$69,0)),INDEX(PoderesDeCriatura_Adquiridos,MATCH(R$2027&amp;$A16,Principal!$U$42:$U$69,0))))</f>
        <v/>
      </c>
      <c r="S2044" s="236" t="str">
        <f t="shared" ref="S2044" si="414">IF(R2044="","",", "&amp;R2044)</f>
        <v/>
      </c>
      <c r="T2044" s="887" t="str">
        <f>IF(ISNA(INDEX(PoderesDeCriatura_Adquiridos,MATCH(T$2027&amp;$A16,Principal!$U$42:$U$69,0))),"",IF(INDEX(Principal!$AO$42:$AO$69,MATCH(T$2027&amp;$A16,Principal!$U$42:$U$69,0))&gt;0,INDEX(Principal!$AF$42:$AF$69,MATCH(T$2027&amp;$A16,Principal!$U$42:$U$69,0)),INDEX(PoderesDeCriatura_Adquiridos,MATCH(T$2027&amp;$A16,Principal!$U$42:$U$69,0))))</f>
        <v/>
      </c>
      <c r="U2044" s="236" t="str">
        <f t="shared" ref="U2044" si="415">IF(T2044="","",", "&amp;T2044)</f>
        <v/>
      </c>
      <c r="V2044" s="887" t="str">
        <f>IF(ISNA(INDEX(PoderesDeCriatura_Adquiridos,MATCH(V$2027&amp;$A16,Principal!$U$42:$U$69,0))),"",IF(INDEX(Principal!$AO$42:$AO$69,MATCH(V$2027&amp;$A16,Principal!$U$42:$U$69,0))&gt;0,INDEX(Principal!$AF$42:$AF$69,MATCH(V$2027&amp;$A16,Principal!$U$42:$U$69,0)),INDEX(PoderesDeCriatura_Adquiridos,MATCH(V$2027&amp;$A16,Principal!$U$42:$U$69,0))))</f>
        <v/>
      </c>
      <c r="W2044" s="236" t="str">
        <f t="shared" ref="W2044" si="416">IF(V2044="","",", "&amp;V2044)</f>
        <v/>
      </c>
      <c r="X2044" s="887" t="str">
        <f>IF(ISNA(INDEX(PoderesDeCriatura_Adquiridos,MATCH(X$2027&amp;$A16,Principal!$U$42:$U$69,0))),"",IF(INDEX(Principal!$AO$42:$AO$69,MATCH(X$2027&amp;$A16,Principal!$U$42:$U$69,0))&gt;0,INDEX(Principal!$AF$42:$AF$69,MATCH(X$2027&amp;$A16,Principal!$U$42:$U$69,0)),INDEX(PoderesDeCriatura_Adquiridos,MATCH(X$2027&amp;$A16,Principal!$U$42:$U$69,0))))</f>
        <v/>
      </c>
      <c r="Y2044" s="236" t="str">
        <f t="shared" ref="Y2044" si="417">IF(X2044="","",", "&amp;X2044)</f>
        <v/>
      </c>
      <c r="Z2044" s="887" t="str">
        <f>IF(ISNA(INDEX(PoderesDeCriatura_Adquiridos,MATCH(Z$2027&amp;$A16,Principal!$U$42:$U$69,0))),"",IF(INDEX(Principal!$AO$42:$AO$69,MATCH(Z$2027&amp;$A16,Principal!$U$42:$U$69,0))&gt;0,INDEX(Principal!$AF$42:$AF$69,MATCH(Z$2027&amp;$A16,Principal!$U$42:$U$69,0)),INDEX(PoderesDeCriatura_Adquiridos,MATCH(Z$2027&amp;$A16,Principal!$U$42:$U$69,0))))</f>
        <v/>
      </c>
      <c r="AA2044" s="236" t="str">
        <f t="shared" ref="AA2044" si="418">IF(Z2044="","",", "&amp;Z2044)</f>
        <v/>
      </c>
      <c r="AB2044" s="887" t="str">
        <f>IF(ISNA(INDEX(PoderesDeCriatura_Adquiridos,MATCH(AB$2027&amp;$A16,Principal!$U$42:$U$69,0))),"",IF(INDEX(Principal!$AO$42:$AO$69,MATCH(AB$2027&amp;$A16,Principal!$U$42:$U$69,0))&gt;0,INDEX(Principal!$AF$42:$AF$69,MATCH(AB$2027&amp;$A16,Principal!$U$42:$U$69,0)),INDEX(PoderesDeCriatura_Adquiridos,MATCH(AB$2027&amp;$A16,Principal!$U$42:$U$69,0))))</f>
        <v/>
      </c>
      <c r="AC2044" s="236" t="str">
        <f t="shared" ref="AC2044" si="419">IF(AB2044="","",", "&amp;AB2044)</f>
        <v/>
      </c>
      <c r="AD2044" s="887" t="str">
        <f>IF(ISNA(INDEX(PoderesDeCriatura_Adquiridos,MATCH(AD$2027&amp;$A16,Principal!$U$42:$U$69,0))),"",IF(INDEX(Principal!$AO$42:$AO$69,MATCH(AD$2027&amp;$A16,Principal!$U$42:$U$69,0))&gt;0,INDEX(Principal!$AF$42:$AF$69,MATCH(AD$2027&amp;$A16,Principal!$U$42:$U$69,0)),INDEX(PoderesDeCriatura_Adquiridos,MATCH(AD$2027&amp;$A16,Principal!$U$42:$U$69,0))))</f>
        <v/>
      </c>
      <c r="AE2044" s="891" t="str">
        <f t="shared" ref="AE2044" si="420">IF(AD2044="","",", "&amp;AD2044)</f>
        <v/>
      </c>
      <c r="AF2044" s="886" t="str">
        <f>IF(OR(AG2044=0,ISNUMBER(MATCH(AG2044,$AG$2030:$AG2043,0))),"",MAX($AF$2029:AF2043)+1)</f>
        <v/>
      </c>
      <c r="AG2044" s="1365">
        <f>Principal!V56</f>
        <v>0</v>
      </c>
    </row>
    <row r="2045" spans="1:33" ht="12.75" customHeight="1" x14ac:dyDescent="0.2">
      <c r="A2045" s="237">
        <v>2045</v>
      </c>
      <c r="B2045" s="5838"/>
      <c r="C2045" s="914" t="str">
        <f t="shared" si="299"/>
        <v/>
      </c>
      <c r="D2045" s="513" t="str">
        <f t="shared" si="379"/>
        <v/>
      </c>
      <c r="E2045" s="513" t="str">
        <f t="shared" si="380"/>
        <v/>
      </c>
      <c r="F2045" s="880" t="str">
        <f>IF(ISNA(VLOOKUP(MIN($C$2023:$C$2065)+A23-1,$C$2023:$E$2065,3,0)),"",", "&amp;VLOOKUP(MIN($C$2023:$C$2065)+A23-1,$C$2023:$E$2065,3,0))</f>
        <v/>
      </c>
      <c r="G2045" s="5939"/>
      <c r="H2045" s="1429" t="str">
        <f>Combate!AB37</f>
        <v/>
      </c>
      <c r="J2045" s="870" t="str">
        <f>IF(ISNA(VLOOKUP(A18,Principal!$S$42:$AH$69,10,FALSE)),"",IF(VLOOKUP(A18,Principal!$S$42:$AH$69,10,FALSE)=0,"",INDEX(PoderesDeCriatura_Adquiridos,MATCH(A18,Principal!$S$42:$S$69,0))))</f>
        <v/>
      </c>
      <c r="K2045" s="933" t="str">
        <f t="shared" si="304"/>
        <v/>
      </c>
      <c r="L2045" s="887" t="str">
        <f>IF(ISNA(INDEX(PoderesDeCriatura_Adquiridos,MATCH(L$2027&amp;$A17,Principal!$U$42:$U$69,0))),"",IF(INDEX(Principal!$AO$42:$AO$69,MATCH(L$2027&amp;$A17,Principal!$U$42:$U$69,0))&gt;0,INDEX(Principal!$AF$42:$AF$69,MATCH(L$2027&amp;$A17,Principal!$U$42:$U$69,0)),INDEX(PoderesDeCriatura_Adquiridos,MATCH(L$2027&amp;$A17,Principal!$U$42:$U$69,0))))</f>
        <v/>
      </c>
      <c r="M2045" s="236" t="str">
        <f t="shared" si="305"/>
        <v/>
      </c>
      <c r="N2045" s="887" t="str">
        <f>IF(ISNA(INDEX(PoderesDeCriatura_Adquiridos,MATCH(N$2027&amp;$A17,Principal!$U$42:$U$69,0))),"",IF(INDEX(Principal!$AO$42:$AO$69,MATCH(N$2027&amp;$A17,Principal!$U$42:$U$69,0))&gt;0,INDEX(Principal!$AF$42:$AF$69,MATCH(N$2027&amp;$A17,Principal!$U$42:$U$69,0)),INDEX(PoderesDeCriatura_Adquiridos,MATCH(N$2027&amp;$A17,Principal!$U$42:$U$69,0))))</f>
        <v/>
      </c>
      <c r="O2045" s="236" t="str">
        <f t="shared" si="306"/>
        <v/>
      </c>
      <c r="P2045" s="887" t="str">
        <f>IF(ISNA(INDEX(PoderesDeCriatura_Adquiridos,MATCH(P$2027&amp;$A17,Principal!$U$42:$U$69,0))),"",IF(INDEX(Principal!$AO$42:$AO$69,MATCH(P$2027&amp;$A17,Principal!$U$42:$U$69,0))&gt;0,INDEX(Principal!$AF$42:$AF$69,MATCH(P$2027&amp;$A17,Principal!$U$42:$U$69,0)),INDEX(PoderesDeCriatura_Adquiridos,MATCH(P$2027&amp;$A17,Principal!$U$42:$U$69,0))))</f>
        <v/>
      </c>
      <c r="Q2045" s="236" t="str">
        <f t="shared" ref="Q2045" si="421">IF(P2045="","",", "&amp;P2045)</f>
        <v/>
      </c>
      <c r="R2045" s="887" t="str">
        <f>IF(ISNA(INDEX(PoderesDeCriatura_Adquiridos,MATCH(R$2027&amp;$A17,Principal!$U$42:$U$69,0))),"",IF(INDEX(Principal!$AO$42:$AO$69,MATCH(R$2027&amp;$A17,Principal!$U$42:$U$69,0))&gt;0,INDEX(Principal!$AF$42:$AF$69,MATCH(R$2027&amp;$A17,Principal!$U$42:$U$69,0)),INDEX(PoderesDeCriatura_Adquiridos,MATCH(R$2027&amp;$A17,Principal!$U$42:$U$69,0))))</f>
        <v/>
      </c>
      <c r="S2045" s="236" t="str">
        <f t="shared" ref="S2045" si="422">IF(R2045="","",", "&amp;R2045)</f>
        <v/>
      </c>
      <c r="T2045" s="887" t="str">
        <f>IF(ISNA(INDEX(PoderesDeCriatura_Adquiridos,MATCH(T$2027&amp;$A17,Principal!$U$42:$U$69,0))),"",IF(INDEX(Principal!$AO$42:$AO$69,MATCH(T$2027&amp;$A17,Principal!$U$42:$U$69,0))&gt;0,INDEX(Principal!$AF$42:$AF$69,MATCH(T$2027&amp;$A17,Principal!$U$42:$U$69,0)),INDEX(PoderesDeCriatura_Adquiridos,MATCH(T$2027&amp;$A17,Principal!$U$42:$U$69,0))))</f>
        <v/>
      </c>
      <c r="U2045" s="236" t="str">
        <f t="shared" ref="U2045" si="423">IF(T2045="","",", "&amp;T2045)</f>
        <v/>
      </c>
      <c r="V2045" s="887" t="str">
        <f>IF(ISNA(INDEX(PoderesDeCriatura_Adquiridos,MATCH(V$2027&amp;$A17,Principal!$U$42:$U$69,0))),"",IF(INDEX(Principal!$AO$42:$AO$69,MATCH(V$2027&amp;$A17,Principal!$U$42:$U$69,0))&gt;0,INDEX(Principal!$AF$42:$AF$69,MATCH(V$2027&amp;$A17,Principal!$U$42:$U$69,0)),INDEX(PoderesDeCriatura_Adquiridos,MATCH(V$2027&amp;$A17,Principal!$U$42:$U$69,0))))</f>
        <v/>
      </c>
      <c r="W2045" s="236" t="str">
        <f t="shared" ref="W2045" si="424">IF(V2045="","",", "&amp;V2045)</f>
        <v/>
      </c>
      <c r="X2045" s="887" t="str">
        <f>IF(ISNA(INDEX(PoderesDeCriatura_Adquiridos,MATCH(X$2027&amp;$A17,Principal!$U$42:$U$69,0))),"",IF(INDEX(Principal!$AO$42:$AO$69,MATCH(X$2027&amp;$A17,Principal!$U$42:$U$69,0))&gt;0,INDEX(Principal!$AF$42:$AF$69,MATCH(X$2027&amp;$A17,Principal!$U$42:$U$69,0)),INDEX(PoderesDeCriatura_Adquiridos,MATCH(X$2027&amp;$A17,Principal!$U$42:$U$69,0))))</f>
        <v/>
      </c>
      <c r="Y2045" s="236" t="str">
        <f t="shared" ref="Y2045" si="425">IF(X2045="","",", "&amp;X2045)</f>
        <v/>
      </c>
      <c r="Z2045" s="887" t="str">
        <f>IF(ISNA(INDEX(PoderesDeCriatura_Adquiridos,MATCH(Z$2027&amp;$A17,Principal!$U$42:$U$69,0))),"",IF(INDEX(Principal!$AO$42:$AO$69,MATCH(Z$2027&amp;$A17,Principal!$U$42:$U$69,0))&gt;0,INDEX(Principal!$AF$42:$AF$69,MATCH(Z$2027&amp;$A17,Principal!$U$42:$U$69,0)),INDEX(PoderesDeCriatura_Adquiridos,MATCH(Z$2027&amp;$A17,Principal!$U$42:$U$69,0))))</f>
        <v/>
      </c>
      <c r="AA2045" s="236" t="str">
        <f t="shared" ref="AA2045" si="426">IF(Z2045="","",", "&amp;Z2045)</f>
        <v/>
      </c>
      <c r="AB2045" s="887" t="str">
        <f>IF(ISNA(INDEX(PoderesDeCriatura_Adquiridos,MATCH(AB$2027&amp;$A17,Principal!$U$42:$U$69,0))),"",IF(INDEX(Principal!$AO$42:$AO$69,MATCH(AB$2027&amp;$A17,Principal!$U$42:$U$69,0))&gt;0,INDEX(Principal!$AF$42:$AF$69,MATCH(AB$2027&amp;$A17,Principal!$U$42:$U$69,0)),INDEX(PoderesDeCriatura_Adquiridos,MATCH(AB$2027&amp;$A17,Principal!$U$42:$U$69,0))))</f>
        <v/>
      </c>
      <c r="AC2045" s="236" t="str">
        <f t="shared" ref="AC2045" si="427">IF(AB2045="","",", "&amp;AB2045)</f>
        <v/>
      </c>
      <c r="AD2045" s="887" t="str">
        <f>IF(ISNA(INDEX(PoderesDeCriatura_Adquiridos,MATCH(AD$2027&amp;$A17,Principal!$U$42:$U$69,0))),"",IF(INDEX(Principal!$AO$42:$AO$69,MATCH(AD$2027&amp;$A17,Principal!$U$42:$U$69,0))&gt;0,INDEX(Principal!$AF$42:$AF$69,MATCH(AD$2027&amp;$A17,Principal!$U$42:$U$69,0)),INDEX(PoderesDeCriatura_Adquiridos,MATCH(AD$2027&amp;$A17,Principal!$U$42:$U$69,0))))</f>
        <v/>
      </c>
      <c r="AE2045" s="891" t="str">
        <f t="shared" ref="AE2045" si="428">IF(AD2045="","",", "&amp;AD2045)</f>
        <v/>
      </c>
      <c r="AF2045" s="886" t="str">
        <f>IF(OR(AG2045=0,ISNUMBER(MATCH(AG2045,$AG$2030:$AG2044,0))),"",MAX($AF$2029:AF2044)+1)</f>
        <v/>
      </c>
      <c r="AG2045" s="1365">
        <f>Principal!V57</f>
        <v>0</v>
      </c>
    </row>
    <row r="2046" spans="1:33" ht="12.75" customHeight="1" x14ac:dyDescent="0.2">
      <c r="A2046" s="237">
        <v>2046</v>
      </c>
      <c r="B2046" s="5838"/>
      <c r="C2046" s="914" t="str">
        <f t="shared" si="299"/>
        <v/>
      </c>
      <c r="D2046" s="513" t="str">
        <f t="shared" si="379"/>
        <v/>
      </c>
      <c r="E2046" s="513" t="str">
        <f t="shared" si="380"/>
        <v/>
      </c>
      <c r="F2046" s="880" t="str">
        <f>IF(ISNA(VLOOKUP(MIN($C$2023:$C$2065)+A24-1,$C$2023:$E$2065,3,0)),"",", "&amp;VLOOKUP(MIN($C$2023:$C$2065)+A24-1,$C$2023:$E$2065,3,0))</f>
        <v/>
      </c>
      <c r="G2046" s="5939"/>
      <c r="H2046" s="1429" t="str">
        <f>Combate!AB38</f>
        <v/>
      </c>
      <c r="J2046" s="870" t="str">
        <f>IF(ISNA(VLOOKUP(A19,Principal!$S$42:$AH$69,10,FALSE)),"",IF(VLOOKUP(A19,Principal!$S$42:$AH$69,10,FALSE)=0,"",INDEX(PoderesDeCriatura_Adquiridos,MATCH(A19,Principal!$S$42:$S$69,0))))</f>
        <v/>
      </c>
      <c r="K2046" s="933" t="str">
        <f t="shared" si="304"/>
        <v/>
      </c>
      <c r="L2046" s="887" t="str">
        <f>IF(ISNA(INDEX(PoderesDeCriatura_Adquiridos,MATCH(L$2027&amp;$A18,Principal!$U$42:$U$69,0))),"",IF(INDEX(Principal!$AO$42:$AO$69,MATCH(L$2027&amp;$A18,Principal!$U$42:$U$69,0))&gt;0,INDEX(Principal!$AF$42:$AF$69,MATCH(L$2027&amp;$A18,Principal!$U$42:$U$69,0)),INDEX(PoderesDeCriatura_Adquiridos,MATCH(L$2027&amp;$A18,Principal!$U$42:$U$69,0))))</f>
        <v/>
      </c>
      <c r="M2046" s="236" t="str">
        <f t="shared" si="305"/>
        <v/>
      </c>
      <c r="N2046" s="887" t="str">
        <f>IF(ISNA(INDEX(PoderesDeCriatura_Adquiridos,MATCH(N$2027&amp;$A18,Principal!$U$42:$U$69,0))),"",IF(INDEX(Principal!$AO$42:$AO$69,MATCH(N$2027&amp;$A18,Principal!$U$42:$U$69,0))&gt;0,INDEX(Principal!$AF$42:$AF$69,MATCH(N$2027&amp;$A18,Principal!$U$42:$U$69,0)),INDEX(PoderesDeCriatura_Adquiridos,MATCH(N$2027&amp;$A18,Principal!$U$42:$U$69,0))))</f>
        <v/>
      </c>
      <c r="O2046" s="236" t="str">
        <f t="shared" si="306"/>
        <v/>
      </c>
      <c r="P2046" s="887" t="str">
        <f>IF(ISNA(INDEX(PoderesDeCriatura_Adquiridos,MATCH(P$2027&amp;$A18,Principal!$U$42:$U$69,0))),"",IF(INDEX(Principal!$AO$42:$AO$69,MATCH(P$2027&amp;$A18,Principal!$U$42:$U$69,0))&gt;0,INDEX(Principal!$AF$42:$AF$69,MATCH(P$2027&amp;$A18,Principal!$U$42:$U$69,0)),INDEX(PoderesDeCriatura_Adquiridos,MATCH(P$2027&amp;$A18,Principal!$U$42:$U$69,0))))</f>
        <v/>
      </c>
      <c r="Q2046" s="236" t="str">
        <f t="shared" ref="Q2046" si="429">IF(P2046="","",", "&amp;P2046)</f>
        <v/>
      </c>
      <c r="R2046" s="887" t="str">
        <f>IF(ISNA(INDEX(PoderesDeCriatura_Adquiridos,MATCH(R$2027&amp;$A18,Principal!$U$42:$U$69,0))),"",IF(INDEX(Principal!$AO$42:$AO$69,MATCH(R$2027&amp;$A18,Principal!$U$42:$U$69,0))&gt;0,INDEX(Principal!$AF$42:$AF$69,MATCH(R$2027&amp;$A18,Principal!$U$42:$U$69,0)),INDEX(PoderesDeCriatura_Adquiridos,MATCH(R$2027&amp;$A18,Principal!$U$42:$U$69,0))))</f>
        <v/>
      </c>
      <c r="S2046" s="236" t="str">
        <f t="shared" ref="S2046" si="430">IF(R2046="","",", "&amp;R2046)</f>
        <v/>
      </c>
      <c r="T2046" s="887" t="str">
        <f>IF(ISNA(INDEX(PoderesDeCriatura_Adquiridos,MATCH(T$2027&amp;$A18,Principal!$U$42:$U$69,0))),"",IF(INDEX(Principal!$AO$42:$AO$69,MATCH(T$2027&amp;$A18,Principal!$U$42:$U$69,0))&gt;0,INDEX(Principal!$AF$42:$AF$69,MATCH(T$2027&amp;$A18,Principal!$U$42:$U$69,0)),INDEX(PoderesDeCriatura_Adquiridos,MATCH(T$2027&amp;$A18,Principal!$U$42:$U$69,0))))</f>
        <v/>
      </c>
      <c r="U2046" s="236" t="str">
        <f t="shared" ref="U2046" si="431">IF(T2046="","",", "&amp;T2046)</f>
        <v/>
      </c>
      <c r="V2046" s="887" t="str">
        <f>IF(ISNA(INDEX(PoderesDeCriatura_Adquiridos,MATCH(V$2027&amp;$A18,Principal!$U$42:$U$69,0))),"",IF(INDEX(Principal!$AO$42:$AO$69,MATCH(V$2027&amp;$A18,Principal!$U$42:$U$69,0))&gt;0,INDEX(Principal!$AF$42:$AF$69,MATCH(V$2027&amp;$A18,Principal!$U$42:$U$69,0)),INDEX(PoderesDeCriatura_Adquiridos,MATCH(V$2027&amp;$A18,Principal!$U$42:$U$69,0))))</f>
        <v/>
      </c>
      <c r="W2046" s="236" t="str">
        <f t="shared" ref="W2046" si="432">IF(V2046="","",", "&amp;V2046)</f>
        <v/>
      </c>
      <c r="X2046" s="887" t="str">
        <f>IF(ISNA(INDEX(PoderesDeCriatura_Adquiridos,MATCH(X$2027&amp;$A18,Principal!$U$42:$U$69,0))),"",IF(INDEX(Principal!$AO$42:$AO$69,MATCH(X$2027&amp;$A18,Principal!$U$42:$U$69,0))&gt;0,INDEX(Principal!$AF$42:$AF$69,MATCH(X$2027&amp;$A18,Principal!$U$42:$U$69,0)),INDEX(PoderesDeCriatura_Adquiridos,MATCH(X$2027&amp;$A18,Principal!$U$42:$U$69,0))))</f>
        <v/>
      </c>
      <c r="Y2046" s="236" t="str">
        <f t="shared" ref="Y2046" si="433">IF(X2046="","",", "&amp;X2046)</f>
        <v/>
      </c>
      <c r="Z2046" s="887" t="str">
        <f>IF(ISNA(INDEX(PoderesDeCriatura_Adquiridos,MATCH(Z$2027&amp;$A18,Principal!$U$42:$U$69,0))),"",IF(INDEX(Principal!$AO$42:$AO$69,MATCH(Z$2027&amp;$A18,Principal!$U$42:$U$69,0))&gt;0,INDEX(Principal!$AF$42:$AF$69,MATCH(Z$2027&amp;$A18,Principal!$U$42:$U$69,0)),INDEX(PoderesDeCriatura_Adquiridos,MATCH(Z$2027&amp;$A18,Principal!$U$42:$U$69,0))))</f>
        <v/>
      </c>
      <c r="AA2046" s="236" t="str">
        <f t="shared" ref="AA2046" si="434">IF(Z2046="","",", "&amp;Z2046)</f>
        <v/>
      </c>
      <c r="AB2046" s="887" t="str">
        <f>IF(ISNA(INDEX(PoderesDeCriatura_Adquiridos,MATCH(AB$2027&amp;$A18,Principal!$U$42:$U$69,0))),"",IF(INDEX(Principal!$AO$42:$AO$69,MATCH(AB$2027&amp;$A18,Principal!$U$42:$U$69,0))&gt;0,INDEX(Principal!$AF$42:$AF$69,MATCH(AB$2027&amp;$A18,Principal!$U$42:$U$69,0)),INDEX(PoderesDeCriatura_Adquiridos,MATCH(AB$2027&amp;$A18,Principal!$U$42:$U$69,0))))</f>
        <v/>
      </c>
      <c r="AC2046" s="236" t="str">
        <f t="shared" ref="AC2046" si="435">IF(AB2046="","",", "&amp;AB2046)</f>
        <v/>
      </c>
      <c r="AD2046" s="887" t="str">
        <f>IF(ISNA(INDEX(PoderesDeCriatura_Adquiridos,MATCH(AD$2027&amp;$A18,Principal!$U$42:$U$69,0))),"",IF(INDEX(Principal!$AO$42:$AO$69,MATCH(AD$2027&amp;$A18,Principal!$U$42:$U$69,0))&gt;0,INDEX(Principal!$AF$42:$AF$69,MATCH(AD$2027&amp;$A18,Principal!$U$42:$U$69,0)),INDEX(PoderesDeCriatura_Adquiridos,MATCH(AD$2027&amp;$A18,Principal!$U$42:$U$69,0))))</f>
        <v/>
      </c>
      <c r="AE2046" s="891" t="str">
        <f t="shared" ref="AE2046" si="436">IF(AD2046="","",", "&amp;AD2046)</f>
        <v/>
      </c>
      <c r="AF2046" s="886" t="str">
        <f>IF(OR(AG2046=0,ISNUMBER(MATCH(AG2046,$AG$2030:$AG2045,0))),"",MAX($AF$2029:AF2045)+1)</f>
        <v/>
      </c>
      <c r="AG2046" s="1365">
        <f>Principal!V58</f>
        <v>0</v>
      </c>
    </row>
    <row r="2047" spans="1:33" ht="12.75" customHeight="1" x14ac:dyDescent="0.2">
      <c r="A2047" s="237">
        <v>2047</v>
      </c>
      <c r="B2047" s="5838"/>
      <c r="C2047" s="914" t="str">
        <f t="shared" si="299"/>
        <v/>
      </c>
      <c r="D2047" s="513" t="str">
        <f t="shared" si="379"/>
        <v/>
      </c>
      <c r="E2047" s="513" t="str">
        <f t="shared" si="380"/>
        <v/>
      </c>
      <c r="F2047" s="880" t="str">
        <f>IF(ISNA(VLOOKUP(MIN($C$2023:$C$2065)+A25-1,$C$2023:$E$2065,3,0)),"",", "&amp;VLOOKUP(MIN($C$2023:$C$2065)+A25-1,$C$2023:$E$2065,3,0))</f>
        <v/>
      </c>
      <c r="G2047" s="5939"/>
      <c r="H2047" s="1429" t="str">
        <f>Combate!AB39</f>
        <v/>
      </c>
      <c r="J2047" s="870" t="str">
        <f>IF(ISNA(VLOOKUP(A20,Principal!$S$42:$AH$69,10,FALSE)),"",IF(VLOOKUP(A20,Principal!$S$42:$AH$69,10,FALSE)=0,"",INDEX(PoderesDeCriatura_Adquiridos,MATCH(A20,Principal!$S$42:$S$69,0))))</f>
        <v/>
      </c>
      <c r="K2047" s="933" t="str">
        <f t="shared" si="304"/>
        <v/>
      </c>
      <c r="L2047" s="887" t="str">
        <f>IF(ISNA(INDEX(PoderesDeCriatura_Adquiridos,MATCH(L$2027&amp;$A19,Principal!$U$42:$U$69,0))),"",IF(INDEX(Principal!$AO$42:$AO$69,MATCH(L$2027&amp;$A19,Principal!$U$42:$U$69,0))&gt;0,INDEX(Principal!$AF$42:$AF$69,MATCH(L$2027&amp;$A19,Principal!$U$42:$U$69,0)),INDEX(PoderesDeCriatura_Adquiridos,MATCH(L$2027&amp;$A19,Principal!$U$42:$U$69,0))))</f>
        <v/>
      </c>
      <c r="M2047" s="236" t="str">
        <f t="shared" si="305"/>
        <v/>
      </c>
      <c r="N2047" s="887" t="str">
        <f>IF(ISNA(INDEX(PoderesDeCriatura_Adquiridos,MATCH(N$2027&amp;$A19,Principal!$U$42:$U$69,0))),"",IF(INDEX(Principal!$AO$42:$AO$69,MATCH(N$2027&amp;$A19,Principal!$U$42:$U$69,0))&gt;0,INDEX(Principal!$AF$42:$AF$69,MATCH(N$2027&amp;$A19,Principal!$U$42:$U$69,0)),INDEX(PoderesDeCriatura_Adquiridos,MATCH(N$2027&amp;$A19,Principal!$U$42:$U$69,0))))</f>
        <v/>
      </c>
      <c r="O2047" s="236" t="str">
        <f t="shared" si="306"/>
        <v/>
      </c>
      <c r="P2047" s="887" t="str">
        <f>IF(ISNA(INDEX(PoderesDeCriatura_Adquiridos,MATCH(P$2027&amp;$A19,Principal!$U$42:$U$69,0))),"",IF(INDEX(Principal!$AO$42:$AO$69,MATCH(P$2027&amp;$A19,Principal!$U$42:$U$69,0))&gt;0,INDEX(Principal!$AF$42:$AF$69,MATCH(P$2027&amp;$A19,Principal!$U$42:$U$69,0)),INDEX(PoderesDeCriatura_Adquiridos,MATCH(P$2027&amp;$A19,Principal!$U$42:$U$69,0))))</f>
        <v/>
      </c>
      <c r="Q2047" s="236" t="str">
        <f t="shared" ref="Q2047" si="437">IF(P2047="","",", "&amp;P2047)</f>
        <v/>
      </c>
      <c r="R2047" s="887" t="str">
        <f>IF(ISNA(INDEX(PoderesDeCriatura_Adquiridos,MATCH(R$2027&amp;$A19,Principal!$U$42:$U$69,0))),"",IF(INDEX(Principal!$AO$42:$AO$69,MATCH(R$2027&amp;$A19,Principal!$U$42:$U$69,0))&gt;0,INDEX(Principal!$AF$42:$AF$69,MATCH(R$2027&amp;$A19,Principal!$U$42:$U$69,0)),INDEX(PoderesDeCriatura_Adquiridos,MATCH(R$2027&amp;$A19,Principal!$U$42:$U$69,0))))</f>
        <v/>
      </c>
      <c r="S2047" s="236" t="str">
        <f t="shared" ref="S2047" si="438">IF(R2047="","",", "&amp;R2047)</f>
        <v/>
      </c>
      <c r="T2047" s="887" t="str">
        <f>IF(ISNA(INDEX(PoderesDeCriatura_Adquiridos,MATCH(T$2027&amp;$A19,Principal!$U$42:$U$69,0))),"",IF(INDEX(Principal!$AO$42:$AO$69,MATCH(T$2027&amp;$A19,Principal!$U$42:$U$69,0))&gt;0,INDEX(Principal!$AF$42:$AF$69,MATCH(T$2027&amp;$A19,Principal!$U$42:$U$69,0)),INDEX(PoderesDeCriatura_Adquiridos,MATCH(T$2027&amp;$A19,Principal!$U$42:$U$69,0))))</f>
        <v/>
      </c>
      <c r="U2047" s="236" t="str">
        <f t="shared" ref="U2047" si="439">IF(T2047="","",", "&amp;T2047)</f>
        <v/>
      </c>
      <c r="V2047" s="887" t="str">
        <f>IF(ISNA(INDEX(PoderesDeCriatura_Adquiridos,MATCH(V$2027&amp;$A19,Principal!$U$42:$U$69,0))),"",IF(INDEX(Principal!$AO$42:$AO$69,MATCH(V$2027&amp;$A19,Principal!$U$42:$U$69,0))&gt;0,INDEX(Principal!$AF$42:$AF$69,MATCH(V$2027&amp;$A19,Principal!$U$42:$U$69,0)),INDEX(PoderesDeCriatura_Adquiridos,MATCH(V$2027&amp;$A19,Principal!$U$42:$U$69,0))))</f>
        <v/>
      </c>
      <c r="W2047" s="236" t="str">
        <f t="shared" ref="W2047" si="440">IF(V2047="","",", "&amp;V2047)</f>
        <v/>
      </c>
      <c r="X2047" s="887" t="str">
        <f>IF(ISNA(INDEX(PoderesDeCriatura_Adquiridos,MATCH(X$2027&amp;$A19,Principal!$U$42:$U$69,0))),"",IF(INDEX(Principal!$AO$42:$AO$69,MATCH(X$2027&amp;$A19,Principal!$U$42:$U$69,0))&gt;0,INDEX(Principal!$AF$42:$AF$69,MATCH(X$2027&amp;$A19,Principal!$U$42:$U$69,0)),INDEX(PoderesDeCriatura_Adquiridos,MATCH(X$2027&amp;$A19,Principal!$U$42:$U$69,0))))</f>
        <v/>
      </c>
      <c r="Y2047" s="236" t="str">
        <f t="shared" ref="Y2047" si="441">IF(X2047="","",", "&amp;X2047)</f>
        <v/>
      </c>
      <c r="Z2047" s="887" t="str">
        <f>IF(ISNA(INDEX(PoderesDeCriatura_Adquiridos,MATCH(Z$2027&amp;$A19,Principal!$U$42:$U$69,0))),"",IF(INDEX(Principal!$AO$42:$AO$69,MATCH(Z$2027&amp;$A19,Principal!$U$42:$U$69,0))&gt;0,INDEX(Principal!$AF$42:$AF$69,MATCH(Z$2027&amp;$A19,Principal!$U$42:$U$69,0)),INDEX(PoderesDeCriatura_Adquiridos,MATCH(Z$2027&amp;$A19,Principal!$U$42:$U$69,0))))</f>
        <v/>
      </c>
      <c r="AA2047" s="236" t="str">
        <f t="shared" ref="AA2047" si="442">IF(Z2047="","",", "&amp;Z2047)</f>
        <v/>
      </c>
      <c r="AB2047" s="887" t="str">
        <f>IF(ISNA(INDEX(PoderesDeCriatura_Adquiridos,MATCH(AB$2027&amp;$A19,Principal!$U$42:$U$69,0))),"",IF(INDEX(Principal!$AO$42:$AO$69,MATCH(AB$2027&amp;$A19,Principal!$U$42:$U$69,0))&gt;0,INDEX(Principal!$AF$42:$AF$69,MATCH(AB$2027&amp;$A19,Principal!$U$42:$U$69,0)),INDEX(PoderesDeCriatura_Adquiridos,MATCH(AB$2027&amp;$A19,Principal!$U$42:$U$69,0))))</f>
        <v/>
      </c>
      <c r="AC2047" s="236" t="str">
        <f t="shared" ref="AC2047" si="443">IF(AB2047="","",", "&amp;AB2047)</f>
        <v/>
      </c>
      <c r="AD2047" s="887" t="str">
        <f>IF(ISNA(INDEX(PoderesDeCriatura_Adquiridos,MATCH(AD$2027&amp;$A19,Principal!$U$42:$U$69,0))),"",IF(INDEX(Principal!$AO$42:$AO$69,MATCH(AD$2027&amp;$A19,Principal!$U$42:$U$69,0))&gt;0,INDEX(Principal!$AF$42:$AF$69,MATCH(AD$2027&amp;$A19,Principal!$U$42:$U$69,0)),INDEX(PoderesDeCriatura_Adquiridos,MATCH(AD$2027&amp;$A19,Principal!$U$42:$U$69,0))))</f>
        <v/>
      </c>
      <c r="AE2047" s="891" t="str">
        <f t="shared" ref="AE2047" si="444">IF(AD2047="","",", "&amp;AD2047)</f>
        <v/>
      </c>
      <c r="AF2047" s="886" t="str">
        <f>IF(OR(AG2047=0,ISNUMBER(MATCH(AG2047,$AG$2030:$AG2046,0))),"",MAX($AF$2029:AF2046)+1)</f>
        <v/>
      </c>
      <c r="AG2047" s="1365">
        <f>Principal!V59</f>
        <v>0</v>
      </c>
    </row>
    <row r="2048" spans="1:33" ht="12.75" customHeight="1" x14ac:dyDescent="0.2">
      <c r="A2048" s="237">
        <v>2048</v>
      </c>
      <c r="B2048" s="5838"/>
      <c r="C2048" s="914" t="str">
        <f t="shared" si="299"/>
        <v/>
      </c>
      <c r="D2048" s="513" t="str">
        <f t="shared" si="379"/>
        <v/>
      </c>
      <c r="E2048" s="513" t="str">
        <f t="shared" si="380"/>
        <v/>
      </c>
      <c r="F2048" s="880" t="str">
        <f>IF(ISNA(VLOOKUP(MIN($C$2023:$C$2065)+A26-1,$C$2023:$E$2065,3,0)),"",", "&amp;VLOOKUP(MIN($C$2023:$C$2065)+A26-1,$C$2023:$E$2065,3,0))</f>
        <v/>
      </c>
      <c r="G2048" s="5939"/>
      <c r="H2048" s="1429" t="str">
        <f>Combate!AB40</f>
        <v/>
      </c>
      <c r="J2048" s="870" t="str">
        <f>IF(ISNA(VLOOKUP(A21,Principal!$S$42:$AH$69,10,FALSE)),"",IF(VLOOKUP(A21,Principal!$S$42:$AH$69,10,FALSE)=0,"",INDEX(PoderesDeCriatura_Adquiridos,MATCH(A21,Principal!$S$42:$S$69,0))))</f>
        <v/>
      </c>
      <c r="K2048" s="933" t="str">
        <f t="shared" si="304"/>
        <v/>
      </c>
      <c r="L2048" s="887" t="str">
        <f>IF(ISNA(INDEX(PoderesDeCriatura_Adquiridos,MATCH(L$2027&amp;$A20,Principal!$U$42:$U$69,0))),"",IF(INDEX(Principal!$AO$42:$AO$69,MATCH(L$2027&amp;$A20,Principal!$U$42:$U$69,0))&gt;0,INDEX(Principal!$AF$42:$AF$69,MATCH(L$2027&amp;$A20,Principal!$U$42:$U$69,0)),INDEX(PoderesDeCriatura_Adquiridos,MATCH(L$2027&amp;$A20,Principal!$U$42:$U$69,0))))</f>
        <v/>
      </c>
      <c r="M2048" s="236" t="str">
        <f t="shared" si="305"/>
        <v/>
      </c>
      <c r="N2048" s="887" t="str">
        <f>IF(ISNA(INDEX(PoderesDeCriatura_Adquiridos,MATCH(N$2027&amp;$A20,Principal!$U$42:$U$69,0))),"",IF(INDEX(Principal!$AO$42:$AO$69,MATCH(N$2027&amp;$A20,Principal!$U$42:$U$69,0))&gt;0,INDEX(Principal!$AF$42:$AF$69,MATCH(N$2027&amp;$A20,Principal!$U$42:$U$69,0)),INDEX(PoderesDeCriatura_Adquiridos,MATCH(N$2027&amp;$A20,Principal!$U$42:$U$69,0))))</f>
        <v/>
      </c>
      <c r="O2048" s="236" t="str">
        <f t="shared" si="306"/>
        <v/>
      </c>
      <c r="P2048" s="887" t="str">
        <f>IF(ISNA(INDEX(PoderesDeCriatura_Adquiridos,MATCH(P$2027&amp;$A20,Principal!$U$42:$U$69,0))),"",IF(INDEX(Principal!$AO$42:$AO$69,MATCH(P$2027&amp;$A20,Principal!$U$42:$U$69,0))&gt;0,INDEX(Principal!$AF$42:$AF$69,MATCH(P$2027&amp;$A20,Principal!$U$42:$U$69,0)),INDEX(PoderesDeCriatura_Adquiridos,MATCH(P$2027&amp;$A20,Principal!$U$42:$U$69,0))))</f>
        <v/>
      </c>
      <c r="Q2048" s="236" t="str">
        <f t="shared" ref="Q2048" si="445">IF(P2048="","",", "&amp;P2048)</f>
        <v/>
      </c>
      <c r="R2048" s="887" t="str">
        <f>IF(ISNA(INDEX(PoderesDeCriatura_Adquiridos,MATCH(R$2027&amp;$A20,Principal!$U$42:$U$69,0))),"",IF(INDEX(Principal!$AO$42:$AO$69,MATCH(R$2027&amp;$A20,Principal!$U$42:$U$69,0))&gt;0,INDEX(Principal!$AF$42:$AF$69,MATCH(R$2027&amp;$A20,Principal!$U$42:$U$69,0)),INDEX(PoderesDeCriatura_Adquiridos,MATCH(R$2027&amp;$A20,Principal!$U$42:$U$69,0))))</f>
        <v/>
      </c>
      <c r="S2048" s="236" t="str">
        <f t="shared" ref="S2048" si="446">IF(R2048="","",", "&amp;R2048)</f>
        <v/>
      </c>
      <c r="T2048" s="887" t="str">
        <f>IF(ISNA(INDEX(PoderesDeCriatura_Adquiridos,MATCH(T$2027&amp;$A20,Principal!$U$42:$U$69,0))),"",IF(INDEX(Principal!$AO$42:$AO$69,MATCH(T$2027&amp;$A20,Principal!$U$42:$U$69,0))&gt;0,INDEX(Principal!$AF$42:$AF$69,MATCH(T$2027&amp;$A20,Principal!$U$42:$U$69,0)),INDEX(PoderesDeCriatura_Adquiridos,MATCH(T$2027&amp;$A20,Principal!$U$42:$U$69,0))))</f>
        <v/>
      </c>
      <c r="U2048" s="236" t="str">
        <f t="shared" ref="U2048" si="447">IF(T2048="","",", "&amp;T2048)</f>
        <v/>
      </c>
      <c r="V2048" s="887" t="str">
        <f>IF(ISNA(INDEX(PoderesDeCriatura_Adquiridos,MATCH(V$2027&amp;$A20,Principal!$U$42:$U$69,0))),"",IF(INDEX(Principal!$AO$42:$AO$69,MATCH(V$2027&amp;$A20,Principal!$U$42:$U$69,0))&gt;0,INDEX(Principal!$AF$42:$AF$69,MATCH(V$2027&amp;$A20,Principal!$U$42:$U$69,0)),INDEX(PoderesDeCriatura_Adquiridos,MATCH(V$2027&amp;$A20,Principal!$U$42:$U$69,0))))</f>
        <v/>
      </c>
      <c r="W2048" s="236" t="str">
        <f t="shared" ref="W2048" si="448">IF(V2048="","",", "&amp;V2048)</f>
        <v/>
      </c>
      <c r="X2048" s="887" t="str">
        <f>IF(ISNA(INDEX(PoderesDeCriatura_Adquiridos,MATCH(X$2027&amp;$A20,Principal!$U$42:$U$69,0))),"",IF(INDEX(Principal!$AO$42:$AO$69,MATCH(X$2027&amp;$A20,Principal!$U$42:$U$69,0))&gt;0,INDEX(Principal!$AF$42:$AF$69,MATCH(X$2027&amp;$A20,Principal!$U$42:$U$69,0)),INDEX(PoderesDeCriatura_Adquiridos,MATCH(X$2027&amp;$A20,Principal!$U$42:$U$69,0))))</f>
        <v/>
      </c>
      <c r="Y2048" s="236" t="str">
        <f t="shared" ref="Y2048" si="449">IF(X2048="","",", "&amp;X2048)</f>
        <v/>
      </c>
      <c r="Z2048" s="887" t="str">
        <f>IF(ISNA(INDEX(PoderesDeCriatura_Adquiridos,MATCH(Z$2027&amp;$A20,Principal!$U$42:$U$69,0))),"",IF(INDEX(Principal!$AO$42:$AO$69,MATCH(Z$2027&amp;$A20,Principal!$U$42:$U$69,0))&gt;0,INDEX(Principal!$AF$42:$AF$69,MATCH(Z$2027&amp;$A20,Principal!$U$42:$U$69,0)),INDEX(PoderesDeCriatura_Adquiridos,MATCH(Z$2027&amp;$A20,Principal!$U$42:$U$69,0))))</f>
        <v/>
      </c>
      <c r="AA2048" s="236" t="str">
        <f t="shared" ref="AA2048" si="450">IF(Z2048="","",", "&amp;Z2048)</f>
        <v/>
      </c>
      <c r="AB2048" s="887" t="str">
        <f>IF(ISNA(INDEX(PoderesDeCriatura_Adquiridos,MATCH(AB$2027&amp;$A20,Principal!$U$42:$U$69,0))),"",IF(INDEX(Principal!$AO$42:$AO$69,MATCH(AB$2027&amp;$A20,Principal!$U$42:$U$69,0))&gt;0,INDEX(Principal!$AF$42:$AF$69,MATCH(AB$2027&amp;$A20,Principal!$U$42:$U$69,0)),INDEX(PoderesDeCriatura_Adquiridos,MATCH(AB$2027&amp;$A20,Principal!$U$42:$U$69,0))))</f>
        <v/>
      </c>
      <c r="AC2048" s="236" t="str">
        <f t="shared" ref="AC2048" si="451">IF(AB2048="","",", "&amp;AB2048)</f>
        <v/>
      </c>
      <c r="AD2048" s="887" t="str">
        <f>IF(ISNA(INDEX(PoderesDeCriatura_Adquiridos,MATCH(AD$2027&amp;$A20,Principal!$U$42:$U$69,0))),"",IF(INDEX(Principal!$AO$42:$AO$69,MATCH(AD$2027&amp;$A20,Principal!$U$42:$U$69,0))&gt;0,INDEX(Principal!$AF$42:$AF$69,MATCH(AD$2027&amp;$A20,Principal!$U$42:$U$69,0)),INDEX(PoderesDeCriatura_Adquiridos,MATCH(AD$2027&amp;$A20,Principal!$U$42:$U$69,0))))</f>
        <v/>
      </c>
      <c r="AE2048" s="891" t="str">
        <f t="shared" ref="AE2048" si="452">IF(AD2048="","",", "&amp;AD2048)</f>
        <v/>
      </c>
      <c r="AF2048" s="886" t="str">
        <f>IF(OR(AG2048=0,ISNUMBER(MATCH(AG2048,$AG$2030:$AG2047,0))),"",MAX($AF$2029:AF2047)+1)</f>
        <v/>
      </c>
      <c r="AG2048" s="1365">
        <f>Principal!V60</f>
        <v>0</v>
      </c>
    </row>
    <row r="2049" spans="1:33" ht="12.75" customHeight="1" x14ac:dyDescent="0.2">
      <c r="A2049" s="237">
        <v>2049</v>
      </c>
      <c r="B2049" s="5838"/>
      <c r="C2049" s="914" t="str">
        <f t="shared" si="299"/>
        <v/>
      </c>
      <c r="D2049" s="513" t="str">
        <f t="shared" si="379"/>
        <v/>
      </c>
      <c r="E2049" s="513" t="str">
        <f t="shared" si="380"/>
        <v/>
      </c>
      <c r="F2049" s="880" t="str">
        <f>IF(ISNA(VLOOKUP(MIN($C$2023:$C$2065)+A27-1,$C$2023:$E$2065,3,0)),"",", "&amp;VLOOKUP(MIN($C$2023:$C$2065)+A27-1,$C$2023:$E$2065,3,0))</f>
        <v/>
      </c>
      <c r="G2049" s="5939"/>
      <c r="H2049" s="1429" t="str">
        <f>Combate!AB41</f>
        <v/>
      </c>
      <c r="J2049" s="870" t="str">
        <f>IF(ISNA(VLOOKUP(A22,Principal!$S$42:$AH$69,10,FALSE)),"",IF(VLOOKUP(A22,Principal!$S$42:$AH$69,10,FALSE)=0,"",INDEX(PoderesDeCriatura_Adquiridos,MATCH(A22,Principal!$S$42:$S$69,0))))</f>
        <v/>
      </c>
      <c r="K2049" s="933" t="str">
        <f t="shared" si="304"/>
        <v/>
      </c>
      <c r="L2049" s="887" t="str">
        <f>IF(ISNA(INDEX(PoderesDeCriatura_Adquiridos,MATCH(L$2027&amp;$A21,Principal!$U$42:$U$69,0))),"",IF(INDEX(Principal!$AO$42:$AO$69,MATCH(L$2027&amp;$A21,Principal!$U$42:$U$69,0))&gt;0,INDEX(Principal!$AF$42:$AF$69,MATCH(L$2027&amp;$A21,Principal!$U$42:$U$69,0)),INDEX(PoderesDeCriatura_Adquiridos,MATCH(L$2027&amp;$A21,Principal!$U$42:$U$69,0))))</f>
        <v/>
      </c>
      <c r="M2049" s="236" t="str">
        <f t="shared" si="305"/>
        <v/>
      </c>
      <c r="N2049" s="887" t="str">
        <f>IF(ISNA(INDEX(PoderesDeCriatura_Adquiridos,MATCH(N$2027&amp;$A21,Principal!$U$42:$U$69,0))),"",IF(INDEX(Principal!$AO$42:$AO$69,MATCH(N$2027&amp;$A21,Principal!$U$42:$U$69,0))&gt;0,INDEX(Principal!$AF$42:$AF$69,MATCH(N$2027&amp;$A21,Principal!$U$42:$U$69,0)),INDEX(PoderesDeCriatura_Adquiridos,MATCH(N$2027&amp;$A21,Principal!$U$42:$U$69,0))))</f>
        <v/>
      </c>
      <c r="O2049" s="236" t="str">
        <f t="shared" si="306"/>
        <v/>
      </c>
      <c r="P2049" s="887" t="str">
        <f>IF(ISNA(INDEX(PoderesDeCriatura_Adquiridos,MATCH(P$2027&amp;$A21,Principal!$U$42:$U$69,0))),"",IF(INDEX(Principal!$AO$42:$AO$69,MATCH(P$2027&amp;$A21,Principal!$U$42:$U$69,0))&gt;0,INDEX(Principal!$AF$42:$AF$69,MATCH(P$2027&amp;$A21,Principal!$U$42:$U$69,0)),INDEX(PoderesDeCriatura_Adquiridos,MATCH(P$2027&amp;$A21,Principal!$U$42:$U$69,0))))</f>
        <v/>
      </c>
      <c r="Q2049" s="236" t="str">
        <f t="shared" ref="Q2049" si="453">IF(P2049="","",", "&amp;P2049)</f>
        <v/>
      </c>
      <c r="R2049" s="887" t="str">
        <f>IF(ISNA(INDEX(PoderesDeCriatura_Adquiridos,MATCH(R$2027&amp;$A21,Principal!$U$42:$U$69,0))),"",IF(INDEX(Principal!$AO$42:$AO$69,MATCH(R$2027&amp;$A21,Principal!$U$42:$U$69,0))&gt;0,INDEX(Principal!$AF$42:$AF$69,MATCH(R$2027&amp;$A21,Principal!$U$42:$U$69,0)),INDEX(PoderesDeCriatura_Adquiridos,MATCH(R$2027&amp;$A21,Principal!$U$42:$U$69,0))))</f>
        <v/>
      </c>
      <c r="S2049" s="236" t="str">
        <f t="shared" ref="S2049" si="454">IF(R2049="","",", "&amp;R2049)</f>
        <v/>
      </c>
      <c r="T2049" s="887" t="str">
        <f>IF(ISNA(INDEX(PoderesDeCriatura_Adquiridos,MATCH(T$2027&amp;$A21,Principal!$U$42:$U$69,0))),"",IF(INDEX(Principal!$AO$42:$AO$69,MATCH(T$2027&amp;$A21,Principal!$U$42:$U$69,0))&gt;0,INDEX(Principal!$AF$42:$AF$69,MATCH(T$2027&amp;$A21,Principal!$U$42:$U$69,0)),INDEX(PoderesDeCriatura_Adquiridos,MATCH(T$2027&amp;$A21,Principal!$U$42:$U$69,0))))</f>
        <v/>
      </c>
      <c r="U2049" s="236" t="str">
        <f t="shared" ref="U2049" si="455">IF(T2049="","",", "&amp;T2049)</f>
        <v/>
      </c>
      <c r="V2049" s="887" t="str">
        <f>IF(ISNA(INDEX(PoderesDeCriatura_Adquiridos,MATCH(V$2027&amp;$A21,Principal!$U$42:$U$69,0))),"",IF(INDEX(Principal!$AO$42:$AO$69,MATCH(V$2027&amp;$A21,Principal!$U$42:$U$69,0))&gt;0,INDEX(Principal!$AF$42:$AF$69,MATCH(V$2027&amp;$A21,Principal!$U$42:$U$69,0)),INDEX(PoderesDeCriatura_Adquiridos,MATCH(V$2027&amp;$A21,Principal!$U$42:$U$69,0))))</f>
        <v/>
      </c>
      <c r="W2049" s="236" t="str">
        <f t="shared" ref="W2049" si="456">IF(V2049="","",", "&amp;V2049)</f>
        <v/>
      </c>
      <c r="X2049" s="887" t="str">
        <f>IF(ISNA(INDEX(PoderesDeCriatura_Adquiridos,MATCH(X$2027&amp;$A21,Principal!$U$42:$U$69,0))),"",IF(INDEX(Principal!$AO$42:$AO$69,MATCH(X$2027&amp;$A21,Principal!$U$42:$U$69,0))&gt;0,INDEX(Principal!$AF$42:$AF$69,MATCH(X$2027&amp;$A21,Principal!$U$42:$U$69,0)),INDEX(PoderesDeCriatura_Adquiridos,MATCH(X$2027&amp;$A21,Principal!$U$42:$U$69,0))))</f>
        <v/>
      </c>
      <c r="Y2049" s="236" t="str">
        <f t="shared" ref="Y2049" si="457">IF(X2049="","",", "&amp;X2049)</f>
        <v/>
      </c>
      <c r="Z2049" s="887" t="str">
        <f>IF(ISNA(INDEX(PoderesDeCriatura_Adquiridos,MATCH(Z$2027&amp;$A21,Principal!$U$42:$U$69,0))),"",IF(INDEX(Principal!$AO$42:$AO$69,MATCH(Z$2027&amp;$A21,Principal!$U$42:$U$69,0))&gt;0,INDEX(Principal!$AF$42:$AF$69,MATCH(Z$2027&amp;$A21,Principal!$U$42:$U$69,0)),INDEX(PoderesDeCriatura_Adquiridos,MATCH(Z$2027&amp;$A21,Principal!$U$42:$U$69,0))))</f>
        <v/>
      </c>
      <c r="AA2049" s="236" t="str">
        <f t="shared" ref="AA2049" si="458">IF(Z2049="","",", "&amp;Z2049)</f>
        <v/>
      </c>
      <c r="AB2049" s="887" t="str">
        <f>IF(ISNA(INDEX(PoderesDeCriatura_Adquiridos,MATCH(AB$2027&amp;$A21,Principal!$U$42:$U$69,0))),"",IF(INDEX(Principal!$AO$42:$AO$69,MATCH(AB$2027&amp;$A21,Principal!$U$42:$U$69,0))&gt;0,INDEX(Principal!$AF$42:$AF$69,MATCH(AB$2027&amp;$A21,Principal!$U$42:$U$69,0)),INDEX(PoderesDeCriatura_Adquiridos,MATCH(AB$2027&amp;$A21,Principal!$U$42:$U$69,0))))</f>
        <v/>
      </c>
      <c r="AC2049" s="236" t="str">
        <f t="shared" ref="AC2049" si="459">IF(AB2049="","",", "&amp;AB2049)</f>
        <v/>
      </c>
      <c r="AD2049" s="887" t="str">
        <f>IF(ISNA(INDEX(PoderesDeCriatura_Adquiridos,MATCH(AD$2027&amp;$A21,Principal!$U$42:$U$69,0))),"",IF(INDEX(Principal!$AO$42:$AO$69,MATCH(AD$2027&amp;$A21,Principal!$U$42:$U$69,0))&gt;0,INDEX(Principal!$AF$42:$AF$69,MATCH(AD$2027&amp;$A21,Principal!$U$42:$U$69,0)),INDEX(PoderesDeCriatura_Adquiridos,MATCH(AD$2027&amp;$A21,Principal!$U$42:$U$69,0))))</f>
        <v/>
      </c>
      <c r="AE2049" s="891" t="str">
        <f t="shared" ref="AE2049" si="460">IF(AD2049="","",", "&amp;AD2049)</f>
        <v/>
      </c>
      <c r="AF2049" s="886" t="str">
        <f>IF(OR(AG2049=0,ISNUMBER(MATCH(AG2049,$AG$2030:$AG2048,0))),"",MAX($AF$2029:AF2048)+1)</f>
        <v/>
      </c>
      <c r="AG2049" s="1365">
        <f>Principal!V61</f>
        <v>0</v>
      </c>
    </row>
    <row r="2050" spans="1:33" ht="12.75" customHeight="1" x14ac:dyDescent="0.2">
      <c r="A2050" s="237">
        <v>2050</v>
      </c>
      <c r="B2050" s="5838"/>
      <c r="C2050" s="914" t="str">
        <f t="shared" si="299"/>
        <v/>
      </c>
      <c r="D2050" s="513" t="str">
        <f t="shared" si="379"/>
        <v/>
      </c>
      <c r="E2050" s="513" t="str">
        <f t="shared" si="380"/>
        <v/>
      </c>
      <c r="F2050" s="880" t="str">
        <f>IF(ISNA(VLOOKUP(MIN($C$2023:$C$2065)+A28-1,$C$2023:$E$2065,3,0)),"",", "&amp;VLOOKUP(MIN($C$2023:$C$2065)+A28-1,$C$2023:$E$2065,3,0))</f>
        <v/>
      </c>
      <c r="G2050" s="5939"/>
      <c r="H2050" s="1429" t="str">
        <f>Combate!AB42</f>
        <v/>
      </c>
      <c r="J2050" s="870" t="str">
        <f>IF(ISNA(VLOOKUP(A23,Principal!$S$42:$AH$69,10,FALSE)),"",IF(VLOOKUP(A23,Principal!$S$42:$AH$69,10,FALSE)=0,"",INDEX(PoderesDeCriatura_Adquiridos,MATCH(A23,Principal!$S$42:$S$69,0))))</f>
        <v/>
      </c>
      <c r="K2050" s="933" t="str">
        <f t="shared" si="304"/>
        <v/>
      </c>
      <c r="L2050" s="887" t="str">
        <f>IF(ISNA(INDEX(PoderesDeCriatura_Adquiridos,MATCH(L$2027&amp;$A22,Principal!$U$42:$U$69,0))),"",IF(INDEX(Principal!$AO$42:$AO$69,MATCH(L$2027&amp;$A22,Principal!$U$42:$U$69,0))&gt;0,INDEX(Principal!$AF$42:$AF$69,MATCH(L$2027&amp;$A22,Principal!$U$42:$U$69,0)),INDEX(PoderesDeCriatura_Adquiridos,MATCH(L$2027&amp;$A22,Principal!$U$42:$U$69,0))))</f>
        <v/>
      </c>
      <c r="M2050" s="236" t="str">
        <f t="shared" si="305"/>
        <v/>
      </c>
      <c r="N2050" s="887" t="str">
        <f>IF(ISNA(INDEX(PoderesDeCriatura_Adquiridos,MATCH(N$2027&amp;$A22,Principal!$U$42:$U$69,0))),"",IF(INDEX(Principal!$AO$42:$AO$69,MATCH(N$2027&amp;$A22,Principal!$U$42:$U$69,0))&gt;0,INDEX(Principal!$AF$42:$AF$69,MATCH(N$2027&amp;$A22,Principal!$U$42:$U$69,0)),INDEX(PoderesDeCriatura_Adquiridos,MATCH(N$2027&amp;$A22,Principal!$U$42:$U$69,0))))</f>
        <v/>
      </c>
      <c r="O2050" s="236" t="str">
        <f t="shared" si="306"/>
        <v/>
      </c>
      <c r="P2050" s="887" t="str">
        <f>IF(ISNA(INDEX(PoderesDeCriatura_Adquiridos,MATCH(P$2027&amp;$A22,Principal!$U$42:$U$69,0))),"",IF(INDEX(Principal!$AO$42:$AO$69,MATCH(P$2027&amp;$A22,Principal!$U$42:$U$69,0))&gt;0,INDEX(Principal!$AF$42:$AF$69,MATCH(P$2027&amp;$A22,Principal!$U$42:$U$69,0)),INDEX(PoderesDeCriatura_Adquiridos,MATCH(P$2027&amp;$A22,Principal!$U$42:$U$69,0))))</f>
        <v/>
      </c>
      <c r="Q2050" s="236" t="str">
        <f t="shared" ref="Q2050" si="461">IF(P2050="","",", "&amp;P2050)</f>
        <v/>
      </c>
      <c r="R2050" s="887" t="str">
        <f>IF(ISNA(INDEX(PoderesDeCriatura_Adquiridos,MATCH(R$2027&amp;$A22,Principal!$U$42:$U$69,0))),"",IF(INDEX(Principal!$AO$42:$AO$69,MATCH(R$2027&amp;$A22,Principal!$U$42:$U$69,0))&gt;0,INDEX(Principal!$AF$42:$AF$69,MATCH(R$2027&amp;$A22,Principal!$U$42:$U$69,0)),INDEX(PoderesDeCriatura_Adquiridos,MATCH(R$2027&amp;$A22,Principal!$U$42:$U$69,0))))</f>
        <v/>
      </c>
      <c r="S2050" s="236" t="str">
        <f t="shared" ref="S2050" si="462">IF(R2050="","",", "&amp;R2050)</f>
        <v/>
      </c>
      <c r="T2050" s="887" t="str">
        <f>IF(ISNA(INDEX(PoderesDeCriatura_Adquiridos,MATCH(T$2027&amp;$A22,Principal!$U$42:$U$69,0))),"",IF(INDEX(Principal!$AO$42:$AO$69,MATCH(T$2027&amp;$A22,Principal!$U$42:$U$69,0))&gt;0,INDEX(Principal!$AF$42:$AF$69,MATCH(T$2027&amp;$A22,Principal!$U$42:$U$69,0)),INDEX(PoderesDeCriatura_Adquiridos,MATCH(T$2027&amp;$A22,Principal!$U$42:$U$69,0))))</f>
        <v/>
      </c>
      <c r="U2050" s="236" t="str">
        <f t="shared" ref="U2050" si="463">IF(T2050="","",", "&amp;T2050)</f>
        <v/>
      </c>
      <c r="V2050" s="887" t="str">
        <f>IF(ISNA(INDEX(PoderesDeCriatura_Adquiridos,MATCH(V$2027&amp;$A22,Principal!$U$42:$U$69,0))),"",IF(INDEX(Principal!$AO$42:$AO$69,MATCH(V$2027&amp;$A22,Principal!$U$42:$U$69,0))&gt;0,INDEX(Principal!$AF$42:$AF$69,MATCH(V$2027&amp;$A22,Principal!$U$42:$U$69,0)),INDEX(PoderesDeCriatura_Adquiridos,MATCH(V$2027&amp;$A22,Principal!$U$42:$U$69,0))))</f>
        <v/>
      </c>
      <c r="W2050" s="236" t="str">
        <f t="shared" ref="W2050" si="464">IF(V2050="","",", "&amp;V2050)</f>
        <v/>
      </c>
      <c r="X2050" s="887" t="str">
        <f>IF(ISNA(INDEX(PoderesDeCriatura_Adquiridos,MATCH(X$2027&amp;$A22,Principal!$U$42:$U$69,0))),"",IF(INDEX(Principal!$AO$42:$AO$69,MATCH(X$2027&amp;$A22,Principal!$U$42:$U$69,0))&gt;0,INDEX(Principal!$AF$42:$AF$69,MATCH(X$2027&amp;$A22,Principal!$U$42:$U$69,0)),INDEX(PoderesDeCriatura_Adquiridos,MATCH(X$2027&amp;$A22,Principal!$U$42:$U$69,0))))</f>
        <v/>
      </c>
      <c r="Y2050" s="236" t="str">
        <f t="shared" ref="Y2050" si="465">IF(X2050="","",", "&amp;X2050)</f>
        <v/>
      </c>
      <c r="Z2050" s="887" t="str">
        <f>IF(ISNA(INDEX(PoderesDeCriatura_Adquiridos,MATCH(Z$2027&amp;$A22,Principal!$U$42:$U$69,0))),"",IF(INDEX(Principal!$AO$42:$AO$69,MATCH(Z$2027&amp;$A22,Principal!$U$42:$U$69,0))&gt;0,INDEX(Principal!$AF$42:$AF$69,MATCH(Z$2027&amp;$A22,Principal!$U$42:$U$69,0)),INDEX(PoderesDeCriatura_Adquiridos,MATCH(Z$2027&amp;$A22,Principal!$U$42:$U$69,0))))</f>
        <v/>
      </c>
      <c r="AA2050" s="236" t="str">
        <f t="shared" ref="AA2050" si="466">IF(Z2050="","",", "&amp;Z2050)</f>
        <v/>
      </c>
      <c r="AB2050" s="887" t="str">
        <f>IF(ISNA(INDEX(PoderesDeCriatura_Adquiridos,MATCH(AB$2027&amp;$A22,Principal!$U$42:$U$69,0))),"",IF(INDEX(Principal!$AO$42:$AO$69,MATCH(AB$2027&amp;$A22,Principal!$U$42:$U$69,0))&gt;0,INDEX(Principal!$AF$42:$AF$69,MATCH(AB$2027&amp;$A22,Principal!$U$42:$U$69,0)),INDEX(PoderesDeCriatura_Adquiridos,MATCH(AB$2027&amp;$A22,Principal!$U$42:$U$69,0))))</f>
        <v/>
      </c>
      <c r="AC2050" s="236" t="str">
        <f t="shared" ref="AC2050" si="467">IF(AB2050="","",", "&amp;AB2050)</f>
        <v/>
      </c>
      <c r="AD2050" s="887" t="str">
        <f>IF(ISNA(INDEX(PoderesDeCriatura_Adquiridos,MATCH(AD$2027&amp;$A22,Principal!$U$42:$U$69,0))),"",IF(INDEX(Principal!$AO$42:$AO$69,MATCH(AD$2027&amp;$A22,Principal!$U$42:$U$69,0))&gt;0,INDEX(Principal!$AF$42:$AF$69,MATCH(AD$2027&amp;$A22,Principal!$U$42:$U$69,0)),INDEX(PoderesDeCriatura_Adquiridos,MATCH(AD$2027&amp;$A22,Principal!$U$42:$U$69,0))))</f>
        <v/>
      </c>
      <c r="AE2050" s="891" t="str">
        <f t="shared" ref="AE2050" si="468">IF(AD2050="","",", "&amp;AD2050)</f>
        <v/>
      </c>
      <c r="AF2050" s="886" t="str">
        <f>IF(OR(AG2050=0,ISNUMBER(MATCH(AG2050,$AG$2030:$AG2049,0))),"",MAX($AF$2029:AF2049)+1)</f>
        <v/>
      </c>
      <c r="AG2050" s="1365">
        <f>Principal!V62</f>
        <v>0</v>
      </c>
    </row>
    <row r="2051" spans="1:33" ht="12.75" customHeight="1" x14ac:dyDescent="0.2">
      <c r="A2051" s="237">
        <v>2051</v>
      </c>
      <c r="B2051" s="5838"/>
      <c r="C2051" s="914" t="str">
        <f t="shared" si="299"/>
        <v/>
      </c>
      <c r="D2051" s="513" t="str">
        <f t="shared" si="379"/>
        <v/>
      </c>
      <c r="E2051" s="513" t="str">
        <f t="shared" si="380"/>
        <v/>
      </c>
      <c r="F2051" s="880" t="str">
        <f>IF(ISNA(VLOOKUP(MIN($C$2023:$C$2065)+A29-1,$C$2023:$E$2065,3,0)),"",", "&amp;VLOOKUP(MIN($C$2023:$C$2065)+A29-1,$C$2023:$E$2065,3,0))</f>
        <v/>
      </c>
      <c r="G2051" s="5939"/>
      <c r="H2051" s="1429" t="str">
        <f>Combate!AB43</f>
        <v/>
      </c>
      <c r="J2051" s="870" t="str">
        <f>IF(ISNA(VLOOKUP(A24,Principal!$S$42:$AH$69,10,FALSE)),"",IF(VLOOKUP(A24,Principal!$S$42:$AH$69,10,FALSE)=0,"",INDEX(PoderesDeCriatura_Adquiridos,MATCH(A24,Principal!$S$42:$S$69,0))))</f>
        <v/>
      </c>
      <c r="K2051" s="933" t="str">
        <f t="shared" si="304"/>
        <v/>
      </c>
      <c r="L2051" s="887" t="str">
        <f>IF(ISNA(INDEX(PoderesDeCriatura_Adquiridos,MATCH(L$2027&amp;$A23,Principal!$U$42:$U$69,0))),"",IF(INDEX(Principal!$AO$42:$AO$69,MATCH(L$2027&amp;$A23,Principal!$U$42:$U$69,0))&gt;0,INDEX(Principal!$AF$42:$AF$69,MATCH(L$2027&amp;$A23,Principal!$U$42:$U$69,0)),INDEX(PoderesDeCriatura_Adquiridos,MATCH(L$2027&amp;$A23,Principal!$U$42:$U$69,0))))</f>
        <v/>
      </c>
      <c r="M2051" s="236" t="str">
        <f t="shared" si="305"/>
        <v/>
      </c>
      <c r="N2051" s="887" t="str">
        <f>IF(ISNA(INDEX(PoderesDeCriatura_Adquiridos,MATCH(N$2027&amp;$A23,Principal!$U$42:$U$69,0))),"",IF(INDEX(Principal!$AO$42:$AO$69,MATCH(N$2027&amp;$A23,Principal!$U$42:$U$69,0))&gt;0,INDEX(Principal!$AF$42:$AF$69,MATCH(N$2027&amp;$A23,Principal!$U$42:$U$69,0)),INDEX(PoderesDeCriatura_Adquiridos,MATCH(N$2027&amp;$A23,Principal!$U$42:$U$69,0))))</f>
        <v/>
      </c>
      <c r="O2051" s="236" t="str">
        <f t="shared" si="306"/>
        <v/>
      </c>
      <c r="P2051" s="887" t="str">
        <f>IF(ISNA(INDEX(PoderesDeCriatura_Adquiridos,MATCH(P$2027&amp;$A23,Principal!$U$42:$U$69,0))),"",IF(INDEX(Principal!$AO$42:$AO$69,MATCH(P$2027&amp;$A23,Principal!$U$42:$U$69,0))&gt;0,INDEX(Principal!$AF$42:$AF$69,MATCH(P$2027&amp;$A23,Principal!$U$42:$U$69,0)),INDEX(PoderesDeCriatura_Adquiridos,MATCH(P$2027&amp;$A23,Principal!$U$42:$U$69,0))))</f>
        <v/>
      </c>
      <c r="Q2051" s="236" t="str">
        <f t="shared" ref="Q2051" si="469">IF(P2051="","",", "&amp;P2051)</f>
        <v/>
      </c>
      <c r="R2051" s="887" t="str">
        <f>IF(ISNA(INDEX(PoderesDeCriatura_Adquiridos,MATCH(R$2027&amp;$A23,Principal!$U$42:$U$69,0))),"",IF(INDEX(Principal!$AO$42:$AO$69,MATCH(R$2027&amp;$A23,Principal!$U$42:$U$69,0))&gt;0,INDEX(Principal!$AF$42:$AF$69,MATCH(R$2027&amp;$A23,Principal!$U$42:$U$69,0)),INDEX(PoderesDeCriatura_Adquiridos,MATCH(R$2027&amp;$A23,Principal!$U$42:$U$69,0))))</f>
        <v/>
      </c>
      <c r="S2051" s="236" t="str">
        <f t="shared" ref="S2051" si="470">IF(R2051="","",", "&amp;R2051)</f>
        <v/>
      </c>
      <c r="T2051" s="887" t="str">
        <f>IF(ISNA(INDEX(PoderesDeCriatura_Adquiridos,MATCH(T$2027&amp;$A23,Principal!$U$42:$U$69,0))),"",IF(INDEX(Principal!$AO$42:$AO$69,MATCH(T$2027&amp;$A23,Principal!$U$42:$U$69,0))&gt;0,INDEX(Principal!$AF$42:$AF$69,MATCH(T$2027&amp;$A23,Principal!$U$42:$U$69,0)),INDEX(PoderesDeCriatura_Adquiridos,MATCH(T$2027&amp;$A23,Principal!$U$42:$U$69,0))))</f>
        <v/>
      </c>
      <c r="U2051" s="236" t="str">
        <f t="shared" ref="U2051" si="471">IF(T2051="","",", "&amp;T2051)</f>
        <v/>
      </c>
      <c r="V2051" s="887" t="str">
        <f>IF(ISNA(INDEX(PoderesDeCriatura_Adquiridos,MATCH(V$2027&amp;$A23,Principal!$U$42:$U$69,0))),"",IF(INDEX(Principal!$AO$42:$AO$69,MATCH(V$2027&amp;$A23,Principal!$U$42:$U$69,0))&gt;0,INDEX(Principal!$AF$42:$AF$69,MATCH(V$2027&amp;$A23,Principal!$U$42:$U$69,0)),INDEX(PoderesDeCriatura_Adquiridos,MATCH(V$2027&amp;$A23,Principal!$U$42:$U$69,0))))</f>
        <v/>
      </c>
      <c r="W2051" s="236" t="str">
        <f t="shared" ref="W2051" si="472">IF(V2051="","",", "&amp;V2051)</f>
        <v/>
      </c>
      <c r="X2051" s="887" t="str">
        <f>IF(ISNA(INDEX(PoderesDeCriatura_Adquiridos,MATCH(X$2027&amp;$A23,Principal!$U$42:$U$69,0))),"",IF(INDEX(Principal!$AO$42:$AO$69,MATCH(X$2027&amp;$A23,Principal!$U$42:$U$69,0))&gt;0,INDEX(Principal!$AF$42:$AF$69,MATCH(X$2027&amp;$A23,Principal!$U$42:$U$69,0)),INDEX(PoderesDeCriatura_Adquiridos,MATCH(X$2027&amp;$A23,Principal!$U$42:$U$69,0))))</f>
        <v/>
      </c>
      <c r="Y2051" s="236" t="str">
        <f t="shared" ref="Y2051" si="473">IF(X2051="","",", "&amp;X2051)</f>
        <v/>
      </c>
      <c r="Z2051" s="887" t="str">
        <f>IF(ISNA(INDEX(PoderesDeCriatura_Adquiridos,MATCH(Z$2027&amp;$A23,Principal!$U$42:$U$69,0))),"",IF(INDEX(Principal!$AO$42:$AO$69,MATCH(Z$2027&amp;$A23,Principal!$U$42:$U$69,0))&gt;0,INDEX(Principal!$AF$42:$AF$69,MATCH(Z$2027&amp;$A23,Principal!$U$42:$U$69,0)),INDEX(PoderesDeCriatura_Adquiridos,MATCH(Z$2027&amp;$A23,Principal!$U$42:$U$69,0))))</f>
        <v/>
      </c>
      <c r="AA2051" s="236" t="str">
        <f t="shared" ref="AA2051" si="474">IF(Z2051="","",", "&amp;Z2051)</f>
        <v/>
      </c>
      <c r="AB2051" s="887" t="str">
        <f>IF(ISNA(INDEX(PoderesDeCriatura_Adquiridos,MATCH(AB$2027&amp;$A23,Principal!$U$42:$U$69,0))),"",IF(INDEX(Principal!$AO$42:$AO$69,MATCH(AB$2027&amp;$A23,Principal!$U$42:$U$69,0))&gt;0,INDEX(Principal!$AF$42:$AF$69,MATCH(AB$2027&amp;$A23,Principal!$U$42:$U$69,0)),INDEX(PoderesDeCriatura_Adquiridos,MATCH(AB$2027&amp;$A23,Principal!$U$42:$U$69,0))))</f>
        <v/>
      </c>
      <c r="AC2051" s="236" t="str">
        <f t="shared" ref="AC2051" si="475">IF(AB2051="","",", "&amp;AB2051)</f>
        <v/>
      </c>
      <c r="AD2051" s="887" t="str">
        <f>IF(ISNA(INDEX(PoderesDeCriatura_Adquiridos,MATCH(AD$2027&amp;$A23,Principal!$U$42:$U$69,0))),"",IF(INDEX(Principal!$AO$42:$AO$69,MATCH(AD$2027&amp;$A23,Principal!$U$42:$U$69,0))&gt;0,INDEX(Principal!$AF$42:$AF$69,MATCH(AD$2027&amp;$A23,Principal!$U$42:$U$69,0)),INDEX(PoderesDeCriatura_Adquiridos,MATCH(AD$2027&amp;$A23,Principal!$U$42:$U$69,0))))</f>
        <v/>
      </c>
      <c r="AE2051" s="891" t="str">
        <f t="shared" ref="AE2051" si="476">IF(AD2051="","",", "&amp;AD2051)</f>
        <v/>
      </c>
      <c r="AF2051" s="886" t="str">
        <f>IF(OR(AG2051=0,ISNUMBER(MATCH(AG2051,$AG$2030:$AG2050,0))),"",MAX($AF$2029:AF2050)+1)</f>
        <v/>
      </c>
      <c r="AG2051" s="1365">
        <f>Principal!V63</f>
        <v>0</v>
      </c>
    </row>
    <row r="2052" spans="1:33" ht="12.75" customHeight="1" x14ac:dyDescent="0.2">
      <c r="A2052" s="237">
        <v>2052</v>
      </c>
      <c r="B2052" s="5838"/>
      <c r="C2052" s="914" t="str">
        <f t="shared" si="299"/>
        <v/>
      </c>
      <c r="D2052" s="513" t="str">
        <f t="shared" si="379"/>
        <v/>
      </c>
      <c r="E2052" s="513" t="str">
        <f t="shared" si="380"/>
        <v/>
      </c>
      <c r="F2052" s="880" t="str">
        <f>IF(ISNA(VLOOKUP(MIN($C$2023:$C$2065)+A30-1,$C$2023:$E$2065,3,0)),"",", "&amp;VLOOKUP(MIN($C$2023:$C$2065)+A30-1,$C$2023:$E$2065,3,0))</f>
        <v/>
      </c>
      <c r="G2052" s="5939"/>
      <c r="H2052" s="1429" t="str">
        <f>Combate!AB44</f>
        <v/>
      </c>
      <c r="J2052" s="870" t="str">
        <f>IF(ISNA(VLOOKUP(A25,Principal!$S$42:$AH$69,10,FALSE)),"",IF(VLOOKUP(A25,Principal!$S$42:$AH$69,10,FALSE)=0,"",INDEX(PoderesDeCriatura_Adquiridos,MATCH(A25,Principal!$S$42:$S$69,0))))</f>
        <v/>
      </c>
      <c r="K2052" s="933" t="str">
        <f t="shared" si="304"/>
        <v/>
      </c>
      <c r="L2052" s="887" t="str">
        <f>IF(ISNA(INDEX(PoderesDeCriatura_Adquiridos,MATCH(L$2027&amp;$A24,Principal!$U$42:$U$69,0))),"",IF(INDEX(Principal!$AO$42:$AO$69,MATCH(L$2027&amp;$A24,Principal!$U$42:$U$69,0))&gt;0,INDEX(Principal!$AF$42:$AF$69,MATCH(L$2027&amp;$A24,Principal!$U$42:$U$69,0)),INDEX(PoderesDeCriatura_Adquiridos,MATCH(L$2027&amp;$A24,Principal!$U$42:$U$69,0))))</f>
        <v/>
      </c>
      <c r="M2052" s="236" t="str">
        <f t="shared" si="305"/>
        <v/>
      </c>
      <c r="N2052" s="887" t="str">
        <f>IF(ISNA(INDEX(PoderesDeCriatura_Adquiridos,MATCH(N$2027&amp;$A24,Principal!$U$42:$U$69,0))),"",IF(INDEX(Principal!$AO$42:$AO$69,MATCH(N$2027&amp;$A24,Principal!$U$42:$U$69,0))&gt;0,INDEX(Principal!$AF$42:$AF$69,MATCH(N$2027&amp;$A24,Principal!$U$42:$U$69,0)),INDEX(PoderesDeCriatura_Adquiridos,MATCH(N$2027&amp;$A24,Principal!$U$42:$U$69,0))))</f>
        <v/>
      </c>
      <c r="O2052" s="236" t="str">
        <f t="shared" si="306"/>
        <v/>
      </c>
      <c r="P2052" s="887" t="str">
        <f>IF(ISNA(INDEX(PoderesDeCriatura_Adquiridos,MATCH(P$2027&amp;$A24,Principal!$U$42:$U$69,0))),"",IF(INDEX(Principal!$AO$42:$AO$69,MATCH(P$2027&amp;$A24,Principal!$U$42:$U$69,0))&gt;0,INDEX(Principal!$AF$42:$AF$69,MATCH(P$2027&amp;$A24,Principal!$U$42:$U$69,0)),INDEX(PoderesDeCriatura_Adquiridos,MATCH(P$2027&amp;$A24,Principal!$U$42:$U$69,0))))</f>
        <v/>
      </c>
      <c r="Q2052" s="236" t="str">
        <f t="shared" ref="Q2052" si="477">IF(P2052="","",", "&amp;P2052)</f>
        <v/>
      </c>
      <c r="R2052" s="887" t="str">
        <f>IF(ISNA(INDEX(PoderesDeCriatura_Adquiridos,MATCH(R$2027&amp;$A24,Principal!$U$42:$U$69,0))),"",IF(INDEX(Principal!$AO$42:$AO$69,MATCH(R$2027&amp;$A24,Principal!$U$42:$U$69,0))&gt;0,INDEX(Principal!$AF$42:$AF$69,MATCH(R$2027&amp;$A24,Principal!$U$42:$U$69,0)),INDEX(PoderesDeCriatura_Adquiridos,MATCH(R$2027&amp;$A24,Principal!$U$42:$U$69,0))))</f>
        <v/>
      </c>
      <c r="S2052" s="236" t="str">
        <f t="shared" ref="S2052" si="478">IF(R2052="","",", "&amp;R2052)</f>
        <v/>
      </c>
      <c r="T2052" s="887" t="str">
        <f>IF(ISNA(INDEX(PoderesDeCriatura_Adquiridos,MATCH(T$2027&amp;$A24,Principal!$U$42:$U$69,0))),"",IF(INDEX(Principal!$AO$42:$AO$69,MATCH(T$2027&amp;$A24,Principal!$U$42:$U$69,0))&gt;0,INDEX(Principal!$AF$42:$AF$69,MATCH(T$2027&amp;$A24,Principal!$U$42:$U$69,0)),INDEX(PoderesDeCriatura_Adquiridos,MATCH(T$2027&amp;$A24,Principal!$U$42:$U$69,0))))</f>
        <v/>
      </c>
      <c r="U2052" s="236" t="str">
        <f t="shared" ref="U2052" si="479">IF(T2052="","",", "&amp;T2052)</f>
        <v/>
      </c>
      <c r="V2052" s="887" t="str">
        <f>IF(ISNA(INDEX(PoderesDeCriatura_Adquiridos,MATCH(V$2027&amp;$A24,Principal!$U$42:$U$69,0))),"",IF(INDEX(Principal!$AO$42:$AO$69,MATCH(V$2027&amp;$A24,Principal!$U$42:$U$69,0))&gt;0,INDEX(Principal!$AF$42:$AF$69,MATCH(V$2027&amp;$A24,Principal!$U$42:$U$69,0)),INDEX(PoderesDeCriatura_Adquiridos,MATCH(V$2027&amp;$A24,Principal!$U$42:$U$69,0))))</f>
        <v/>
      </c>
      <c r="W2052" s="236" t="str">
        <f t="shared" ref="W2052" si="480">IF(V2052="","",", "&amp;V2052)</f>
        <v/>
      </c>
      <c r="X2052" s="887" t="str">
        <f>IF(ISNA(INDEX(PoderesDeCriatura_Adquiridos,MATCH(X$2027&amp;$A24,Principal!$U$42:$U$69,0))),"",IF(INDEX(Principal!$AO$42:$AO$69,MATCH(X$2027&amp;$A24,Principal!$U$42:$U$69,0))&gt;0,INDEX(Principal!$AF$42:$AF$69,MATCH(X$2027&amp;$A24,Principal!$U$42:$U$69,0)),INDEX(PoderesDeCriatura_Adquiridos,MATCH(X$2027&amp;$A24,Principal!$U$42:$U$69,0))))</f>
        <v/>
      </c>
      <c r="Y2052" s="236" t="str">
        <f t="shared" ref="Y2052" si="481">IF(X2052="","",", "&amp;X2052)</f>
        <v/>
      </c>
      <c r="Z2052" s="887" t="str">
        <f>IF(ISNA(INDEX(PoderesDeCriatura_Adquiridos,MATCH(Z$2027&amp;$A24,Principal!$U$42:$U$69,0))),"",IF(INDEX(Principal!$AO$42:$AO$69,MATCH(Z$2027&amp;$A24,Principal!$U$42:$U$69,0))&gt;0,INDEX(Principal!$AF$42:$AF$69,MATCH(Z$2027&amp;$A24,Principal!$U$42:$U$69,0)),INDEX(PoderesDeCriatura_Adquiridos,MATCH(Z$2027&amp;$A24,Principal!$U$42:$U$69,0))))</f>
        <v/>
      </c>
      <c r="AA2052" s="236" t="str">
        <f t="shared" ref="AA2052" si="482">IF(Z2052="","",", "&amp;Z2052)</f>
        <v/>
      </c>
      <c r="AB2052" s="887" t="str">
        <f>IF(ISNA(INDEX(PoderesDeCriatura_Adquiridos,MATCH(AB$2027&amp;$A24,Principal!$U$42:$U$69,0))),"",IF(INDEX(Principal!$AO$42:$AO$69,MATCH(AB$2027&amp;$A24,Principal!$U$42:$U$69,0))&gt;0,INDEX(Principal!$AF$42:$AF$69,MATCH(AB$2027&amp;$A24,Principal!$U$42:$U$69,0)),INDEX(PoderesDeCriatura_Adquiridos,MATCH(AB$2027&amp;$A24,Principal!$U$42:$U$69,0))))</f>
        <v/>
      </c>
      <c r="AC2052" s="236" t="str">
        <f t="shared" ref="AC2052" si="483">IF(AB2052="","",", "&amp;AB2052)</f>
        <v/>
      </c>
      <c r="AD2052" s="887" t="str">
        <f>IF(ISNA(INDEX(PoderesDeCriatura_Adquiridos,MATCH(AD$2027&amp;$A24,Principal!$U$42:$U$69,0))),"",IF(INDEX(Principal!$AO$42:$AO$69,MATCH(AD$2027&amp;$A24,Principal!$U$42:$U$69,0))&gt;0,INDEX(Principal!$AF$42:$AF$69,MATCH(AD$2027&amp;$A24,Principal!$U$42:$U$69,0)),INDEX(PoderesDeCriatura_Adquiridos,MATCH(AD$2027&amp;$A24,Principal!$U$42:$U$69,0))))</f>
        <v/>
      </c>
      <c r="AE2052" s="891" t="str">
        <f t="shared" ref="AE2052" si="484">IF(AD2052="","",", "&amp;AD2052)</f>
        <v/>
      </c>
      <c r="AF2052" s="886" t="str">
        <f>IF(OR(AG2052=0,ISNUMBER(MATCH(AG2052,$AG$2030:$AG2051,0))),"",MAX($AF$2029:AF2051)+1)</f>
        <v/>
      </c>
      <c r="AG2052" s="1365">
        <f>Principal!V64</f>
        <v>0</v>
      </c>
    </row>
    <row r="2053" spans="1:33" ht="12.75" customHeight="1" x14ac:dyDescent="0.2">
      <c r="A2053" s="237">
        <v>2053</v>
      </c>
      <c r="B2053" s="5838"/>
      <c r="C2053" s="914" t="str">
        <f t="shared" si="299"/>
        <v/>
      </c>
      <c r="D2053" s="513" t="str">
        <f t="shared" si="379"/>
        <v/>
      </c>
      <c r="E2053" s="513" t="str">
        <f t="shared" si="380"/>
        <v/>
      </c>
      <c r="F2053" s="880" t="str">
        <f>IF(ISNA(VLOOKUP(MIN($C$2023:$C$2065)+A31-1,$C$2023:$E$2065,3,0)),"",", "&amp;VLOOKUP(MIN($C$2023:$C$2065)+A31-1,$C$2023:$E$2065,3,0))</f>
        <v/>
      </c>
      <c r="G2053" s="5939"/>
      <c r="H2053" s="1429" t="str">
        <f>Combate!AB45</f>
        <v/>
      </c>
      <c r="J2053" s="870" t="str">
        <f>IF(ISNA(VLOOKUP(A26,Principal!$S$42:$AH$69,10,FALSE)),"",IF(VLOOKUP(A26,Principal!$S$42:$AH$69,10,FALSE)=0,"",INDEX(PoderesDeCriatura_Adquiridos,MATCH(A26,Principal!$S$42:$S$69,0))))</f>
        <v/>
      </c>
      <c r="K2053" s="933" t="str">
        <f t="shared" si="304"/>
        <v/>
      </c>
      <c r="L2053" s="887" t="str">
        <f>IF(ISNA(INDEX(PoderesDeCriatura_Adquiridos,MATCH(L$2027&amp;$A25,Principal!$U$42:$U$69,0))),"",IF(INDEX(Principal!$AO$42:$AO$69,MATCH(L$2027&amp;$A25,Principal!$U$42:$U$69,0))&gt;0,INDEX(Principal!$AF$42:$AF$69,MATCH(L$2027&amp;$A25,Principal!$U$42:$U$69,0)),INDEX(PoderesDeCriatura_Adquiridos,MATCH(L$2027&amp;$A25,Principal!$U$42:$U$69,0))))</f>
        <v/>
      </c>
      <c r="M2053" s="236" t="str">
        <f t="shared" si="305"/>
        <v/>
      </c>
      <c r="N2053" s="887" t="str">
        <f>IF(ISNA(INDEX(PoderesDeCriatura_Adquiridos,MATCH(N$2027&amp;$A25,Principal!$U$42:$U$69,0))),"",IF(INDEX(Principal!$AO$42:$AO$69,MATCH(N$2027&amp;$A25,Principal!$U$42:$U$69,0))&gt;0,INDEX(Principal!$AF$42:$AF$69,MATCH(N$2027&amp;$A25,Principal!$U$42:$U$69,0)),INDEX(PoderesDeCriatura_Adquiridos,MATCH(N$2027&amp;$A25,Principal!$U$42:$U$69,0))))</f>
        <v/>
      </c>
      <c r="O2053" s="236" t="str">
        <f t="shared" si="306"/>
        <v/>
      </c>
      <c r="P2053" s="887" t="str">
        <f>IF(ISNA(INDEX(PoderesDeCriatura_Adquiridos,MATCH(P$2027&amp;$A25,Principal!$U$42:$U$69,0))),"",IF(INDEX(Principal!$AO$42:$AO$69,MATCH(P$2027&amp;$A25,Principal!$U$42:$U$69,0))&gt;0,INDEX(Principal!$AF$42:$AF$69,MATCH(P$2027&amp;$A25,Principal!$U$42:$U$69,0)),INDEX(PoderesDeCriatura_Adquiridos,MATCH(P$2027&amp;$A25,Principal!$U$42:$U$69,0))))</f>
        <v/>
      </c>
      <c r="Q2053" s="236" t="str">
        <f t="shared" ref="Q2053" si="485">IF(P2053="","",", "&amp;P2053)</f>
        <v/>
      </c>
      <c r="R2053" s="887" t="str">
        <f>IF(ISNA(INDEX(PoderesDeCriatura_Adquiridos,MATCH(R$2027&amp;$A25,Principal!$U$42:$U$69,0))),"",IF(INDEX(Principal!$AO$42:$AO$69,MATCH(R$2027&amp;$A25,Principal!$U$42:$U$69,0))&gt;0,INDEX(Principal!$AF$42:$AF$69,MATCH(R$2027&amp;$A25,Principal!$U$42:$U$69,0)),INDEX(PoderesDeCriatura_Adquiridos,MATCH(R$2027&amp;$A25,Principal!$U$42:$U$69,0))))</f>
        <v/>
      </c>
      <c r="S2053" s="236" t="str">
        <f t="shared" ref="S2053" si="486">IF(R2053="","",", "&amp;R2053)</f>
        <v/>
      </c>
      <c r="T2053" s="887" t="str">
        <f>IF(ISNA(INDEX(PoderesDeCriatura_Adquiridos,MATCH(T$2027&amp;$A25,Principal!$U$42:$U$69,0))),"",IF(INDEX(Principal!$AO$42:$AO$69,MATCH(T$2027&amp;$A25,Principal!$U$42:$U$69,0))&gt;0,INDEX(Principal!$AF$42:$AF$69,MATCH(T$2027&amp;$A25,Principal!$U$42:$U$69,0)),INDEX(PoderesDeCriatura_Adquiridos,MATCH(T$2027&amp;$A25,Principal!$U$42:$U$69,0))))</f>
        <v/>
      </c>
      <c r="U2053" s="236" t="str">
        <f t="shared" ref="U2053" si="487">IF(T2053="","",", "&amp;T2053)</f>
        <v/>
      </c>
      <c r="V2053" s="887" t="str">
        <f>IF(ISNA(INDEX(PoderesDeCriatura_Adquiridos,MATCH(V$2027&amp;$A25,Principal!$U$42:$U$69,0))),"",IF(INDEX(Principal!$AO$42:$AO$69,MATCH(V$2027&amp;$A25,Principal!$U$42:$U$69,0))&gt;0,INDEX(Principal!$AF$42:$AF$69,MATCH(V$2027&amp;$A25,Principal!$U$42:$U$69,0)),INDEX(PoderesDeCriatura_Adquiridos,MATCH(V$2027&amp;$A25,Principal!$U$42:$U$69,0))))</f>
        <v/>
      </c>
      <c r="W2053" s="236" t="str">
        <f t="shared" ref="W2053" si="488">IF(V2053="","",", "&amp;V2053)</f>
        <v/>
      </c>
      <c r="X2053" s="887" t="str">
        <f>IF(ISNA(INDEX(PoderesDeCriatura_Adquiridos,MATCH(X$2027&amp;$A25,Principal!$U$42:$U$69,0))),"",IF(INDEX(Principal!$AO$42:$AO$69,MATCH(X$2027&amp;$A25,Principal!$U$42:$U$69,0))&gt;0,INDEX(Principal!$AF$42:$AF$69,MATCH(X$2027&amp;$A25,Principal!$U$42:$U$69,0)),INDEX(PoderesDeCriatura_Adquiridos,MATCH(X$2027&amp;$A25,Principal!$U$42:$U$69,0))))</f>
        <v/>
      </c>
      <c r="Y2053" s="236" t="str">
        <f t="shared" ref="Y2053" si="489">IF(X2053="","",", "&amp;X2053)</f>
        <v/>
      </c>
      <c r="Z2053" s="887" t="str">
        <f>IF(ISNA(INDEX(PoderesDeCriatura_Adquiridos,MATCH(Z$2027&amp;$A25,Principal!$U$42:$U$69,0))),"",IF(INDEX(Principal!$AO$42:$AO$69,MATCH(Z$2027&amp;$A25,Principal!$U$42:$U$69,0))&gt;0,INDEX(Principal!$AF$42:$AF$69,MATCH(Z$2027&amp;$A25,Principal!$U$42:$U$69,0)),INDEX(PoderesDeCriatura_Adquiridos,MATCH(Z$2027&amp;$A25,Principal!$U$42:$U$69,0))))</f>
        <v/>
      </c>
      <c r="AA2053" s="236" t="str">
        <f t="shared" ref="AA2053" si="490">IF(Z2053="","",", "&amp;Z2053)</f>
        <v/>
      </c>
      <c r="AB2053" s="887" t="str">
        <f>IF(ISNA(INDEX(PoderesDeCriatura_Adquiridos,MATCH(AB$2027&amp;$A25,Principal!$U$42:$U$69,0))),"",IF(INDEX(Principal!$AO$42:$AO$69,MATCH(AB$2027&amp;$A25,Principal!$U$42:$U$69,0))&gt;0,INDEX(Principal!$AF$42:$AF$69,MATCH(AB$2027&amp;$A25,Principal!$U$42:$U$69,0)),INDEX(PoderesDeCriatura_Adquiridos,MATCH(AB$2027&amp;$A25,Principal!$U$42:$U$69,0))))</f>
        <v/>
      </c>
      <c r="AC2053" s="236" t="str">
        <f t="shared" ref="AC2053" si="491">IF(AB2053="","",", "&amp;AB2053)</f>
        <v/>
      </c>
      <c r="AD2053" s="887" t="str">
        <f>IF(ISNA(INDEX(PoderesDeCriatura_Adquiridos,MATCH(AD$2027&amp;$A25,Principal!$U$42:$U$69,0))),"",IF(INDEX(Principal!$AO$42:$AO$69,MATCH(AD$2027&amp;$A25,Principal!$U$42:$U$69,0))&gt;0,INDEX(Principal!$AF$42:$AF$69,MATCH(AD$2027&amp;$A25,Principal!$U$42:$U$69,0)),INDEX(PoderesDeCriatura_Adquiridos,MATCH(AD$2027&amp;$A25,Principal!$U$42:$U$69,0))))</f>
        <v/>
      </c>
      <c r="AE2053" s="891" t="str">
        <f t="shared" ref="AE2053" si="492">IF(AD2053="","",", "&amp;AD2053)</f>
        <v/>
      </c>
      <c r="AF2053" s="886" t="str">
        <f>IF(OR(AG2053=0,ISNUMBER(MATCH(AG2053,$AG$2030:$AG2052,0))),"",MAX($AF$2029:AF2052)+1)</f>
        <v/>
      </c>
      <c r="AG2053" s="1365">
        <f>Principal!V65</f>
        <v>0</v>
      </c>
    </row>
    <row r="2054" spans="1:33" ht="12.75" customHeight="1" x14ac:dyDescent="0.2">
      <c r="A2054" s="237">
        <v>2054</v>
      </c>
      <c r="B2054" s="5838"/>
      <c r="C2054" s="914" t="str">
        <f t="shared" si="299"/>
        <v/>
      </c>
      <c r="D2054" s="513" t="str">
        <f t="shared" si="379"/>
        <v/>
      </c>
      <c r="E2054" s="513" t="str">
        <f t="shared" si="380"/>
        <v/>
      </c>
      <c r="F2054" s="880" t="str">
        <f>IF(ISNA(VLOOKUP(MIN($C$2023:$C$2065)+A32-1,$C$2023:$E$2065,3,0)),"",", "&amp;VLOOKUP(MIN($C$2023:$C$2065)+A32-1,$C$2023:$E$2065,3,0))</f>
        <v/>
      </c>
      <c r="G2054" s="5939"/>
      <c r="H2054" s="1429" t="str">
        <f>Combate!AB46</f>
        <v/>
      </c>
      <c r="J2054" s="870" t="str">
        <f>IF(ISNA(VLOOKUP(A27,Principal!$S$42:$AH$69,10,FALSE)),"",IF(VLOOKUP(A27,Principal!$S$42:$AH$69,10,FALSE)=0,"",INDEX(PoderesDeCriatura_Adquiridos,MATCH(A27,Principal!$S$42:$S$69,0))))</f>
        <v/>
      </c>
      <c r="K2054" s="933" t="str">
        <f t="shared" si="304"/>
        <v/>
      </c>
      <c r="L2054" s="887" t="str">
        <f>IF(ISNA(INDEX(PoderesDeCriatura_Adquiridos,MATCH(L$2027&amp;$A26,Principal!$U$42:$U$69,0))),"",IF(INDEX(Principal!$AO$42:$AO$69,MATCH(L$2027&amp;$A26,Principal!$U$42:$U$69,0))&gt;0,INDEX(Principal!$AF$42:$AF$69,MATCH(L$2027&amp;$A26,Principal!$U$42:$U$69,0)),INDEX(PoderesDeCriatura_Adquiridos,MATCH(L$2027&amp;$A26,Principal!$U$42:$U$69,0))))</f>
        <v/>
      </c>
      <c r="M2054" s="236" t="str">
        <f t="shared" si="305"/>
        <v/>
      </c>
      <c r="N2054" s="887" t="str">
        <f>IF(ISNA(INDEX(PoderesDeCriatura_Adquiridos,MATCH(N$2027&amp;$A26,Principal!$U$42:$U$69,0))),"",IF(INDEX(Principal!$AO$42:$AO$69,MATCH(N$2027&amp;$A26,Principal!$U$42:$U$69,0))&gt;0,INDEX(Principal!$AF$42:$AF$69,MATCH(N$2027&amp;$A26,Principal!$U$42:$U$69,0)),INDEX(PoderesDeCriatura_Adquiridos,MATCH(N$2027&amp;$A26,Principal!$U$42:$U$69,0))))</f>
        <v/>
      </c>
      <c r="O2054" s="236" t="str">
        <f t="shared" si="306"/>
        <v/>
      </c>
      <c r="P2054" s="887" t="str">
        <f>IF(ISNA(INDEX(PoderesDeCriatura_Adquiridos,MATCH(P$2027&amp;$A26,Principal!$U$42:$U$69,0))),"",IF(INDEX(Principal!$AO$42:$AO$69,MATCH(P$2027&amp;$A26,Principal!$U$42:$U$69,0))&gt;0,INDEX(Principal!$AF$42:$AF$69,MATCH(P$2027&amp;$A26,Principal!$U$42:$U$69,0)),INDEX(PoderesDeCriatura_Adquiridos,MATCH(P$2027&amp;$A26,Principal!$U$42:$U$69,0))))</f>
        <v/>
      </c>
      <c r="Q2054" s="236" t="str">
        <f t="shared" ref="Q2054" si="493">IF(P2054="","",", "&amp;P2054)</f>
        <v/>
      </c>
      <c r="R2054" s="887" t="str">
        <f>IF(ISNA(INDEX(PoderesDeCriatura_Adquiridos,MATCH(R$2027&amp;$A26,Principal!$U$42:$U$69,0))),"",IF(INDEX(Principal!$AO$42:$AO$69,MATCH(R$2027&amp;$A26,Principal!$U$42:$U$69,0))&gt;0,INDEX(Principal!$AF$42:$AF$69,MATCH(R$2027&amp;$A26,Principal!$U$42:$U$69,0)),INDEX(PoderesDeCriatura_Adquiridos,MATCH(R$2027&amp;$A26,Principal!$U$42:$U$69,0))))</f>
        <v/>
      </c>
      <c r="S2054" s="236" t="str">
        <f t="shared" ref="S2054" si="494">IF(R2054="","",", "&amp;R2054)</f>
        <v/>
      </c>
      <c r="T2054" s="887" t="str">
        <f>IF(ISNA(INDEX(PoderesDeCriatura_Adquiridos,MATCH(T$2027&amp;$A26,Principal!$U$42:$U$69,0))),"",IF(INDEX(Principal!$AO$42:$AO$69,MATCH(T$2027&amp;$A26,Principal!$U$42:$U$69,0))&gt;0,INDEX(Principal!$AF$42:$AF$69,MATCH(T$2027&amp;$A26,Principal!$U$42:$U$69,0)),INDEX(PoderesDeCriatura_Adquiridos,MATCH(T$2027&amp;$A26,Principal!$U$42:$U$69,0))))</f>
        <v/>
      </c>
      <c r="U2054" s="236" t="str">
        <f t="shared" ref="U2054" si="495">IF(T2054="","",", "&amp;T2054)</f>
        <v/>
      </c>
      <c r="V2054" s="887" t="str">
        <f>IF(ISNA(INDEX(PoderesDeCriatura_Adquiridos,MATCH(V$2027&amp;$A26,Principal!$U$42:$U$69,0))),"",IF(INDEX(Principal!$AO$42:$AO$69,MATCH(V$2027&amp;$A26,Principal!$U$42:$U$69,0))&gt;0,INDEX(Principal!$AF$42:$AF$69,MATCH(V$2027&amp;$A26,Principal!$U$42:$U$69,0)),INDEX(PoderesDeCriatura_Adquiridos,MATCH(V$2027&amp;$A26,Principal!$U$42:$U$69,0))))</f>
        <v/>
      </c>
      <c r="W2054" s="236" t="str">
        <f t="shared" ref="W2054" si="496">IF(V2054="","",", "&amp;V2054)</f>
        <v/>
      </c>
      <c r="X2054" s="887" t="str">
        <f>IF(ISNA(INDEX(PoderesDeCriatura_Adquiridos,MATCH(X$2027&amp;$A26,Principal!$U$42:$U$69,0))),"",IF(INDEX(Principal!$AO$42:$AO$69,MATCH(X$2027&amp;$A26,Principal!$U$42:$U$69,0))&gt;0,INDEX(Principal!$AF$42:$AF$69,MATCH(X$2027&amp;$A26,Principal!$U$42:$U$69,0)),INDEX(PoderesDeCriatura_Adquiridos,MATCH(X$2027&amp;$A26,Principal!$U$42:$U$69,0))))</f>
        <v/>
      </c>
      <c r="Y2054" s="236" t="str">
        <f t="shared" ref="Y2054" si="497">IF(X2054="","",", "&amp;X2054)</f>
        <v/>
      </c>
      <c r="Z2054" s="887" t="str">
        <f>IF(ISNA(INDEX(PoderesDeCriatura_Adquiridos,MATCH(Z$2027&amp;$A26,Principal!$U$42:$U$69,0))),"",IF(INDEX(Principal!$AO$42:$AO$69,MATCH(Z$2027&amp;$A26,Principal!$U$42:$U$69,0))&gt;0,INDEX(Principal!$AF$42:$AF$69,MATCH(Z$2027&amp;$A26,Principal!$U$42:$U$69,0)),INDEX(PoderesDeCriatura_Adquiridos,MATCH(Z$2027&amp;$A26,Principal!$U$42:$U$69,0))))</f>
        <v/>
      </c>
      <c r="AA2054" s="236" t="str">
        <f t="shared" ref="AA2054" si="498">IF(Z2054="","",", "&amp;Z2054)</f>
        <v/>
      </c>
      <c r="AB2054" s="887" t="str">
        <f>IF(ISNA(INDEX(PoderesDeCriatura_Adquiridos,MATCH(AB$2027&amp;$A26,Principal!$U$42:$U$69,0))),"",IF(INDEX(Principal!$AO$42:$AO$69,MATCH(AB$2027&amp;$A26,Principal!$U$42:$U$69,0))&gt;0,INDEX(Principal!$AF$42:$AF$69,MATCH(AB$2027&amp;$A26,Principal!$U$42:$U$69,0)),INDEX(PoderesDeCriatura_Adquiridos,MATCH(AB$2027&amp;$A26,Principal!$U$42:$U$69,0))))</f>
        <v/>
      </c>
      <c r="AC2054" s="236" t="str">
        <f t="shared" ref="AC2054" si="499">IF(AB2054="","",", "&amp;AB2054)</f>
        <v/>
      </c>
      <c r="AD2054" s="887" t="str">
        <f>IF(ISNA(INDEX(PoderesDeCriatura_Adquiridos,MATCH(AD$2027&amp;$A26,Principal!$U$42:$U$69,0))),"",IF(INDEX(Principal!$AO$42:$AO$69,MATCH(AD$2027&amp;$A26,Principal!$U$42:$U$69,0))&gt;0,INDEX(Principal!$AF$42:$AF$69,MATCH(AD$2027&amp;$A26,Principal!$U$42:$U$69,0)),INDEX(PoderesDeCriatura_Adquiridos,MATCH(AD$2027&amp;$A26,Principal!$U$42:$U$69,0))))</f>
        <v/>
      </c>
      <c r="AE2054" s="891" t="str">
        <f t="shared" ref="AE2054" si="500">IF(AD2054="","",", "&amp;AD2054)</f>
        <v/>
      </c>
      <c r="AF2054" s="886" t="str">
        <f>IF(OR(AG2054=0,ISNUMBER(MATCH(AG2054,$AG$2030:$AG2053,0))),"",MAX($AF$2029:AF2053)+1)</f>
        <v/>
      </c>
      <c r="AG2054" s="1365">
        <f>Principal!V66</f>
        <v>0</v>
      </c>
    </row>
    <row r="2055" spans="1:33" ht="12.75" customHeight="1" x14ac:dyDescent="0.2">
      <c r="A2055" s="237">
        <v>2055</v>
      </c>
      <c r="B2055" s="5838"/>
      <c r="C2055" s="914" t="str">
        <f t="shared" si="299"/>
        <v/>
      </c>
      <c r="D2055" s="513" t="str">
        <f t="shared" si="379"/>
        <v/>
      </c>
      <c r="E2055" s="513" t="str">
        <f t="shared" si="380"/>
        <v/>
      </c>
      <c r="F2055" s="880" t="str">
        <f>IF(ISNA(VLOOKUP(MIN($C$2023:$C$2065)+A33-1,$C$2023:$E$2065,3,0)),"",", "&amp;VLOOKUP(MIN($C$2023:$C$2065)+A33-1,$C$2023:$E$2065,3,0))</f>
        <v/>
      </c>
      <c r="G2055" s="5939"/>
      <c r="H2055" s="1429" t="str">
        <f>Combate!AB47</f>
        <v/>
      </c>
      <c r="J2055" s="870" t="str">
        <f>IF(ISNA(VLOOKUP(A28,Principal!$S$42:$AH$69,10,FALSE)),"",IF(VLOOKUP(A28,Principal!$S$42:$AH$69,10,FALSE)=0,"",INDEX(PoderesDeCriatura_Adquiridos,MATCH(A28,Principal!$S$42:$S$69,0))))</f>
        <v/>
      </c>
      <c r="K2055" s="933" t="str">
        <f t="shared" si="304"/>
        <v/>
      </c>
      <c r="L2055" s="887" t="str">
        <f>IF(ISNA(INDEX(PoderesDeCriatura_Adquiridos,MATCH(L$2027&amp;$A27,Principal!$U$42:$U$69,0))),"",IF(INDEX(Principal!$AO$42:$AO$69,MATCH(L$2027&amp;$A27,Principal!$U$42:$U$69,0))&gt;0,INDEX(Principal!$AF$42:$AF$69,MATCH(L$2027&amp;$A27,Principal!$U$42:$U$69,0)),INDEX(PoderesDeCriatura_Adquiridos,MATCH(L$2027&amp;$A27,Principal!$U$42:$U$69,0))))</f>
        <v/>
      </c>
      <c r="M2055" s="236" t="str">
        <f t="shared" si="305"/>
        <v/>
      </c>
      <c r="N2055" s="887" t="str">
        <f>IF(ISNA(INDEX(PoderesDeCriatura_Adquiridos,MATCH(N$2027&amp;$A27,Principal!$U$42:$U$69,0))),"",IF(INDEX(Principal!$AO$42:$AO$69,MATCH(N$2027&amp;$A27,Principal!$U$42:$U$69,0))&gt;0,INDEX(Principal!$AF$42:$AF$69,MATCH(N$2027&amp;$A27,Principal!$U$42:$U$69,0)),INDEX(PoderesDeCriatura_Adquiridos,MATCH(N$2027&amp;$A27,Principal!$U$42:$U$69,0))))</f>
        <v/>
      </c>
      <c r="O2055" s="236" t="str">
        <f t="shared" si="306"/>
        <v/>
      </c>
      <c r="P2055" s="887" t="str">
        <f>IF(ISNA(INDEX(PoderesDeCriatura_Adquiridos,MATCH(P$2027&amp;$A27,Principal!$U$42:$U$69,0))),"",IF(INDEX(Principal!$AO$42:$AO$69,MATCH(P$2027&amp;$A27,Principal!$U$42:$U$69,0))&gt;0,INDEX(Principal!$AF$42:$AF$69,MATCH(P$2027&amp;$A27,Principal!$U$42:$U$69,0)),INDEX(PoderesDeCriatura_Adquiridos,MATCH(P$2027&amp;$A27,Principal!$U$42:$U$69,0))))</f>
        <v/>
      </c>
      <c r="Q2055" s="236" t="str">
        <f t="shared" ref="Q2055" si="501">IF(P2055="","",", "&amp;P2055)</f>
        <v/>
      </c>
      <c r="R2055" s="887" t="str">
        <f>IF(ISNA(INDEX(PoderesDeCriatura_Adquiridos,MATCH(R$2027&amp;$A27,Principal!$U$42:$U$69,0))),"",IF(INDEX(Principal!$AO$42:$AO$69,MATCH(R$2027&amp;$A27,Principal!$U$42:$U$69,0))&gt;0,INDEX(Principal!$AF$42:$AF$69,MATCH(R$2027&amp;$A27,Principal!$U$42:$U$69,0)),INDEX(PoderesDeCriatura_Adquiridos,MATCH(R$2027&amp;$A27,Principal!$U$42:$U$69,0))))</f>
        <v/>
      </c>
      <c r="S2055" s="236" t="str">
        <f t="shared" ref="S2055" si="502">IF(R2055="","",", "&amp;R2055)</f>
        <v/>
      </c>
      <c r="T2055" s="887" t="str">
        <f>IF(ISNA(INDEX(PoderesDeCriatura_Adquiridos,MATCH(T$2027&amp;$A27,Principal!$U$42:$U$69,0))),"",IF(INDEX(Principal!$AO$42:$AO$69,MATCH(T$2027&amp;$A27,Principal!$U$42:$U$69,0))&gt;0,INDEX(Principal!$AF$42:$AF$69,MATCH(T$2027&amp;$A27,Principal!$U$42:$U$69,0)),INDEX(PoderesDeCriatura_Adquiridos,MATCH(T$2027&amp;$A27,Principal!$U$42:$U$69,0))))</f>
        <v/>
      </c>
      <c r="U2055" s="236" t="str">
        <f t="shared" ref="U2055" si="503">IF(T2055="","",", "&amp;T2055)</f>
        <v/>
      </c>
      <c r="V2055" s="887" t="str">
        <f>IF(ISNA(INDEX(PoderesDeCriatura_Adquiridos,MATCH(V$2027&amp;$A27,Principal!$U$42:$U$69,0))),"",IF(INDEX(Principal!$AO$42:$AO$69,MATCH(V$2027&amp;$A27,Principal!$U$42:$U$69,0))&gt;0,INDEX(Principal!$AF$42:$AF$69,MATCH(V$2027&amp;$A27,Principal!$U$42:$U$69,0)),INDEX(PoderesDeCriatura_Adquiridos,MATCH(V$2027&amp;$A27,Principal!$U$42:$U$69,0))))</f>
        <v/>
      </c>
      <c r="W2055" s="236" t="str">
        <f t="shared" ref="W2055" si="504">IF(V2055="","",", "&amp;V2055)</f>
        <v/>
      </c>
      <c r="X2055" s="887" t="str">
        <f>IF(ISNA(INDEX(PoderesDeCriatura_Adquiridos,MATCH(X$2027&amp;$A27,Principal!$U$42:$U$69,0))),"",IF(INDEX(Principal!$AO$42:$AO$69,MATCH(X$2027&amp;$A27,Principal!$U$42:$U$69,0))&gt;0,INDEX(Principal!$AF$42:$AF$69,MATCH(X$2027&amp;$A27,Principal!$U$42:$U$69,0)),INDEX(PoderesDeCriatura_Adquiridos,MATCH(X$2027&amp;$A27,Principal!$U$42:$U$69,0))))</f>
        <v/>
      </c>
      <c r="Y2055" s="236" t="str">
        <f t="shared" ref="Y2055" si="505">IF(X2055="","",", "&amp;X2055)</f>
        <v/>
      </c>
      <c r="Z2055" s="887" t="str">
        <f>IF(ISNA(INDEX(PoderesDeCriatura_Adquiridos,MATCH(Z$2027&amp;$A27,Principal!$U$42:$U$69,0))),"",IF(INDEX(Principal!$AO$42:$AO$69,MATCH(Z$2027&amp;$A27,Principal!$U$42:$U$69,0))&gt;0,INDEX(Principal!$AF$42:$AF$69,MATCH(Z$2027&amp;$A27,Principal!$U$42:$U$69,0)),INDEX(PoderesDeCriatura_Adquiridos,MATCH(Z$2027&amp;$A27,Principal!$U$42:$U$69,0))))</f>
        <v/>
      </c>
      <c r="AA2055" s="236" t="str">
        <f t="shared" ref="AA2055" si="506">IF(Z2055="","",", "&amp;Z2055)</f>
        <v/>
      </c>
      <c r="AB2055" s="887" t="str">
        <f>IF(ISNA(INDEX(PoderesDeCriatura_Adquiridos,MATCH(AB$2027&amp;$A27,Principal!$U$42:$U$69,0))),"",IF(INDEX(Principal!$AO$42:$AO$69,MATCH(AB$2027&amp;$A27,Principal!$U$42:$U$69,0))&gt;0,INDEX(Principal!$AF$42:$AF$69,MATCH(AB$2027&amp;$A27,Principal!$U$42:$U$69,0)),INDEX(PoderesDeCriatura_Adquiridos,MATCH(AB$2027&amp;$A27,Principal!$U$42:$U$69,0))))</f>
        <v/>
      </c>
      <c r="AC2055" s="236" t="str">
        <f t="shared" ref="AC2055" si="507">IF(AB2055="","",", "&amp;AB2055)</f>
        <v/>
      </c>
      <c r="AD2055" s="887" t="str">
        <f>IF(ISNA(INDEX(PoderesDeCriatura_Adquiridos,MATCH(AD$2027&amp;$A27,Principal!$U$42:$U$69,0))),"",IF(INDEX(Principal!$AO$42:$AO$69,MATCH(AD$2027&amp;$A27,Principal!$U$42:$U$69,0))&gt;0,INDEX(Principal!$AF$42:$AF$69,MATCH(AD$2027&amp;$A27,Principal!$U$42:$U$69,0)),INDEX(PoderesDeCriatura_Adquiridos,MATCH(AD$2027&amp;$A27,Principal!$U$42:$U$69,0))))</f>
        <v/>
      </c>
      <c r="AE2055" s="891" t="str">
        <f t="shared" ref="AE2055" si="508">IF(AD2055="","",", "&amp;AD2055)</f>
        <v/>
      </c>
      <c r="AF2055" s="886" t="str">
        <f>IF(OR(AG2055=0,ISNUMBER(MATCH(AG2055,$AG$2030:$AG2054,0))),"",MAX($AF$2029:AF2054)+1)</f>
        <v/>
      </c>
      <c r="AG2055" s="1365">
        <f>Principal!V67</f>
        <v>0</v>
      </c>
    </row>
    <row r="2056" spans="1:33" ht="12.75" customHeight="1" x14ac:dyDescent="0.2">
      <c r="A2056" s="237">
        <v>2056</v>
      </c>
      <c r="B2056" s="5838"/>
      <c r="C2056" s="914" t="str">
        <f t="shared" si="299"/>
        <v/>
      </c>
      <c r="D2056" s="513" t="str">
        <f t="shared" si="379"/>
        <v/>
      </c>
      <c r="E2056" s="513" t="str">
        <f t="shared" si="380"/>
        <v/>
      </c>
      <c r="F2056" s="880" t="str">
        <f>IF(ISNA(VLOOKUP(MIN($C$2023:$C$2065)+A34-1,$C$2023:$E$2065,3,0)),"",", "&amp;VLOOKUP(MIN($C$2023:$C$2065)+A34-1,$C$2023:$E$2065,3,0))</f>
        <v/>
      </c>
      <c r="G2056" s="5939"/>
      <c r="H2056" s="1429" t="str">
        <f>Combate!AB48</f>
        <v/>
      </c>
      <c r="J2056" s="870" t="str">
        <f>IF(ISNA(VLOOKUP(A29,Principal!$S$42:$AH$69,10,FALSE)),"",IF(VLOOKUP(A29,Principal!$S$42:$AH$69,10,FALSE)=0,"",INDEX(PoderesDeCriatura_Adquiridos,MATCH(A29,Principal!$S$42:$S$69,0))))</f>
        <v/>
      </c>
      <c r="K2056" s="933" t="str">
        <f t="shared" si="304"/>
        <v/>
      </c>
      <c r="L2056" s="887" t="str">
        <f>IF(ISNA(INDEX(PoderesDeCriatura_Adquiridos,MATCH(L$2027&amp;$A28,Principal!$U$42:$U$69,0))),"",IF(INDEX(Principal!$AO$42:$AO$69,MATCH(L$2027&amp;$A28,Principal!$U$42:$U$69,0))&gt;0,INDEX(Principal!$AF$42:$AF$69,MATCH(L$2027&amp;$A28,Principal!$U$42:$U$69,0)),INDEX(PoderesDeCriatura_Adquiridos,MATCH(L$2027&amp;$A28,Principal!$U$42:$U$69,0))))</f>
        <v/>
      </c>
      <c r="M2056" s="236" t="str">
        <f t="shared" si="305"/>
        <v/>
      </c>
      <c r="N2056" s="887" t="str">
        <f>IF(ISNA(INDEX(PoderesDeCriatura_Adquiridos,MATCH(N$2027&amp;$A28,Principal!$U$42:$U$69,0))),"",IF(INDEX(Principal!$AO$42:$AO$69,MATCH(N$2027&amp;$A28,Principal!$U$42:$U$69,0))&gt;0,INDEX(Principal!$AF$42:$AF$69,MATCH(N$2027&amp;$A28,Principal!$U$42:$U$69,0)),INDEX(PoderesDeCriatura_Adquiridos,MATCH(N$2027&amp;$A28,Principal!$U$42:$U$69,0))))</f>
        <v/>
      </c>
      <c r="O2056" s="236" t="str">
        <f t="shared" si="306"/>
        <v/>
      </c>
      <c r="P2056" s="887" t="str">
        <f>IF(ISNA(INDEX(PoderesDeCriatura_Adquiridos,MATCH(P$2027&amp;$A28,Principal!$U$42:$U$69,0))),"",IF(INDEX(Principal!$AO$42:$AO$69,MATCH(P$2027&amp;$A28,Principal!$U$42:$U$69,0))&gt;0,INDEX(Principal!$AF$42:$AF$69,MATCH(P$2027&amp;$A28,Principal!$U$42:$U$69,0)),INDEX(PoderesDeCriatura_Adquiridos,MATCH(P$2027&amp;$A28,Principal!$U$42:$U$69,0))))</f>
        <v/>
      </c>
      <c r="Q2056" s="236" t="str">
        <f t="shared" ref="Q2056" si="509">IF(P2056="","",", "&amp;P2056)</f>
        <v/>
      </c>
      <c r="R2056" s="887" t="str">
        <f>IF(ISNA(INDEX(PoderesDeCriatura_Adquiridos,MATCH(R$2027&amp;$A28,Principal!$U$42:$U$69,0))),"",IF(INDEX(Principal!$AO$42:$AO$69,MATCH(R$2027&amp;$A28,Principal!$U$42:$U$69,0))&gt;0,INDEX(Principal!$AF$42:$AF$69,MATCH(R$2027&amp;$A28,Principal!$U$42:$U$69,0)),INDEX(PoderesDeCriatura_Adquiridos,MATCH(R$2027&amp;$A28,Principal!$U$42:$U$69,0))))</f>
        <v/>
      </c>
      <c r="S2056" s="236" t="str">
        <f t="shared" ref="S2056" si="510">IF(R2056="","",", "&amp;R2056)</f>
        <v/>
      </c>
      <c r="T2056" s="887" t="str">
        <f>IF(ISNA(INDEX(PoderesDeCriatura_Adquiridos,MATCH(T$2027&amp;$A28,Principal!$U$42:$U$69,0))),"",IF(INDEX(Principal!$AO$42:$AO$69,MATCH(T$2027&amp;$A28,Principal!$U$42:$U$69,0))&gt;0,INDEX(Principal!$AF$42:$AF$69,MATCH(T$2027&amp;$A28,Principal!$U$42:$U$69,0)),INDEX(PoderesDeCriatura_Adquiridos,MATCH(T$2027&amp;$A28,Principal!$U$42:$U$69,0))))</f>
        <v/>
      </c>
      <c r="U2056" s="236" t="str">
        <f t="shared" ref="U2056" si="511">IF(T2056="","",", "&amp;T2056)</f>
        <v/>
      </c>
      <c r="V2056" s="887" t="str">
        <f>IF(ISNA(INDEX(PoderesDeCriatura_Adquiridos,MATCH(V$2027&amp;$A28,Principal!$U$42:$U$69,0))),"",IF(INDEX(Principal!$AO$42:$AO$69,MATCH(V$2027&amp;$A28,Principal!$U$42:$U$69,0))&gt;0,INDEX(Principal!$AF$42:$AF$69,MATCH(V$2027&amp;$A28,Principal!$U$42:$U$69,0)),INDEX(PoderesDeCriatura_Adquiridos,MATCH(V$2027&amp;$A28,Principal!$U$42:$U$69,0))))</f>
        <v/>
      </c>
      <c r="W2056" s="236" t="str">
        <f t="shared" ref="W2056" si="512">IF(V2056="","",", "&amp;V2056)</f>
        <v/>
      </c>
      <c r="X2056" s="887" t="str">
        <f>IF(ISNA(INDEX(PoderesDeCriatura_Adquiridos,MATCH(X$2027&amp;$A28,Principal!$U$42:$U$69,0))),"",IF(INDEX(Principal!$AO$42:$AO$69,MATCH(X$2027&amp;$A28,Principal!$U$42:$U$69,0))&gt;0,INDEX(Principal!$AF$42:$AF$69,MATCH(X$2027&amp;$A28,Principal!$U$42:$U$69,0)),INDEX(PoderesDeCriatura_Adquiridos,MATCH(X$2027&amp;$A28,Principal!$U$42:$U$69,0))))</f>
        <v/>
      </c>
      <c r="Y2056" s="236" t="str">
        <f t="shared" ref="Y2056" si="513">IF(X2056="","",", "&amp;X2056)</f>
        <v/>
      </c>
      <c r="Z2056" s="887" t="str">
        <f>IF(ISNA(INDEX(PoderesDeCriatura_Adquiridos,MATCH(Z$2027&amp;$A28,Principal!$U$42:$U$69,0))),"",IF(INDEX(Principal!$AO$42:$AO$69,MATCH(Z$2027&amp;$A28,Principal!$U$42:$U$69,0))&gt;0,INDEX(Principal!$AF$42:$AF$69,MATCH(Z$2027&amp;$A28,Principal!$U$42:$U$69,0)),INDEX(PoderesDeCriatura_Adquiridos,MATCH(Z$2027&amp;$A28,Principal!$U$42:$U$69,0))))</f>
        <v/>
      </c>
      <c r="AA2056" s="236" t="str">
        <f t="shared" ref="AA2056" si="514">IF(Z2056="","",", "&amp;Z2056)</f>
        <v/>
      </c>
      <c r="AB2056" s="887" t="str">
        <f>IF(ISNA(INDEX(PoderesDeCriatura_Adquiridos,MATCH(AB$2027&amp;$A28,Principal!$U$42:$U$69,0))),"",IF(INDEX(Principal!$AO$42:$AO$69,MATCH(AB$2027&amp;$A28,Principal!$U$42:$U$69,0))&gt;0,INDEX(Principal!$AF$42:$AF$69,MATCH(AB$2027&amp;$A28,Principal!$U$42:$U$69,0)),INDEX(PoderesDeCriatura_Adquiridos,MATCH(AB$2027&amp;$A28,Principal!$U$42:$U$69,0))))</f>
        <v/>
      </c>
      <c r="AC2056" s="236" t="str">
        <f t="shared" ref="AC2056" si="515">IF(AB2056="","",", "&amp;AB2056)</f>
        <v/>
      </c>
      <c r="AD2056" s="887" t="str">
        <f>IF(ISNA(INDEX(PoderesDeCriatura_Adquiridos,MATCH(AD$2027&amp;$A28,Principal!$U$42:$U$69,0))),"",IF(INDEX(Principal!$AO$42:$AO$69,MATCH(AD$2027&amp;$A28,Principal!$U$42:$U$69,0))&gt;0,INDEX(Principal!$AF$42:$AF$69,MATCH(AD$2027&amp;$A28,Principal!$U$42:$U$69,0)),INDEX(PoderesDeCriatura_Adquiridos,MATCH(AD$2027&amp;$A28,Principal!$U$42:$U$69,0))))</f>
        <v/>
      </c>
      <c r="AE2056" s="891" t="str">
        <f t="shared" ref="AE2056" si="516">IF(AD2056="","",", "&amp;AD2056)</f>
        <v/>
      </c>
      <c r="AF2056" s="886" t="str">
        <f>IF(OR(AG2056=0,ISNUMBER(MATCH(AG2056,$AG$2030:$AG2055,0))),"",MAX($AF$2029:AF2055)+1)</f>
        <v/>
      </c>
      <c r="AG2056" s="1365">
        <f>Principal!V68</f>
        <v>0</v>
      </c>
    </row>
    <row r="2057" spans="1:33" ht="12.75" customHeight="1" x14ac:dyDescent="0.2">
      <c r="A2057" s="237">
        <v>2057</v>
      </c>
      <c r="B2057" s="5838"/>
      <c r="C2057" s="914" t="str">
        <f t="shared" si="299"/>
        <v/>
      </c>
      <c r="D2057" s="513" t="str">
        <f t="shared" si="379"/>
        <v/>
      </c>
      <c r="E2057" s="513" t="str">
        <f t="shared" si="380"/>
        <v/>
      </c>
      <c r="F2057" s="880" t="str">
        <f>IF(ISNA(VLOOKUP(MIN($C$2023:$C$2065)+A35-1,$C$2023:$E$2065,3,0)),"",", "&amp;VLOOKUP(MIN($C$2023:$C$2065)+A35-1,$C$2023:$E$2065,3,0))</f>
        <v/>
      </c>
      <c r="G2057" s="5939"/>
      <c r="H2057" s="1430" t="str">
        <f>Combate!AB49</f>
        <v/>
      </c>
      <c r="J2057" s="870" t="str">
        <f>IF(ISNA(VLOOKUP(A30,Principal!$S$42:$AH$69,10,FALSE)),"",IF(VLOOKUP(A30,Principal!$S$42:$AH$69,10,FALSE)=0,"",INDEX(PoderesDeCriatura_Adquiridos,MATCH(A30,Principal!$S$42:$S$69,0))))</f>
        <v/>
      </c>
      <c r="K2057" s="1105" t="str">
        <f t="shared" si="304"/>
        <v/>
      </c>
      <c r="L2057" s="887" t="str">
        <f>IF(ISNA(INDEX(PoderesDeCriatura_Adquiridos,MATCH(L$2027&amp;$A29,Principal!$U$42:$U$69,0))),"",IF(INDEX(Principal!$AO$42:$AO$69,MATCH(L$2027&amp;$A29,Principal!$U$42:$U$69,0))&gt;0,INDEX(Principal!$AF$42:$AF$69,MATCH(L$2027&amp;$A29,Principal!$U$42:$U$69,0)),INDEX(PoderesDeCriatura_Adquiridos,MATCH(L$2027&amp;$A29,Principal!$U$42:$U$69,0))))</f>
        <v/>
      </c>
      <c r="M2057" s="236" t="str">
        <f t="shared" si="305"/>
        <v/>
      </c>
      <c r="N2057" s="887" t="str">
        <f>IF(ISNA(INDEX(PoderesDeCriatura_Adquiridos,MATCH(N$2027&amp;$A29,Principal!$U$42:$U$69,0))),"",IF(INDEX(Principal!$AO$42:$AO$69,MATCH(N$2027&amp;$A29,Principal!$U$42:$U$69,0))&gt;0,INDEX(Principal!$AF$42:$AF$69,MATCH(N$2027&amp;$A29,Principal!$U$42:$U$69,0)),INDEX(PoderesDeCriatura_Adquiridos,MATCH(N$2027&amp;$A29,Principal!$U$42:$U$69,0))))</f>
        <v/>
      </c>
      <c r="O2057" s="236" t="str">
        <f t="shared" si="306"/>
        <v/>
      </c>
      <c r="P2057" s="887" t="str">
        <f>IF(ISNA(INDEX(PoderesDeCriatura_Adquiridos,MATCH(P$2027&amp;$A29,Principal!$U$42:$U$69,0))),"",IF(INDEX(Principal!$AO$42:$AO$69,MATCH(P$2027&amp;$A29,Principal!$U$42:$U$69,0))&gt;0,INDEX(Principal!$AF$42:$AF$69,MATCH(P$2027&amp;$A29,Principal!$U$42:$U$69,0)),INDEX(PoderesDeCriatura_Adquiridos,MATCH(P$2027&amp;$A29,Principal!$U$42:$U$69,0))))</f>
        <v/>
      </c>
      <c r="Q2057" s="236" t="str">
        <f t="shared" ref="Q2057" si="517">IF(P2057="","",", "&amp;P2057)</f>
        <v/>
      </c>
      <c r="R2057" s="887" t="str">
        <f>IF(ISNA(INDEX(PoderesDeCriatura_Adquiridos,MATCH(R$2027&amp;$A29,Principal!$U$42:$U$69,0))),"",IF(INDEX(Principal!$AO$42:$AO$69,MATCH(R$2027&amp;$A29,Principal!$U$42:$U$69,0))&gt;0,INDEX(Principal!$AF$42:$AF$69,MATCH(R$2027&amp;$A29,Principal!$U$42:$U$69,0)),INDEX(PoderesDeCriatura_Adquiridos,MATCH(R$2027&amp;$A29,Principal!$U$42:$U$69,0))))</f>
        <v/>
      </c>
      <c r="S2057" s="236" t="str">
        <f t="shared" ref="S2057" si="518">IF(R2057="","",", "&amp;R2057)</f>
        <v/>
      </c>
      <c r="T2057" s="887" t="str">
        <f>IF(ISNA(INDEX(PoderesDeCriatura_Adquiridos,MATCH(T$2027&amp;$A29,Principal!$U$42:$U$69,0))),"",IF(INDEX(Principal!$AO$42:$AO$69,MATCH(T$2027&amp;$A29,Principal!$U$42:$U$69,0))&gt;0,INDEX(Principal!$AF$42:$AF$69,MATCH(T$2027&amp;$A29,Principal!$U$42:$U$69,0)),INDEX(PoderesDeCriatura_Adquiridos,MATCH(T$2027&amp;$A29,Principal!$U$42:$U$69,0))))</f>
        <v/>
      </c>
      <c r="U2057" s="236" t="str">
        <f t="shared" ref="U2057" si="519">IF(T2057="","",", "&amp;T2057)</f>
        <v/>
      </c>
      <c r="V2057" s="887" t="str">
        <f>IF(ISNA(INDEX(PoderesDeCriatura_Adquiridos,MATCH(V$2027&amp;$A29,Principal!$U$42:$U$69,0))),"",IF(INDEX(Principal!$AO$42:$AO$69,MATCH(V$2027&amp;$A29,Principal!$U$42:$U$69,0))&gt;0,INDEX(Principal!$AF$42:$AF$69,MATCH(V$2027&amp;$A29,Principal!$U$42:$U$69,0)),INDEX(PoderesDeCriatura_Adquiridos,MATCH(V$2027&amp;$A29,Principal!$U$42:$U$69,0))))</f>
        <v/>
      </c>
      <c r="W2057" s="236" t="str">
        <f t="shared" ref="W2057" si="520">IF(V2057="","",", "&amp;V2057)</f>
        <v/>
      </c>
      <c r="X2057" s="887" t="str">
        <f>IF(ISNA(INDEX(PoderesDeCriatura_Adquiridos,MATCH(X$2027&amp;$A29,Principal!$U$42:$U$69,0))),"",IF(INDEX(Principal!$AO$42:$AO$69,MATCH(X$2027&amp;$A29,Principal!$U$42:$U$69,0))&gt;0,INDEX(Principal!$AF$42:$AF$69,MATCH(X$2027&amp;$A29,Principal!$U$42:$U$69,0)),INDEX(PoderesDeCriatura_Adquiridos,MATCH(X$2027&amp;$A29,Principal!$U$42:$U$69,0))))</f>
        <v/>
      </c>
      <c r="Y2057" s="236" t="str">
        <f t="shared" ref="Y2057" si="521">IF(X2057="","",", "&amp;X2057)</f>
        <v/>
      </c>
      <c r="Z2057" s="887" t="str">
        <f>IF(ISNA(INDEX(PoderesDeCriatura_Adquiridos,MATCH(Z$2027&amp;$A29,Principal!$U$42:$U$69,0))),"",IF(INDEX(Principal!$AO$42:$AO$69,MATCH(Z$2027&amp;$A29,Principal!$U$42:$U$69,0))&gt;0,INDEX(Principal!$AF$42:$AF$69,MATCH(Z$2027&amp;$A29,Principal!$U$42:$U$69,0)),INDEX(PoderesDeCriatura_Adquiridos,MATCH(Z$2027&amp;$A29,Principal!$U$42:$U$69,0))))</f>
        <v/>
      </c>
      <c r="AA2057" s="236" t="str">
        <f t="shared" ref="AA2057" si="522">IF(Z2057="","",", "&amp;Z2057)</f>
        <v/>
      </c>
      <c r="AB2057" s="887" t="str">
        <f>IF(ISNA(INDEX(PoderesDeCriatura_Adquiridos,MATCH(AB$2027&amp;$A29,Principal!$U$42:$U$69,0))),"",IF(INDEX(Principal!$AO$42:$AO$69,MATCH(AB$2027&amp;$A29,Principal!$U$42:$U$69,0))&gt;0,INDEX(Principal!$AF$42:$AF$69,MATCH(AB$2027&amp;$A29,Principal!$U$42:$U$69,0)),INDEX(PoderesDeCriatura_Adquiridos,MATCH(AB$2027&amp;$A29,Principal!$U$42:$U$69,0))))</f>
        <v/>
      </c>
      <c r="AC2057" s="236" t="str">
        <f t="shared" ref="AC2057" si="523">IF(AB2057="","",", "&amp;AB2057)</f>
        <v/>
      </c>
      <c r="AD2057" s="887" t="str">
        <f>IF(ISNA(INDEX(PoderesDeCriatura_Adquiridos,MATCH(AD$2027&amp;$A29,Principal!$U$42:$U$69,0))),"",IF(INDEX(Principal!$AO$42:$AO$69,MATCH(AD$2027&amp;$A29,Principal!$U$42:$U$69,0))&gt;0,INDEX(Principal!$AF$42:$AF$69,MATCH(AD$2027&amp;$A29,Principal!$U$42:$U$69,0)),INDEX(PoderesDeCriatura_Adquiridos,MATCH(AD$2027&amp;$A29,Principal!$U$42:$U$69,0))))</f>
        <v/>
      </c>
      <c r="AE2057" s="891" t="str">
        <f t="shared" ref="AE2057" si="524">IF(AD2057="","",", "&amp;AD2057)</f>
        <v/>
      </c>
      <c r="AF2057" s="1366" t="str">
        <f>IF(OR(AG2057=0,ISNUMBER(MATCH(AG2057,$AG$2030:$AG2056,0))),"",MAX($AF$2029:AF2056)+1)</f>
        <v/>
      </c>
      <c r="AG2057" s="1367">
        <f>Principal!V69</f>
        <v>0</v>
      </c>
    </row>
    <row r="2058" spans="1:33" ht="12.75" customHeight="1" x14ac:dyDescent="0.2">
      <c r="A2058" s="237">
        <v>2058</v>
      </c>
      <c r="B2058" s="5838"/>
      <c r="C2058" s="910" t="str">
        <f t="shared" ref="C2058:C2065" si="525">IF(D2058="","",COUNTIF($D$2023:$D$2065,"&lt;="&amp;D2058)-SUMPRODUCT(--($D$2023:$D$2065="")))</f>
        <v/>
      </c>
      <c r="D2058" s="513" t="str">
        <f>Combate!AB50</f>
        <v/>
      </c>
      <c r="E2058" s="513" t="str">
        <f t="shared" ref="E2058:E2065" si="526">D2058</f>
        <v/>
      </c>
      <c r="F2058" s="880" t="str">
        <f>IF(ISNA(VLOOKUP(MIN($C$2023:$C$2065)+A36-1,$C$2023:$E$2065,3,0)),"",", "&amp;VLOOKUP(MIN($C$2023:$C$2065)+A36-1,$C$2023:$E$2065,3,0))</f>
        <v/>
      </c>
      <c r="G2058" s="5938"/>
      <c r="J2058" s="5941" t="str">
        <f>K2028&amp;K2029&amp;K2030&amp;K2031&amp;K2032&amp;K2033&amp;K2034&amp;K2035&amp;K2036&amp;K2037&amp;K2038&amp;K2039&amp;K2040&amp;K2041&amp;K2042&amp;K2043&amp;K2044&amp;K2045&amp;K2046&amp;K2047&amp;K2048&amp;K2049&amp;K2050&amp;K2052&amp;K2051&amp;K2053&amp;K2054&amp;K2056&amp;K2055&amp;K2057</f>
        <v/>
      </c>
      <c r="K2058" s="5942"/>
      <c r="L2058" s="5809" t="str">
        <f>IF(L2027="","",L2027&amp;" ("&amp;M2029&amp;M2030&amp;M2031&amp;M2032&amp;M2033&amp;M2034&amp;M2035&amp;M2036&amp;M2037&amp;M2038&amp;M2039&amp;M2040&amp;M2041&amp;M2042&amp;M2043&amp;M2044&amp;M2045&amp;M2046&amp;M2047&amp;M2048&amp;M2049&amp;M2050&amp;M2051&amp;M2052&amp;M2053&amp;M2054&amp;M2055&amp;M2056&amp;M2057&amp;")")</f>
        <v/>
      </c>
      <c r="M2058" s="5809"/>
      <c r="N2058" s="5809" t="str">
        <f>IF(N2027="","",N2027&amp;" ("&amp;O2029&amp;O2030&amp;O2031&amp;O2032&amp;O2033&amp;O2034&amp;O2035&amp;O2036&amp;O2037&amp;O2038&amp;O2039&amp;O2040&amp;O2041&amp;O2042&amp;O2043&amp;O2044&amp;O2045&amp;O2046&amp;O2047&amp;O2048&amp;O2049&amp;O2050&amp;O2051&amp;O2052&amp;O2053&amp;O2054&amp;O2055&amp;O2056&amp;O2057&amp;")")</f>
        <v/>
      </c>
      <c r="O2058" s="5809"/>
      <c r="P2058" s="5809" t="str">
        <f>IF(P2027="","",P2027&amp;" ("&amp;Q2029&amp;Q2030&amp;Q2031&amp;Q2032&amp;Q2033&amp;Q2034&amp;Q2035&amp;Q2036&amp;Q2037&amp;Q2038&amp;Q2039&amp;Q2040&amp;Q2041&amp;Q2042&amp;Q2043&amp;Q2044&amp;Q2045&amp;Q2046&amp;Q2047&amp;Q2048&amp;Q2049&amp;Q2050&amp;Q2051&amp;Q2052&amp;Q2053&amp;Q2054&amp;Q2055&amp;Q2056&amp;Q2057&amp;")")</f>
        <v/>
      </c>
      <c r="Q2058" s="5809"/>
      <c r="R2058" s="5809" t="str">
        <f>IF(R2027="","",R2027&amp;" ("&amp;S2029&amp;S2030&amp;S2031&amp;S2032&amp;S2033&amp;S2034&amp;S2035&amp;S2036&amp;S2037&amp;S2038&amp;S2039&amp;S2040&amp;S2041&amp;S2042&amp;S2043&amp;S2044&amp;S2045&amp;S2046&amp;S2047&amp;S2048&amp;S2049&amp;S2050&amp;S2051&amp;S2052&amp;S2053&amp;S2054&amp;S2055&amp;S2056&amp;S2057&amp;")")</f>
        <v/>
      </c>
      <c r="S2058" s="5809"/>
      <c r="T2058" s="5809" t="str">
        <f>IF(T2027="","",T2027&amp;" ("&amp;U2029&amp;U2030&amp;U2031&amp;U2032&amp;U2033&amp;U2034&amp;U2035&amp;U2036&amp;U2037&amp;U2038&amp;U2039&amp;U2040&amp;U2041&amp;U2042&amp;U2043&amp;U2044&amp;U2045&amp;U2046&amp;U2047&amp;U2048&amp;U2049&amp;U2050&amp;U2051&amp;U2052&amp;U2053&amp;U2054&amp;U2055&amp;U2056&amp;U2057&amp;")")</f>
        <v/>
      </c>
      <c r="U2058" s="5809"/>
      <c r="V2058" s="5809" t="str">
        <f>IF(V2027="","",V2027&amp;" ("&amp;W2029&amp;W2030&amp;W2031&amp;W2032&amp;W2033&amp;W2034&amp;W2035&amp;W2036&amp;W2037&amp;W2038&amp;W2039&amp;W2040&amp;W2041&amp;W2042&amp;W2043&amp;W2044&amp;W2045&amp;W2046&amp;W2047&amp;W2048&amp;W2049&amp;W2050&amp;W2051&amp;W2052&amp;W2053&amp;W2054&amp;W2055&amp;W2056&amp;W2057&amp;")")</f>
        <v/>
      </c>
      <c r="W2058" s="5809"/>
      <c r="X2058" s="5809" t="str">
        <f>IF(X2027="","",X2027&amp;" ("&amp;Y2029&amp;Y2030&amp;Y2031&amp;Y2032&amp;Y2033&amp;Y2034&amp;Y2035&amp;Y2036&amp;Y2037&amp;Y2038&amp;Y2039&amp;Y2040&amp;Y2041&amp;Y2042&amp;Y2043&amp;Y2044&amp;Y2045&amp;Y2046&amp;Y2047&amp;Y2048&amp;Y2049&amp;Y2050&amp;Y2051&amp;Y2052&amp;Y2053&amp;Y2054&amp;Y2055&amp;Y2056&amp;Y2057&amp;")")</f>
        <v/>
      </c>
      <c r="Y2058" s="5809"/>
      <c r="Z2058" s="5809" t="str">
        <f>IF(Z2027="","",Z2027&amp;" ("&amp;AA2029&amp;AA2030&amp;AA2031&amp;AA2032&amp;AA2033&amp;AA2034&amp;AA2035&amp;AA2036&amp;AA2037&amp;AA2038&amp;AA2039&amp;AA2040&amp;AA2041&amp;AA2042&amp;AA2043&amp;AA2044&amp;AA2045&amp;AA2046&amp;AA2047&amp;AA2048&amp;AA2049&amp;AA2050&amp;AA2051&amp;AA2052&amp;AA2053&amp;AA2054&amp;AA2055&amp;AA2056&amp;AA2057&amp;")")</f>
        <v/>
      </c>
      <c r="AA2058" s="5809"/>
      <c r="AB2058" s="5807" t="str">
        <f>IF(AB2027="","",AB2027&amp;" ("&amp;AC2029&amp;AC2030&amp;AC2031&amp;AC2032&amp;AC2033&amp;AC2034&amp;AC2035&amp;AC2036&amp;AC2037&amp;AC2038&amp;AC2039&amp;AC2040&amp;AC2041&amp;AC2042&amp;AC2043&amp;AC2044&amp;AC2045&amp;AC2046&amp;AC2047&amp;AC2048&amp;AC2049&amp;AC2050&amp;AC2051&amp;AC2052&amp;AC2053&amp;AC2054&amp;AC2055&amp;AC2056&amp;AC2057&amp;")")</f>
        <v/>
      </c>
      <c r="AC2058" s="5807"/>
      <c r="AD2058" s="5807" t="str">
        <f>IF(AD2027="","",AD2027&amp;" ("&amp;AE2029&amp;AE2030&amp;AE2031&amp;AE2032&amp;AE2033&amp;AE2034&amp;AE2035&amp;AE2036&amp;AE2037&amp;AE2038&amp;AE2039&amp;AE2040&amp;AE2041&amp;AE2042&amp;AE2043&amp;AE2044&amp;AE2045&amp;AE2046&amp;AE2047&amp;AE2048&amp;AE2049&amp;AE2050&amp;AE2051&amp;AE2052&amp;AE2053&amp;AE2054&amp;AE2055&amp;AE2056&amp;AE2057&amp;")")</f>
        <v/>
      </c>
      <c r="AE2058" s="5808"/>
    </row>
    <row r="2059" spans="1:33" ht="12.75" customHeight="1" x14ac:dyDescent="0.2">
      <c r="A2059" s="237">
        <v>2059</v>
      </c>
      <c r="B2059" s="5838"/>
      <c r="C2059" s="910" t="str">
        <f t="shared" si="525"/>
        <v/>
      </c>
      <c r="D2059" s="513" t="str">
        <f>Combate!AB51</f>
        <v/>
      </c>
      <c r="E2059" s="513" t="str">
        <f t="shared" si="526"/>
        <v/>
      </c>
      <c r="F2059" s="880" t="str">
        <f>IF(ISNA(VLOOKUP(MIN($C$2023:$C$2065)+A37-1,$C$2023:$E$2065,3,0)),"",", "&amp;VLOOKUP(MIN($C$2023:$C$2065)+A37-1,$C$2023:$E$2065,3,0))</f>
        <v/>
      </c>
      <c r="G2059" s="5938"/>
      <c r="J2059" s="5941"/>
      <c r="K2059" s="5942"/>
      <c r="L2059" s="5944" t="str">
        <f>L2058&amp;IF(N2058="","",", "&amp;N2058)&amp;IF(P2058="","",", "&amp;P2058)&amp;IF(R2058="","",", "&amp;R2058)&amp;IF(T2058="","",", "&amp;T2058)&amp;IF(V2058="","",", "&amp;V2058)&amp;IF(X2058="","",", "&amp;X2058)&amp;IF(Z2058="","",", "&amp;Z2058)&amp;IF(AB2058="","",", "&amp;AB2058)&amp;IF(AD2058="","",", "&amp;AD2058)</f>
        <v/>
      </c>
      <c r="M2059" s="5945"/>
      <c r="N2059" s="5945"/>
      <c r="O2059" s="5945"/>
      <c r="P2059" s="5945"/>
      <c r="Q2059" s="5945"/>
      <c r="R2059" s="5945"/>
      <c r="S2059" s="5945"/>
      <c r="T2059" s="5945"/>
      <c r="U2059" s="5945"/>
      <c r="V2059" s="5945"/>
      <c r="W2059" s="5945"/>
      <c r="X2059" s="5945"/>
      <c r="Y2059" s="5945"/>
      <c r="Z2059" s="5945"/>
      <c r="AA2059" s="5945"/>
      <c r="AB2059" s="5945"/>
      <c r="AC2059" s="5945"/>
      <c r="AD2059" s="5945"/>
      <c r="AE2059" s="5946"/>
    </row>
    <row r="2060" spans="1:33" ht="12.75" customHeight="1" x14ac:dyDescent="0.2">
      <c r="A2060" s="237">
        <v>2060</v>
      </c>
      <c r="B2060" s="5838"/>
      <c r="C2060" s="910" t="str">
        <f t="shared" si="525"/>
        <v/>
      </c>
      <c r="D2060" s="513" t="str">
        <f>Combate!AB52</f>
        <v/>
      </c>
      <c r="E2060" s="513" t="str">
        <f t="shared" si="526"/>
        <v/>
      </c>
      <c r="F2060" s="880" t="str">
        <f>IF(ISNA(VLOOKUP(MIN($C$2023:$C$2065)+A38-1,$C$2023:$E$2065,3,0)),"",", "&amp;VLOOKUP(MIN($C$2023:$C$2065)+A38-1,$C$2023:$E$2065,3,0))</f>
        <v/>
      </c>
      <c r="G2060" s="5938"/>
      <c r="J2060" s="5817" t="str">
        <f>L2059&amp;IF(L2059="",J2058,", "&amp;J2058)</f>
        <v/>
      </c>
      <c r="K2060" s="5818"/>
      <c r="L2060" s="5818"/>
      <c r="M2060" s="5818"/>
      <c r="N2060" s="5818"/>
      <c r="O2060" s="5818"/>
      <c r="P2060" s="5818"/>
      <c r="Q2060" s="5818"/>
      <c r="R2060" s="5818"/>
      <c r="S2060" s="5818"/>
      <c r="T2060" s="5818"/>
      <c r="U2060" s="5818"/>
      <c r="V2060" s="5818"/>
      <c r="W2060" s="5818"/>
      <c r="X2060" s="5818"/>
      <c r="Y2060" s="5818"/>
      <c r="Z2060" s="5818"/>
      <c r="AA2060" s="5818"/>
      <c r="AB2060" s="5818"/>
      <c r="AC2060" s="5818"/>
      <c r="AD2060" s="5818"/>
      <c r="AE2060" s="5819"/>
    </row>
    <row r="2061" spans="1:33" ht="12.75" customHeight="1" thickBot="1" x14ac:dyDescent="0.25">
      <c r="A2061" s="237">
        <v>2061</v>
      </c>
      <c r="B2061" s="5838"/>
      <c r="C2061" s="910" t="str">
        <f t="shared" si="525"/>
        <v/>
      </c>
      <c r="D2061" s="786" t="str">
        <f>Combate!AB55</f>
        <v/>
      </c>
      <c r="E2061" s="786" t="str">
        <f t="shared" si="526"/>
        <v/>
      </c>
      <c r="F2061" s="880" t="str">
        <f>IF(ISNA(VLOOKUP(MIN($C$2023:$C$2065)+A39-1,$C$2023:$E$2065,3,0)),"",", "&amp;VLOOKUP(MIN($C$2023:$C$2065)+A39-1,$C$2023:$E$2065,3,0))</f>
        <v/>
      </c>
      <c r="G2061" s="5938"/>
      <c r="J2061" s="5820"/>
      <c r="K2061" s="5821"/>
      <c r="L2061" s="5821"/>
      <c r="M2061" s="5821"/>
      <c r="N2061" s="5821"/>
      <c r="O2061" s="5821"/>
      <c r="P2061" s="5821"/>
      <c r="Q2061" s="5821"/>
      <c r="R2061" s="5821"/>
      <c r="S2061" s="5821"/>
      <c r="T2061" s="5821"/>
      <c r="U2061" s="5821"/>
      <c r="V2061" s="5821"/>
      <c r="W2061" s="5821"/>
      <c r="X2061" s="5821"/>
      <c r="Y2061" s="5821"/>
      <c r="Z2061" s="5821"/>
      <c r="AA2061" s="5821"/>
      <c r="AB2061" s="5821"/>
      <c r="AC2061" s="5821"/>
      <c r="AD2061" s="5821"/>
      <c r="AE2061" s="5822"/>
    </row>
    <row r="2062" spans="1:33" ht="12.75" customHeight="1" x14ac:dyDescent="0.2">
      <c r="A2062" s="237">
        <v>2062</v>
      </c>
      <c r="B2062" s="5838"/>
      <c r="C2062" s="910" t="str">
        <f t="shared" si="525"/>
        <v/>
      </c>
      <c r="D2062" s="513" t="str">
        <f>Combate!AB57</f>
        <v/>
      </c>
      <c r="E2062" s="513" t="str">
        <f t="shared" si="526"/>
        <v/>
      </c>
      <c r="F2062" s="880" t="str">
        <f>IF(ISNA(VLOOKUP(MIN($C$2023:$C$2065)+A40-1,$C$2023:$E$2065,3,0)),"",", "&amp;VLOOKUP(MIN($C$2023:$C$2065)+A40-1,$C$2023:$E$2065,3,0))</f>
        <v/>
      </c>
      <c r="G2062" s="5938"/>
      <c r="H2062" s="888"/>
      <c r="I2062" s="888"/>
      <c r="J2062" s="888"/>
      <c r="K2062" s="888"/>
      <c r="L2062" s="888"/>
      <c r="M2062" s="888"/>
      <c r="N2062" s="888"/>
      <c r="O2062" s="888"/>
      <c r="P2062" s="888"/>
      <c r="Q2062" s="888"/>
      <c r="R2062" s="888"/>
      <c r="S2062" s="888"/>
      <c r="T2062" s="888"/>
    </row>
    <row r="2063" spans="1:33" ht="12.75" customHeight="1" x14ac:dyDescent="0.2">
      <c r="A2063" s="237">
        <v>2063</v>
      </c>
      <c r="B2063" s="5838"/>
      <c r="C2063" s="910" t="str">
        <f t="shared" si="525"/>
        <v/>
      </c>
      <c r="D2063" s="513" t="str">
        <f>Combate!AB59</f>
        <v/>
      </c>
      <c r="E2063" s="513" t="str">
        <f t="shared" si="526"/>
        <v/>
      </c>
      <c r="F2063" s="880" t="str">
        <f>IF(ISNA(VLOOKUP(MIN($C$2023:$C$2065)+A41-1,$C$2023:$E$2065,3,0)),"",", "&amp;VLOOKUP(MIN($C$2023:$C$2065)+A41-1,$C$2023:$E$2065,3,0))</f>
        <v/>
      </c>
      <c r="G2063" s="5938"/>
      <c r="H2063" s="888"/>
      <c r="I2063" s="888"/>
      <c r="J2063" s="888"/>
      <c r="K2063" s="888"/>
      <c r="L2063" s="888"/>
      <c r="M2063" s="888"/>
      <c r="N2063" s="888"/>
      <c r="O2063" s="888"/>
      <c r="P2063" s="888"/>
      <c r="Q2063" s="888"/>
      <c r="R2063" s="888"/>
      <c r="S2063" s="888"/>
      <c r="T2063" s="888"/>
    </row>
    <row r="2064" spans="1:33" ht="12.75" customHeight="1" x14ac:dyDescent="0.2">
      <c r="A2064" s="237">
        <v>2064</v>
      </c>
      <c r="B2064" s="5838"/>
      <c r="C2064" s="910" t="str">
        <f t="shared" si="525"/>
        <v/>
      </c>
      <c r="D2064" s="513" t="str">
        <f>Combate!AB61</f>
        <v/>
      </c>
      <c r="E2064" s="513" t="str">
        <f t="shared" si="526"/>
        <v/>
      </c>
      <c r="F2064" s="880" t="str">
        <f>IF(ISNA(VLOOKUP(MIN($C$2023:$C$2065)+A42-1,$C$2023:$E$2065,3,0)),"",", "&amp;VLOOKUP(MIN($C$2023:$C$2065)+A42-1,$C$2023:$E$2065,3,0))</f>
        <v/>
      </c>
      <c r="G2064" s="5938"/>
      <c r="H2064"/>
      <c r="I2064" s="592"/>
      <c r="N2064"/>
      <c r="O2064" s="592"/>
    </row>
    <row r="2065" spans="1:15" ht="12.75" customHeight="1" thickBot="1" x14ac:dyDescent="0.25">
      <c r="A2065" s="237">
        <v>2065</v>
      </c>
      <c r="B2065" s="5838"/>
      <c r="C2065" s="912" t="str">
        <f t="shared" si="525"/>
        <v/>
      </c>
      <c r="D2065" s="515" t="str">
        <f>Combate!AB63</f>
        <v/>
      </c>
      <c r="E2065" s="515" t="str">
        <f t="shared" si="526"/>
        <v/>
      </c>
      <c r="F2065" s="881" t="str">
        <f>IF(ISNA(VLOOKUP(MIN($C$2023:$C$2065)+A43-1,$C$2023:$E$2065,3,0)),"",", "&amp;VLOOKUP(MIN($C$2023:$C$2065)+A43-1,$C$2023:$E$2065,3,0))</f>
        <v/>
      </c>
      <c r="G2065" s="5940"/>
      <c r="H2065"/>
      <c r="I2065" s="592"/>
      <c r="N2065"/>
      <c r="O2065" s="592"/>
    </row>
  </sheetData>
  <sheetProtection selectLockedCells="1"/>
  <sortState ref="AB637:AB696">
    <sortCondition ref="AB696"/>
  </sortState>
  <dataConsolidate/>
  <mergeCells count="573">
    <mergeCell ref="G1974:I1974"/>
    <mergeCell ref="G1940:I1940"/>
    <mergeCell ref="C2:AI4"/>
    <mergeCell ref="B1936:B2065"/>
    <mergeCell ref="C228:Z230"/>
    <mergeCell ref="C101:DE103"/>
    <mergeCell ref="M1216:T1217"/>
    <mergeCell ref="C1216:K1217"/>
    <mergeCell ref="Y1216:Y1217"/>
    <mergeCell ref="L277:Z278"/>
    <mergeCell ref="C253:J254"/>
    <mergeCell ref="S622:T622"/>
    <mergeCell ref="S623:T623"/>
    <mergeCell ref="AF1942:AF1943"/>
    <mergeCell ref="E6:E7"/>
    <mergeCell ref="C1117:W1118"/>
    <mergeCell ref="W1038:X1038"/>
    <mergeCell ref="Z279:Z280"/>
    <mergeCell ref="AI24:AJ25"/>
    <mergeCell ref="AE1944:AE1999"/>
    <mergeCell ref="C1094:J1094"/>
    <mergeCell ref="K1049:K1050"/>
    <mergeCell ref="E1078:F1078"/>
    <mergeCell ref="C1940:E1941"/>
    <mergeCell ref="L1801:Q1801"/>
    <mergeCell ref="L1863:Q1863"/>
    <mergeCell ref="L1806:Q1806"/>
    <mergeCell ref="L1807:Q1807"/>
    <mergeCell ref="L1835:Q1835"/>
    <mergeCell ref="L1844:Q1844"/>
    <mergeCell ref="L1847:Q1847"/>
    <mergeCell ref="L1848:Q1848"/>
    <mergeCell ref="L1853:Q1853"/>
    <mergeCell ref="L1855:Q1855"/>
    <mergeCell ref="L1862:Q1862"/>
    <mergeCell ref="L1851:Q1851"/>
    <mergeCell ref="L1852:Q1852"/>
    <mergeCell ref="L1831:Q1831"/>
    <mergeCell ref="L1832:Q1832"/>
    <mergeCell ref="L1858:Q1858"/>
    <mergeCell ref="L1824:Q1824"/>
    <mergeCell ref="L1861:Q1861"/>
    <mergeCell ref="L1813:Q1813"/>
    <mergeCell ref="L1814:Q1814"/>
    <mergeCell ref="L1820:Q1820"/>
    <mergeCell ref="L1842:Q1842"/>
    <mergeCell ref="L1840:Q1840"/>
    <mergeCell ref="L1817:Q1817"/>
    <mergeCell ref="L1740:Q1740"/>
    <mergeCell ref="L1741:Q1741"/>
    <mergeCell ref="L1736:Q1736"/>
    <mergeCell ref="L1790:Q1790"/>
    <mergeCell ref="L1781:Q1781"/>
    <mergeCell ref="L1782:Q1782"/>
    <mergeCell ref="L1783:Q1783"/>
    <mergeCell ref="L1784:Q1784"/>
    <mergeCell ref="L1787:Q1787"/>
    <mergeCell ref="L1756:Q1756"/>
    <mergeCell ref="L1786:Q1786"/>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7:I918"/>
    <mergeCell ref="P1733:P1734"/>
    <mergeCell ref="C1212:CB1214"/>
    <mergeCell ref="BK1308:CB1308"/>
    <mergeCell ref="Z1216:CB1217"/>
    <mergeCell ref="W1216:X1217"/>
    <mergeCell ref="Z1040:AB1040"/>
    <mergeCell ref="Z1038:AD1039"/>
    <mergeCell ref="G1051:H1052"/>
    <mergeCell ref="L1078:M1078"/>
    <mergeCell ref="C1038:M1039"/>
    <mergeCell ref="C921:N921"/>
    <mergeCell ref="P921:AC922"/>
    <mergeCell ref="V781:X781"/>
    <mergeCell ref="V782:X782"/>
    <mergeCell ref="V783:X783"/>
    <mergeCell ref="G1049:H1050"/>
    <mergeCell ref="R1119:W1119"/>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T592:U592"/>
    <mergeCell ref="S626:T626"/>
    <mergeCell ref="T608:U608"/>
    <mergeCell ref="R138:S138"/>
    <mergeCell ref="P138:Q138"/>
    <mergeCell ref="C576:BU578"/>
    <mergeCell ref="S624:T624"/>
    <mergeCell ref="T588:V588"/>
    <mergeCell ref="T589:U589"/>
    <mergeCell ref="C580:R581"/>
    <mergeCell ref="T597:U597"/>
    <mergeCell ref="T598:U598"/>
    <mergeCell ref="T605:U605"/>
    <mergeCell ref="G2023:G2065"/>
    <mergeCell ref="J2058:K2059"/>
    <mergeCell ref="J2026:K2026"/>
    <mergeCell ref="L2027:M2027"/>
    <mergeCell ref="N2027:O2027"/>
    <mergeCell ref="L2058:M2058"/>
    <mergeCell ref="N2058:O2058"/>
    <mergeCell ref="L2059:AE2059"/>
    <mergeCell ref="G1987:H1988"/>
    <mergeCell ref="P2027:Q2027"/>
    <mergeCell ref="P2058:Q2058"/>
    <mergeCell ref="R2058:S2058"/>
    <mergeCell ref="T2058:U2058"/>
    <mergeCell ref="V2058:W2058"/>
    <mergeCell ref="AD2027:AE2027"/>
    <mergeCell ref="AB2027:AC2027"/>
    <mergeCell ref="Z2027:AA2027"/>
    <mergeCell ref="X2027:Y2027"/>
    <mergeCell ref="V2027:W2027"/>
    <mergeCell ref="T2027:U2027"/>
    <mergeCell ref="L1877:Q1877"/>
    <mergeCell ref="L1878:Q1878"/>
    <mergeCell ref="L1884:Q1884"/>
    <mergeCell ref="L1893:Q1893"/>
    <mergeCell ref="L1897:Q1897"/>
    <mergeCell ref="L1915:Q1915"/>
    <mergeCell ref="L1891:Q1891"/>
    <mergeCell ref="L1887:Q1887"/>
    <mergeCell ref="L1905:Q1905"/>
    <mergeCell ref="L1906:Q1906"/>
    <mergeCell ref="AB758:AE758"/>
    <mergeCell ref="L1879:Q1879"/>
    <mergeCell ref="L1826:Q1826"/>
    <mergeCell ref="L1827:Q1827"/>
    <mergeCell ref="L1839:Q1839"/>
    <mergeCell ref="L1836:Q1836"/>
    <mergeCell ref="L1819:Q1819"/>
    <mergeCell ref="L1830:Q1830"/>
    <mergeCell ref="L1825:Q1825"/>
    <mergeCell ref="L1757:Q1757"/>
    <mergeCell ref="L1816:Q1816"/>
    <mergeCell ref="C1137:N1138"/>
    <mergeCell ref="L1742:Q1742"/>
    <mergeCell ref="L1743:Q1743"/>
    <mergeCell ref="L1744:Q1744"/>
    <mergeCell ref="L1737:Q1737"/>
    <mergeCell ref="L1738:Q1738"/>
    <mergeCell ref="L1739:Q1739"/>
    <mergeCell ref="C1728:Y1730"/>
    <mergeCell ref="L1800:Q1800"/>
    <mergeCell ref="V1734:W1734"/>
    <mergeCell ref="T1734:U1734"/>
    <mergeCell ref="T1732:Y1733"/>
    <mergeCell ref="X1734:Y1734"/>
    <mergeCell ref="J1119:Q1119"/>
    <mergeCell ref="AP138:AR138"/>
    <mergeCell ref="AI138:AK138"/>
    <mergeCell ref="S627:T627"/>
    <mergeCell ref="S620:AA621"/>
    <mergeCell ref="S625:T625"/>
    <mergeCell ref="AG634:AK634"/>
    <mergeCell ref="AS138:AT138"/>
    <mergeCell ref="AU138:AW138"/>
    <mergeCell ref="V790:X790"/>
    <mergeCell ref="G1026:L1026"/>
    <mergeCell ref="C1024:L1025"/>
    <mergeCell ref="K917:K918"/>
    <mergeCell ref="AB636:AE637"/>
    <mergeCell ref="T596:U596"/>
    <mergeCell ref="U1063:W1064"/>
    <mergeCell ref="E1063:E1064"/>
    <mergeCell ref="H1076:O1076"/>
    <mergeCell ref="C1040:D1040"/>
    <mergeCell ref="C1034:AD1036"/>
    <mergeCell ref="N826:R826"/>
    <mergeCell ref="C819:BL821"/>
    <mergeCell ref="AA825:AC825"/>
    <mergeCell ref="C823:AC824"/>
    <mergeCell ref="O917:O918"/>
    <mergeCell ref="C826:D826"/>
    <mergeCell ref="C617:Q617"/>
    <mergeCell ref="T604:U604"/>
    <mergeCell ref="X606:AA606"/>
    <mergeCell ref="L232:T233"/>
    <mergeCell ref="T603:U603"/>
    <mergeCell ref="W138:X138"/>
    <mergeCell ref="R279:S279"/>
    <mergeCell ref="U138:V138"/>
    <mergeCell ref="T279:U279"/>
    <mergeCell ref="T602:U602"/>
    <mergeCell ref="N279:O279"/>
    <mergeCell ref="P279:Q279"/>
    <mergeCell ref="V279:W279"/>
    <mergeCell ref="H138:J138"/>
    <mergeCell ref="R234:S234"/>
    <mergeCell ref="V788:X788"/>
    <mergeCell ref="V789:X789"/>
    <mergeCell ref="T600:V600"/>
    <mergeCell ref="M138:O138"/>
    <mergeCell ref="K138:L138"/>
    <mergeCell ref="T593:U593"/>
    <mergeCell ref="T580:U580"/>
    <mergeCell ref="B1034:B1211"/>
    <mergeCell ref="C1059:C1060"/>
    <mergeCell ref="V784:X784"/>
    <mergeCell ref="V778:X778"/>
    <mergeCell ref="V776:X776"/>
    <mergeCell ref="L1889:Q1889"/>
    <mergeCell ref="B1212:B1727"/>
    <mergeCell ref="T594:U594"/>
    <mergeCell ref="M1049:N1050"/>
    <mergeCell ref="S1038:U1039"/>
    <mergeCell ref="L1792:Q1792"/>
    <mergeCell ref="L1793:Q1793"/>
    <mergeCell ref="L1794:Q1794"/>
    <mergeCell ref="L1795:Q1795"/>
    <mergeCell ref="L1745:Q1745"/>
    <mergeCell ref="L1780:Q1780"/>
    <mergeCell ref="L1776:Q1776"/>
    <mergeCell ref="L1777:Q1777"/>
    <mergeCell ref="L1778:Q1778"/>
    <mergeCell ref="L1779:Q1779"/>
    <mergeCell ref="L1763:Q1763"/>
    <mergeCell ref="L1753:Q1753"/>
    <mergeCell ref="L1788:Q1788"/>
    <mergeCell ref="L1762:Q1762"/>
    <mergeCell ref="B1728:B1935"/>
    <mergeCell ref="L1785:Q1785"/>
    <mergeCell ref="L1849:Q1849"/>
    <mergeCell ref="L1845:Q1845"/>
    <mergeCell ref="L1846:Q1846"/>
    <mergeCell ref="L1881:Q1881"/>
    <mergeCell ref="L1828:Q1828"/>
    <mergeCell ref="L1804:Q1804"/>
    <mergeCell ref="L1833:Q1833"/>
    <mergeCell ref="L1834:Q1834"/>
    <mergeCell ref="L1837:Q1837"/>
    <mergeCell ref="L1838:Q1838"/>
    <mergeCell ref="L1810:Q1810"/>
    <mergeCell ref="L1822:Q1822"/>
    <mergeCell ref="L1823:Q1823"/>
    <mergeCell ref="L1805:Q1805"/>
    <mergeCell ref="L1798:Q1798"/>
    <mergeCell ref="L1765:Q1765"/>
    <mergeCell ref="L1796:Q1796"/>
    <mergeCell ref="L1797:Q1797"/>
    <mergeCell ref="L1746:Q1746"/>
    <mergeCell ref="L1747:Q1747"/>
    <mergeCell ref="L1749:Q1749"/>
    <mergeCell ref="L1803:Q1803"/>
    <mergeCell ref="BI634:BM634"/>
    <mergeCell ref="AN634:AR634"/>
    <mergeCell ref="AC600:AC601"/>
    <mergeCell ref="T601:U601"/>
    <mergeCell ref="T595:U595"/>
    <mergeCell ref="BB634:BF634"/>
    <mergeCell ref="AC592:AF592"/>
    <mergeCell ref="B2:B100"/>
    <mergeCell ref="B101:B227"/>
    <mergeCell ref="B228:B575"/>
    <mergeCell ref="B576:B818"/>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B819:B1033"/>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3:AG823"/>
    <mergeCell ref="AU634:AY634"/>
    <mergeCell ref="BA634:BA775"/>
    <mergeCell ref="C634:Y635"/>
    <mergeCell ref="V787:X787"/>
    <mergeCell ref="AT634:AT775"/>
    <mergeCell ref="AM634:AM775"/>
    <mergeCell ref="L1811:Q1811"/>
    <mergeCell ref="L1821:Q1821"/>
    <mergeCell ref="L1750:Q1750"/>
    <mergeCell ref="L1751:Q1751"/>
    <mergeCell ref="L1755:Q1755"/>
    <mergeCell ref="L1760:Q1760"/>
    <mergeCell ref="L1759:Q1759"/>
    <mergeCell ref="L1754:Q1754"/>
    <mergeCell ref="L1752:Q1752"/>
    <mergeCell ref="L1758:Q1758"/>
    <mergeCell ref="L1818:Q1818"/>
    <mergeCell ref="L1774:Q1774"/>
    <mergeCell ref="L1764:Q1764"/>
    <mergeCell ref="L1791:Q1791"/>
    <mergeCell ref="L1773:Q1773"/>
    <mergeCell ref="L1766:Q1766"/>
    <mergeCell ref="L1767:Q1767"/>
    <mergeCell ref="L1768:Q1768"/>
    <mergeCell ref="L1769:Q1769"/>
    <mergeCell ref="L1770:Q1770"/>
    <mergeCell ref="L1771:Q1771"/>
    <mergeCell ref="L1812:Q1812"/>
    <mergeCell ref="L1772:Q1772"/>
    <mergeCell ref="L1808:Q1808"/>
    <mergeCell ref="L1809:Q1809"/>
    <mergeCell ref="L1799:Q1799"/>
    <mergeCell ref="C2020:G2021"/>
    <mergeCell ref="O1940:O1941"/>
    <mergeCell ref="J2060:AE2061"/>
    <mergeCell ref="J2025:AE2025"/>
    <mergeCell ref="L2026:AE2026"/>
    <mergeCell ref="AB1942:AB1943"/>
    <mergeCell ref="U1942:U1943"/>
    <mergeCell ref="Z1942:Z1943"/>
    <mergeCell ref="P1942:P1943"/>
    <mergeCell ref="Q1942:Q1943"/>
    <mergeCell ref="W1942:W1943"/>
    <mergeCell ref="X1942:X1943"/>
    <mergeCell ref="Y1942:Y1943"/>
    <mergeCell ref="G2007:H2008"/>
    <mergeCell ref="G2012:H2013"/>
    <mergeCell ref="G1984:I1984"/>
    <mergeCell ref="AC1942:AD1942"/>
    <mergeCell ref="K1942:L1943"/>
    <mergeCell ref="M1942:N1943"/>
    <mergeCell ref="G2002:H2003"/>
    <mergeCell ref="K2000:L2000"/>
    <mergeCell ref="L1876:Q1876"/>
    <mergeCell ref="AF2028:AG2028"/>
    <mergeCell ref="AE1942:AE1943"/>
    <mergeCell ref="AD2058:AE2058"/>
    <mergeCell ref="T1942:T1943"/>
    <mergeCell ref="V1942:V1943"/>
    <mergeCell ref="L1924:Q1924"/>
    <mergeCell ref="L1925:Q1925"/>
    <mergeCell ref="Z2058:AA2058"/>
    <mergeCell ref="O1942:O1943"/>
    <mergeCell ref="K1940:N1941"/>
    <mergeCell ref="R1942:R1943"/>
    <mergeCell ref="X2058:Y2058"/>
    <mergeCell ref="C1936:AG1938"/>
    <mergeCell ref="L1934:Q1934"/>
    <mergeCell ref="L1932:Q1932"/>
    <mergeCell ref="L1933:Q1933"/>
    <mergeCell ref="L1931:Q1931"/>
    <mergeCell ref="L1929:Q1929"/>
    <mergeCell ref="L1930:Q1930"/>
    <mergeCell ref="L1927:Q1927"/>
    <mergeCell ref="L1926:Q1926"/>
    <mergeCell ref="AA1942:AA1943"/>
    <mergeCell ref="R2027:S2027"/>
    <mergeCell ref="AB2058:AC2058"/>
    <mergeCell ref="L1885:Q1885"/>
    <mergeCell ref="L1883:Q1883"/>
    <mergeCell ref="L1903:Q1903"/>
    <mergeCell ref="L1890:Q1890"/>
    <mergeCell ref="L1900:Q1900"/>
    <mergeCell ref="L1901:Q1901"/>
    <mergeCell ref="L1902:Q1902"/>
    <mergeCell ref="L1898:Q1898"/>
    <mergeCell ref="L1899:Q1899"/>
    <mergeCell ref="L1895:Q1895"/>
    <mergeCell ref="L1888:Q1888"/>
    <mergeCell ref="S1942:S1943"/>
    <mergeCell ref="L1923:Q1923"/>
    <mergeCell ref="L1920:Q1920"/>
    <mergeCell ref="L1909:Q1909"/>
    <mergeCell ref="L1910:Q1910"/>
    <mergeCell ref="L1911:Q1911"/>
    <mergeCell ref="L1912:Q1912"/>
    <mergeCell ref="L1921:Q1921"/>
    <mergeCell ref="L1922:Q1922"/>
    <mergeCell ref="P1940:Q1941"/>
    <mergeCell ref="L1928:Q1928"/>
    <mergeCell ref="L1916:Q1916"/>
    <mergeCell ref="L1917:Q1917"/>
    <mergeCell ref="R1940:R1941"/>
    <mergeCell ref="S1940:T1941"/>
    <mergeCell ref="L1907:Q1907"/>
    <mergeCell ref="L1908:Q1908"/>
    <mergeCell ref="L1919:Q1919"/>
    <mergeCell ref="L1872:Q1872"/>
    <mergeCell ref="L1870:Q1870"/>
    <mergeCell ref="L1871:Q1871"/>
    <mergeCell ref="L1882:Q1882"/>
    <mergeCell ref="L1843:Q1843"/>
    <mergeCell ref="L1867:Q1867"/>
    <mergeCell ref="L1873:Q1873"/>
    <mergeCell ref="L1874:Q1874"/>
    <mergeCell ref="L1856:Q1856"/>
    <mergeCell ref="L1859:Q1859"/>
    <mergeCell ref="L1860:Q1860"/>
    <mergeCell ref="L1875:Q1875"/>
    <mergeCell ref="L1850:Q1850"/>
    <mergeCell ref="L1857:Q1857"/>
    <mergeCell ref="L1868:Q1868"/>
    <mergeCell ref="L1869:Q1869"/>
    <mergeCell ref="L1864:Q1864"/>
    <mergeCell ref="L1865:Q1865"/>
    <mergeCell ref="L1886:Q1886"/>
    <mergeCell ref="L1896:Q1896"/>
    <mergeCell ref="L1913:Q1913"/>
    <mergeCell ref="L1914:Q1914"/>
    <mergeCell ref="L1894:Q1894"/>
    <mergeCell ref="O1733:O1734"/>
    <mergeCell ref="G917:G918"/>
    <mergeCell ref="H917:H918"/>
    <mergeCell ref="C1093:J1093"/>
    <mergeCell ref="C1119:D1119"/>
    <mergeCell ref="E1049:E1050"/>
    <mergeCell ref="P1038:Q1039"/>
    <mergeCell ref="P917:P918"/>
    <mergeCell ref="C959:R960"/>
    <mergeCell ref="J917:J918"/>
    <mergeCell ref="C1049:C1050"/>
    <mergeCell ref="I1049:I1050"/>
    <mergeCell ref="F1040:M1040"/>
    <mergeCell ref="H1078:J1078"/>
    <mergeCell ref="M1093:W1093"/>
    <mergeCell ref="K1093:K1094"/>
    <mergeCell ref="L917:L918"/>
    <mergeCell ref="M917:M918"/>
    <mergeCell ref="E1732:N1733"/>
    <mergeCell ref="C1732:D1733"/>
    <mergeCell ref="P1137:W1138"/>
    <mergeCell ref="C1026:E1026"/>
    <mergeCell ref="F917:F918"/>
    <mergeCell ref="N917:N918"/>
    <mergeCell ref="C825:D825"/>
    <mergeCell ref="AK825:AL825"/>
    <mergeCell ref="AI825:AJ825"/>
    <mergeCell ref="AI823:BL823"/>
    <mergeCell ref="AM824:AQ824"/>
    <mergeCell ref="AR824:AV824"/>
    <mergeCell ref="AW824:BA824"/>
    <mergeCell ref="BB824:BF824"/>
    <mergeCell ref="BG824:BK824"/>
    <mergeCell ref="BL824:BL826"/>
    <mergeCell ref="AK824:AL824"/>
    <mergeCell ref="AI824:AJ824"/>
  </mergeCells>
  <phoneticPr fontId="9" type="noConversion"/>
  <conditionalFormatting sqref="X1218:Y1219 X1222 X1275 X1268 X1270:X1272 X1297:Y1307 X1278:X1291 X1294:X1295 X1220 X1310:Y1396 X1224:X1225 X1227:X1266 Y1220:Y1225 Y1227:Y1296">
    <cfRule type="expression" dxfId="590" priority="3">
      <formula>"No"</formula>
    </cfRule>
  </conditionalFormatting>
  <conditionalFormatting sqref="X1226:Y1226">
    <cfRule type="expression" dxfId="589"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77"/>
      <c r="B2" s="5812" t="s">
        <v>9021</v>
      </c>
      <c r="C2" s="5812"/>
      <c r="D2" s="5812"/>
      <c r="E2" s="5812"/>
      <c r="F2" s="5812"/>
      <c r="G2" s="5812"/>
      <c r="H2" s="5812"/>
      <c r="I2" s="5812"/>
      <c r="J2" s="5812"/>
      <c r="K2" s="5812"/>
      <c r="L2" s="5812"/>
      <c r="M2" s="5812"/>
      <c r="N2" s="5812"/>
      <c r="O2" s="5812"/>
      <c r="P2" s="5812"/>
      <c r="Q2" s="5812"/>
      <c r="R2" s="5812"/>
      <c r="S2" s="5812"/>
      <c r="T2" s="5812"/>
      <c r="U2" s="5812"/>
      <c r="V2" s="5812"/>
      <c r="W2" s="5812"/>
      <c r="X2" s="5812"/>
      <c r="Y2" s="5812"/>
      <c r="Z2" s="5812"/>
      <c r="AA2" s="5812"/>
    </row>
    <row r="3" spans="1:27" ht="12" customHeight="1" x14ac:dyDescent="0.2">
      <c r="A3" s="6077"/>
      <c r="B3" s="5812"/>
      <c r="C3" s="5812"/>
      <c r="D3" s="5812"/>
      <c r="E3" s="5812"/>
      <c r="F3" s="5812"/>
      <c r="G3" s="5812"/>
      <c r="H3" s="5812"/>
      <c r="I3" s="5812"/>
      <c r="J3" s="5812"/>
      <c r="K3" s="5812"/>
      <c r="L3" s="5812"/>
      <c r="M3" s="5812"/>
      <c r="N3" s="5812"/>
      <c r="O3" s="5812"/>
      <c r="P3" s="5812"/>
      <c r="Q3" s="5812"/>
      <c r="R3" s="5812"/>
      <c r="S3" s="5812"/>
      <c r="T3" s="5812"/>
      <c r="U3" s="5812"/>
      <c r="V3" s="5812"/>
      <c r="W3" s="5812"/>
      <c r="X3" s="5812"/>
      <c r="Y3" s="5812"/>
      <c r="Z3" s="5812"/>
      <c r="AA3" s="5812"/>
    </row>
    <row r="4" spans="1:27" ht="12" customHeight="1" x14ac:dyDescent="0.2">
      <c r="A4" s="6077"/>
      <c r="B4" s="5812"/>
      <c r="C4" s="5812"/>
      <c r="D4" s="5812"/>
      <c r="E4" s="5812"/>
      <c r="F4" s="5812"/>
      <c r="G4" s="5812"/>
      <c r="H4" s="5812"/>
      <c r="I4" s="5812"/>
      <c r="J4" s="5812"/>
      <c r="K4" s="5812"/>
      <c r="L4" s="5812"/>
      <c r="M4" s="5812"/>
      <c r="N4" s="5812"/>
      <c r="O4" s="5812"/>
      <c r="P4" s="5812"/>
      <c r="Q4" s="5812"/>
      <c r="R4" s="5812"/>
      <c r="S4" s="5812"/>
      <c r="T4" s="5812"/>
      <c r="U4" s="5812"/>
      <c r="V4" s="5812"/>
      <c r="W4" s="5812"/>
      <c r="X4" s="5812"/>
      <c r="Y4" s="5812"/>
      <c r="Z4" s="5812"/>
      <c r="AA4" s="5812"/>
    </row>
    <row r="5" spans="1:27" ht="12" customHeight="1" thickBot="1" x14ac:dyDescent="0.25">
      <c r="A5" s="6077"/>
      <c r="C5"/>
      <c r="D5" s="592"/>
      <c r="E5"/>
      <c r="F5"/>
      <c r="G5"/>
      <c r="H5"/>
      <c r="I5"/>
      <c r="J5"/>
      <c r="L5" s="2100"/>
      <c r="M5" s="2099"/>
      <c r="N5" s="2100"/>
      <c r="O5" s="2099"/>
      <c r="Q5" s="2099"/>
      <c r="R5" s="2099"/>
      <c r="S5" s="2228"/>
      <c r="T5" s="2099"/>
      <c r="U5" s="2099"/>
      <c r="V5"/>
      <c r="W5"/>
    </row>
    <row r="6" spans="1:27" ht="12" customHeight="1" x14ac:dyDescent="0.2">
      <c r="A6" s="6077"/>
      <c r="B6" s="6096"/>
      <c r="C6" s="6078" t="s">
        <v>9023</v>
      </c>
      <c r="D6" s="6078"/>
      <c r="E6" s="6078"/>
      <c r="F6" s="6078"/>
      <c r="G6" s="6078"/>
      <c r="H6" s="6078"/>
      <c r="I6" s="6078"/>
      <c r="J6" s="6078"/>
      <c r="K6" s="6078"/>
      <c r="L6" s="6079"/>
      <c r="M6" s="237"/>
      <c r="N6" s="6093"/>
      <c r="O6" s="6078" t="s">
        <v>9022</v>
      </c>
      <c r="P6" s="6078"/>
      <c r="Q6" s="6078"/>
      <c r="R6" s="6078"/>
      <c r="S6" s="6078"/>
      <c r="T6" s="6078"/>
      <c r="U6" s="6078"/>
      <c r="V6" s="6078"/>
      <c r="W6" s="6078"/>
      <c r="X6" s="6079"/>
    </row>
    <row r="7" spans="1:27" ht="12" customHeight="1" x14ac:dyDescent="0.2">
      <c r="A7" s="6077"/>
      <c r="B7" s="6097"/>
      <c r="C7" s="4765"/>
      <c r="D7" s="4765"/>
      <c r="E7" s="4765"/>
      <c r="F7" s="4765"/>
      <c r="G7" s="4765"/>
      <c r="H7" s="4765"/>
      <c r="I7" s="4765"/>
      <c r="J7" s="4765"/>
      <c r="K7" s="4765"/>
      <c r="L7" s="6080"/>
      <c r="M7" s="237"/>
      <c r="N7" s="6094"/>
      <c r="O7" s="4765"/>
      <c r="P7" s="4765"/>
      <c r="Q7" s="4765"/>
      <c r="R7" s="4765"/>
      <c r="S7" s="4765"/>
      <c r="T7" s="4765"/>
      <c r="U7" s="4765"/>
      <c r="V7" s="4765"/>
      <c r="W7" s="4765"/>
      <c r="X7" s="6080"/>
    </row>
    <row r="8" spans="1:27" ht="12" customHeight="1" x14ac:dyDescent="0.2">
      <c r="A8" s="6077"/>
      <c r="B8" s="6097"/>
      <c r="C8" s="2202" t="s">
        <v>1237</v>
      </c>
      <c r="D8" s="2202" t="s">
        <v>2861</v>
      </c>
      <c r="E8" s="2202" t="s">
        <v>9026</v>
      </c>
      <c r="F8" s="2202" t="s">
        <v>1846</v>
      </c>
      <c r="G8" s="2202" t="s">
        <v>1503</v>
      </c>
      <c r="H8" s="2202" t="s">
        <v>9027</v>
      </c>
      <c r="I8" s="2202" t="s">
        <v>2863</v>
      </c>
      <c r="J8" s="2202" t="s">
        <v>2864</v>
      </c>
      <c r="K8" s="2202" t="s">
        <v>2855</v>
      </c>
      <c r="L8" s="2102" t="s">
        <v>8655</v>
      </c>
      <c r="M8" s="237"/>
      <c r="N8" s="6094"/>
      <c r="O8" s="2201" t="s">
        <v>9024</v>
      </c>
      <c r="P8" s="2201" t="s">
        <v>9025</v>
      </c>
      <c r="Q8" s="2202" t="s">
        <v>1402</v>
      </c>
      <c r="R8" s="2202" t="s">
        <v>1373</v>
      </c>
      <c r="S8" s="2229" t="s">
        <v>1367</v>
      </c>
      <c r="T8" s="2201" t="s">
        <v>9521</v>
      </c>
      <c r="U8" s="2201" t="s">
        <v>9522</v>
      </c>
      <c r="V8" s="2201" t="s">
        <v>9523</v>
      </c>
      <c r="W8" s="2201" t="s">
        <v>9524</v>
      </c>
      <c r="X8" s="2101" t="s">
        <v>9520</v>
      </c>
    </row>
    <row r="9" spans="1:27" ht="12" customHeight="1" x14ac:dyDescent="0.2">
      <c r="A9" s="6077"/>
      <c r="B9" s="6097"/>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4"/>
      <c r="O9" s="86" t="s">
        <v>2852</v>
      </c>
      <c r="P9" s="86"/>
      <c r="Q9" s="80" t="s">
        <v>1459</v>
      </c>
      <c r="R9" s="80" t="s">
        <v>1459</v>
      </c>
      <c r="S9" s="88" t="s">
        <v>1459</v>
      </c>
      <c r="T9" s="86" t="s">
        <v>1459</v>
      </c>
      <c r="U9" s="86"/>
      <c r="V9" s="86"/>
      <c r="W9" s="86"/>
      <c r="X9" s="2103"/>
    </row>
    <row r="10" spans="1:27" ht="12" customHeight="1" x14ac:dyDescent="0.2">
      <c r="A10" s="6077"/>
      <c r="B10" s="6097"/>
      <c r="C10" s="44" t="s">
        <v>9031</v>
      </c>
      <c r="D10" s="86"/>
      <c r="E10" s="1209"/>
      <c r="F10" s="1210"/>
      <c r="G10" s="1209"/>
      <c r="H10" s="1209"/>
      <c r="I10" s="1209"/>
      <c r="J10" s="1209"/>
      <c r="K10" s="1209"/>
      <c r="L10" s="2105"/>
      <c r="M10" s="237"/>
      <c r="N10" s="6094"/>
      <c r="O10" s="86" t="s">
        <v>9028</v>
      </c>
      <c r="P10" s="86" t="str">
        <f t="shared" ref="P10:P40" si="0">IF(ISNUMBER(FIND("&gt;&gt;",O10)),"","'Tablas Técnicas'!"&amp;ADDRESS(ROW($D$9)+MATCH(O10,$C$10:$C$643,0),COLUMN($D$9))&amp;":"&amp;ADDRESS(ROW($D$9)+MATCH(O10,$C$10:$C$643,0)+COUNTIF($C$10:$C$643,O10)-1,COLUMN($D$9)))</f>
        <v>'Tablas Técnicas'!$D$11:$D$21</v>
      </c>
      <c r="Q10" s="80" t="s">
        <v>2854</v>
      </c>
      <c r="R10" s="80" t="s">
        <v>1235</v>
      </c>
      <c r="S10" s="88" t="s">
        <v>9029</v>
      </c>
      <c r="T10" s="86" t="s">
        <v>1607</v>
      </c>
      <c r="U10" s="86" t="s">
        <v>1614</v>
      </c>
      <c r="V10" s="86" t="s">
        <v>1704</v>
      </c>
      <c r="W10" s="86" t="s">
        <v>9030</v>
      </c>
      <c r="X10" s="2103" t="b">
        <f t="shared" ref="X10:X41" si="1">IFERROR(IF(VLOOKUP(T10,$Z$25:$AA$30,2,0),TRUE,IF(VLOOKUP(U10,$Z$25:$AA$30,2,0),TRUE,IF(VLOOKUP(V10,$Z$25:$AA$30,2,0),TRUE,FALSE))),FALSE)</f>
        <v>0</v>
      </c>
    </row>
    <row r="11" spans="1:27" ht="12" customHeight="1" x14ac:dyDescent="0.2">
      <c r="A11" s="6077"/>
      <c r="B11" s="6097"/>
      <c r="C11" s="44" t="s">
        <v>9033</v>
      </c>
      <c r="D11" s="86" t="s">
        <v>7682</v>
      </c>
      <c r="E11" s="1209">
        <v>2</v>
      </c>
      <c r="F11" s="1210">
        <v>4</v>
      </c>
      <c r="G11" s="1209">
        <v>5</v>
      </c>
      <c r="H11" s="1209">
        <v>1</v>
      </c>
      <c r="I11" s="1209">
        <v>2</v>
      </c>
      <c r="J11" s="1209">
        <v>4</v>
      </c>
      <c r="K11" s="1209">
        <v>1</v>
      </c>
      <c r="L11" s="2105" t="str">
        <f t="shared" ref="L11:L74" si="2">C11&amp;D11</f>
        <v>Habilidad De Ataque+10</v>
      </c>
      <c r="M11" s="237"/>
      <c r="N11" s="6094"/>
      <c r="O11" s="86" t="s">
        <v>9032</v>
      </c>
      <c r="P11" s="86" t="str">
        <f t="shared" si="0"/>
        <v>'Tablas Técnicas'!$D$23:$D$29</v>
      </c>
      <c r="Q11" s="80" t="s">
        <v>2857</v>
      </c>
      <c r="R11" s="80" t="s">
        <v>1235</v>
      </c>
      <c r="S11" s="88" t="s">
        <v>9029</v>
      </c>
      <c r="T11" s="86" t="s">
        <v>1607</v>
      </c>
      <c r="U11" s="86" t="s">
        <v>1614</v>
      </c>
      <c r="V11" s="86" t="s">
        <v>1704</v>
      </c>
      <c r="W11" s="86" t="s">
        <v>9030</v>
      </c>
      <c r="X11" s="2103" t="b">
        <f t="shared" si="1"/>
        <v>0</v>
      </c>
      <c r="AA11" s="237"/>
    </row>
    <row r="12" spans="1:27" ht="12" customHeight="1" x14ac:dyDescent="0.2">
      <c r="A12" s="6077"/>
      <c r="B12" s="6097"/>
      <c r="C12" s="44" t="s">
        <v>9033</v>
      </c>
      <c r="D12" s="86" t="s">
        <v>7826</v>
      </c>
      <c r="E12" s="1209">
        <v>3</v>
      </c>
      <c r="F12" s="1210">
        <v>5</v>
      </c>
      <c r="G12" s="1209">
        <v>5</v>
      </c>
      <c r="H12" s="1209">
        <v>2</v>
      </c>
      <c r="I12" s="1209">
        <v>4</v>
      </c>
      <c r="J12" s="1209">
        <v>7</v>
      </c>
      <c r="K12" s="1209">
        <v>1</v>
      </c>
      <c r="L12" s="2105" t="str">
        <f t="shared" si="2"/>
        <v>Habilidad De Ataque+25</v>
      </c>
      <c r="M12" s="237"/>
      <c r="N12" s="6094"/>
      <c r="O12" s="86" t="s">
        <v>9034</v>
      </c>
      <c r="P12" s="86" t="str">
        <f t="shared" si="0"/>
        <v>'Tablas Técnicas'!$D$31:$D$38</v>
      </c>
      <c r="Q12" s="80" t="s">
        <v>2854</v>
      </c>
      <c r="R12" s="80" t="s">
        <v>1235</v>
      </c>
      <c r="S12" s="88" t="s">
        <v>9035</v>
      </c>
      <c r="T12" s="86" t="s">
        <v>1703</v>
      </c>
      <c r="U12" s="86" t="s">
        <v>1704</v>
      </c>
      <c r="V12" s="86" t="s">
        <v>1708</v>
      </c>
      <c r="W12" s="86" t="s">
        <v>9036</v>
      </c>
      <c r="X12" s="2103" t="b">
        <f t="shared" si="1"/>
        <v>0</v>
      </c>
      <c r="AA12" s="237"/>
    </row>
    <row r="13" spans="1:27" ht="12" customHeight="1" x14ac:dyDescent="0.2">
      <c r="A13" s="6077"/>
      <c r="B13" s="6097"/>
      <c r="C13" s="44" t="s">
        <v>9033</v>
      </c>
      <c r="D13" s="86" t="s">
        <v>7684</v>
      </c>
      <c r="E13" s="1209">
        <v>4</v>
      </c>
      <c r="F13" s="1210">
        <v>6</v>
      </c>
      <c r="G13" s="1209">
        <v>10</v>
      </c>
      <c r="H13" s="1209">
        <v>3</v>
      </c>
      <c r="I13" s="1209">
        <v>6</v>
      </c>
      <c r="J13" s="1209">
        <v>11</v>
      </c>
      <c r="K13" s="1209">
        <v>1</v>
      </c>
      <c r="L13" s="2105" t="str">
        <f t="shared" si="2"/>
        <v>Habilidad De Ataque+40</v>
      </c>
      <c r="M13" s="237"/>
      <c r="N13" s="6094"/>
      <c r="O13" s="86" t="s">
        <v>9038</v>
      </c>
      <c r="P13" s="86" t="str">
        <f t="shared" si="0"/>
        <v>'Tablas Técnicas'!$D$40:$D$50</v>
      </c>
      <c r="Q13" s="80" t="s">
        <v>2854</v>
      </c>
      <c r="R13" s="80" t="s">
        <v>2923</v>
      </c>
      <c r="S13" s="88" t="s">
        <v>9029</v>
      </c>
      <c r="T13" s="86" t="s">
        <v>1610</v>
      </c>
      <c r="U13" s="86" t="s">
        <v>1607</v>
      </c>
      <c r="V13" s="86" t="s">
        <v>1708</v>
      </c>
      <c r="W13" s="86" t="s">
        <v>9039</v>
      </c>
      <c r="X13" s="2103" t="b">
        <f t="shared" si="1"/>
        <v>0</v>
      </c>
      <c r="AA13" s="237"/>
    </row>
    <row r="14" spans="1:27" ht="12" customHeight="1" x14ac:dyDescent="0.2">
      <c r="A14" s="6077"/>
      <c r="B14" s="6097"/>
      <c r="C14" s="44" t="s">
        <v>9033</v>
      </c>
      <c r="D14" s="86" t="s">
        <v>7685</v>
      </c>
      <c r="E14" s="1209">
        <v>5</v>
      </c>
      <c r="F14" s="1210">
        <v>8</v>
      </c>
      <c r="G14" s="1209">
        <v>15</v>
      </c>
      <c r="H14" s="1209">
        <v>4</v>
      </c>
      <c r="I14" s="1209">
        <v>8</v>
      </c>
      <c r="J14" s="1209">
        <v>14</v>
      </c>
      <c r="K14" s="1209">
        <v>1</v>
      </c>
      <c r="L14" s="2105" t="str">
        <f t="shared" si="2"/>
        <v>Habilidad De Ataque+50</v>
      </c>
      <c r="M14" s="237"/>
      <c r="N14" s="6094"/>
      <c r="O14" s="86" t="s">
        <v>9041</v>
      </c>
      <c r="P14" s="86" t="str">
        <f t="shared" si="0"/>
        <v>'Tablas Técnicas'!$D$52:$D$57</v>
      </c>
      <c r="Q14" s="80" t="s">
        <v>2854</v>
      </c>
      <c r="R14" s="80" t="s">
        <v>1235</v>
      </c>
      <c r="S14" s="88" t="s">
        <v>9042</v>
      </c>
      <c r="T14" s="86" t="s">
        <v>1607</v>
      </c>
      <c r="U14" s="86" t="s">
        <v>7112</v>
      </c>
      <c r="V14" s="86" t="s">
        <v>7112</v>
      </c>
      <c r="W14" s="86" t="s">
        <v>1607</v>
      </c>
      <c r="X14" s="2103" t="b">
        <f t="shared" si="1"/>
        <v>0</v>
      </c>
      <c r="AA14" s="237"/>
    </row>
    <row r="15" spans="1:27" ht="12" customHeight="1" thickBot="1" x14ac:dyDescent="0.25">
      <c r="A15" s="6077"/>
      <c r="B15" s="6097"/>
      <c r="C15" s="44" t="s">
        <v>9033</v>
      </c>
      <c r="D15" s="86" t="s">
        <v>9044</v>
      </c>
      <c r="E15" s="1209">
        <v>9</v>
      </c>
      <c r="F15" s="1210">
        <v>12</v>
      </c>
      <c r="G15" s="1209">
        <v>20</v>
      </c>
      <c r="H15" s="1209">
        <v>6</v>
      </c>
      <c r="I15" s="1209">
        <v>12</v>
      </c>
      <c r="J15" s="1209">
        <v>21</v>
      </c>
      <c r="K15" s="1209">
        <v>1</v>
      </c>
      <c r="L15" s="2105" t="str">
        <f t="shared" si="2"/>
        <v>Habilidad De Ataque+75</v>
      </c>
      <c r="M15" s="237"/>
      <c r="N15" s="6094"/>
      <c r="O15" s="86" t="s">
        <v>9043</v>
      </c>
      <c r="P15" s="86" t="str">
        <f t="shared" si="0"/>
        <v>'Tablas Técnicas'!$D$59:$D$61</v>
      </c>
      <c r="Q15" s="80" t="s">
        <v>2857</v>
      </c>
      <c r="R15" s="80" t="s">
        <v>1235</v>
      </c>
      <c r="S15" s="88" t="s">
        <v>9042</v>
      </c>
      <c r="T15" s="86" t="s">
        <v>1607</v>
      </c>
      <c r="U15" s="86" t="s">
        <v>7112</v>
      </c>
      <c r="V15" s="86" t="s">
        <v>7112</v>
      </c>
      <c r="W15" s="86" t="s">
        <v>1607</v>
      </c>
      <c r="X15" s="2103" t="b">
        <f t="shared" si="1"/>
        <v>0</v>
      </c>
      <c r="Z15" s="237"/>
      <c r="AA15" s="237"/>
    </row>
    <row r="16" spans="1:27" ht="12" customHeight="1" x14ac:dyDescent="0.2">
      <c r="A16" s="6077"/>
      <c r="B16" s="6097"/>
      <c r="C16" s="44" t="s">
        <v>9033</v>
      </c>
      <c r="D16" s="86" t="s">
        <v>9048</v>
      </c>
      <c r="E16" s="1209">
        <v>12</v>
      </c>
      <c r="F16" s="1210">
        <v>15</v>
      </c>
      <c r="G16" s="1209">
        <v>25</v>
      </c>
      <c r="H16" s="1209">
        <v>8</v>
      </c>
      <c r="I16" s="1209">
        <v>16</v>
      </c>
      <c r="J16" s="1209">
        <v>28</v>
      </c>
      <c r="K16" s="1209">
        <v>1</v>
      </c>
      <c r="L16" s="2105" t="str">
        <f t="shared" si="2"/>
        <v>Habilidad De Ataque+90</v>
      </c>
      <c r="M16" s="237"/>
      <c r="N16" s="6094"/>
      <c r="O16" s="86" t="s">
        <v>9045</v>
      </c>
      <c r="P16" s="86" t="str">
        <f t="shared" si="0"/>
        <v>'Tablas Técnicas'!$D$63:$D$65</v>
      </c>
      <c r="Q16" s="80" t="s">
        <v>2854</v>
      </c>
      <c r="R16" s="80" t="s">
        <v>1235</v>
      </c>
      <c r="S16" s="88" t="s">
        <v>9046</v>
      </c>
      <c r="T16" s="86" t="s">
        <v>1610</v>
      </c>
      <c r="U16" s="86" t="s">
        <v>1607</v>
      </c>
      <c r="V16" s="86" t="s">
        <v>1704</v>
      </c>
      <c r="W16" s="86" t="s">
        <v>9047</v>
      </c>
      <c r="X16" s="2103" t="b">
        <f t="shared" si="1"/>
        <v>0</v>
      </c>
      <c r="Z16" s="2104" t="s">
        <v>9055</v>
      </c>
      <c r="AA16" s="2104" t="s">
        <v>9510</v>
      </c>
    </row>
    <row r="17" spans="1:27" ht="12" customHeight="1" x14ac:dyDescent="0.2">
      <c r="A17" s="6077"/>
      <c r="B17" s="6097"/>
      <c r="C17" s="44" t="s">
        <v>9033</v>
      </c>
      <c r="D17" s="86" t="s">
        <v>9051</v>
      </c>
      <c r="E17" s="1209">
        <v>14</v>
      </c>
      <c r="F17" s="1210">
        <v>18</v>
      </c>
      <c r="G17" s="1209">
        <v>30</v>
      </c>
      <c r="H17" s="1209">
        <v>10</v>
      </c>
      <c r="I17" s="1209">
        <v>20</v>
      </c>
      <c r="J17" s="1209">
        <v>35</v>
      </c>
      <c r="K17" s="1209">
        <v>1</v>
      </c>
      <c r="L17" s="2105" t="str">
        <f t="shared" si="2"/>
        <v>Habilidad De Ataque+100</v>
      </c>
      <c r="M17" s="237"/>
      <c r="N17" s="6094"/>
      <c r="O17" s="86" t="s">
        <v>9049</v>
      </c>
      <c r="P17" s="86" t="str">
        <f t="shared" si="0"/>
        <v>'Tablas Técnicas'!$D$67:$D$74</v>
      </c>
      <c r="Q17" s="80" t="s">
        <v>2854</v>
      </c>
      <c r="R17" s="80" t="s">
        <v>1235</v>
      </c>
      <c r="S17" s="88" t="s">
        <v>9050</v>
      </c>
      <c r="T17" s="86" t="s">
        <v>1610</v>
      </c>
      <c r="U17" s="86" t="s">
        <v>1607</v>
      </c>
      <c r="V17" s="86" t="s">
        <v>1704</v>
      </c>
      <c r="W17" s="86" t="s">
        <v>9047</v>
      </c>
      <c r="X17" s="2103" t="b">
        <f t="shared" si="1"/>
        <v>0</v>
      </c>
      <c r="Z17" s="2106">
        <v>0</v>
      </c>
      <c r="AA17" s="2106">
        <v>0</v>
      </c>
    </row>
    <row r="18" spans="1:27" ht="12" customHeight="1" x14ac:dyDescent="0.2">
      <c r="A18" s="6077"/>
      <c r="B18" s="6097"/>
      <c r="C18" s="44" t="s">
        <v>9033</v>
      </c>
      <c r="D18" s="86" t="s">
        <v>9052</v>
      </c>
      <c r="E18" s="1209">
        <v>18</v>
      </c>
      <c r="F18" s="1210">
        <v>22</v>
      </c>
      <c r="G18" s="1209">
        <v>35</v>
      </c>
      <c r="H18" s="1209">
        <v>12</v>
      </c>
      <c r="I18" s="1209">
        <v>24</v>
      </c>
      <c r="J18" s="1209">
        <v>42</v>
      </c>
      <c r="K18" s="1209">
        <v>2</v>
      </c>
      <c r="L18" s="2105" t="str">
        <f t="shared" si="2"/>
        <v>Habilidad De Ataque+125</v>
      </c>
      <c r="M18" s="237"/>
      <c r="N18" s="6094"/>
      <c r="O18" s="86" t="s">
        <v>2860</v>
      </c>
      <c r="P18" s="86"/>
      <c r="Q18" s="80"/>
      <c r="R18" s="80"/>
      <c r="S18" s="88"/>
      <c r="T18" s="86"/>
      <c r="U18" s="86" t="s">
        <v>7112</v>
      </c>
      <c r="V18" s="86" t="s">
        <v>7112</v>
      </c>
      <c r="W18" s="86" t="s">
        <v>7112</v>
      </c>
      <c r="X18" s="2103" t="b">
        <f t="shared" si="1"/>
        <v>0</v>
      </c>
      <c r="Z18" s="2106">
        <v>-5</v>
      </c>
      <c r="AA18" s="2106">
        <v>-1</v>
      </c>
    </row>
    <row r="19" spans="1:27" ht="12" customHeight="1" x14ac:dyDescent="0.2">
      <c r="A19" s="6077"/>
      <c r="B19" s="6097"/>
      <c r="C19" s="44" t="s">
        <v>9033</v>
      </c>
      <c r="D19" s="86" t="s">
        <v>9054</v>
      </c>
      <c r="E19" s="1209">
        <v>22</v>
      </c>
      <c r="F19" s="1210">
        <v>26</v>
      </c>
      <c r="G19" s="1209">
        <v>40</v>
      </c>
      <c r="H19" s="1209">
        <v>14</v>
      </c>
      <c r="I19" s="1209">
        <v>28</v>
      </c>
      <c r="J19" s="1209">
        <v>49</v>
      </c>
      <c r="K19" s="1209">
        <v>2</v>
      </c>
      <c r="L19" s="2105" t="str">
        <f t="shared" si="2"/>
        <v>Habilidad De Ataque+150</v>
      </c>
      <c r="M19" s="237"/>
      <c r="N19" s="6094"/>
      <c r="O19" s="86" t="s">
        <v>2838</v>
      </c>
      <c r="P19" s="86" t="str">
        <f t="shared" si="0"/>
        <v>'Tablas Técnicas'!$D$77:$D$87</v>
      </c>
      <c r="Q19" s="80" t="s">
        <v>2854</v>
      </c>
      <c r="R19" s="80" t="s">
        <v>1569</v>
      </c>
      <c r="S19" s="88" t="s">
        <v>9029</v>
      </c>
      <c r="T19" s="86" t="s">
        <v>1610</v>
      </c>
      <c r="U19" s="86" t="s">
        <v>1703</v>
      </c>
      <c r="V19" s="86" t="s">
        <v>1708</v>
      </c>
      <c r="W19" s="86" t="s">
        <v>9053</v>
      </c>
      <c r="X19" s="2103" t="b">
        <f t="shared" si="1"/>
        <v>0</v>
      </c>
      <c r="Z19" s="2106">
        <v>-10</v>
      </c>
      <c r="AA19" s="2106">
        <v>-2</v>
      </c>
    </row>
    <row r="20" spans="1:27" ht="12" customHeight="1" x14ac:dyDescent="0.2">
      <c r="A20" s="6077"/>
      <c r="B20" s="6097"/>
      <c r="C20" s="44" t="s">
        <v>9033</v>
      </c>
      <c r="D20" s="86" t="s">
        <v>9057</v>
      </c>
      <c r="E20" s="1209">
        <v>26</v>
      </c>
      <c r="F20" s="1210">
        <v>32</v>
      </c>
      <c r="G20" s="1209">
        <v>45</v>
      </c>
      <c r="H20" s="1209">
        <v>16</v>
      </c>
      <c r="I20" s="1209">
        <v>32</v>
      </c>
      <c r="J20" s="1209">
        <v>56</v>
      </c>
      <c r="K20" s="1209">
        <v>3</v>
      </c>
      <c r="L20" s="2105" t="str">
        <f t="shared" si="2"/>
        <v>Habilidad De Ataque+175</v>
      </c>
      <c r="M20" s="237"/>
      <c r="N20" s="6094"/>
      <c r="O20" s="86" t="s">
        <v>9056</v>
      </c>
      <c r="P20" s="86" t="str">
        <f t="shared" si="0"/>
        <v>'Tablas Técnicas'!$D$89:$D$95</v>
      </c>
      <c r="Q20" s="80" t="s">
        <v>2857</v>
      </c>
      <c r="R20" s="80" t="s">
        <v>1569</v>
      </c>
      <c r="S20" s="88" t="s">
        <v>9029</v>
      </c>
      <c r="T20" s="86" t="s">
        <v>1610</v>
      </c>
      <c r="U20" s="86" t="s">
        <v>1703</v>
      </c>
      <c r="V20" s="86" t="s">
        <v>1708</v>
      </c>
      <c r="W20" s="86" t="s">
        <v>9053</v>
      </c>
      <c r="X20" s="2103" t="b">
        <f t="shared" si="1"/>
        <v>0</v>
      </c>
      <c r="Z20" s="2106">
        <v>-15</v>
      </c>
      <c r="AA20" s="2106">
        <v>-3</v>
      </c>
    </row>
    <row r="21" spans="1:27" ht="12" customHeight="1" thickBot="1" x14ac:dyDescent="0.25">
      <c r="A21" s="6077"/>
      <c r="B21" s="6097"/>
      <c r="C21" s="44" t="s">
        <v>9033</v>
      </c>
      <c r="D21" s="86" t="s">
        <v>9059</v>
      </c>
      <c r="E21" s="1209">
        <v>30</v>
      </c>
      <c r="F21" s="1210">
        <v>36</v>
      </c>
      <c r="G21" s="1209">
        <v>50</v>
      </c>
      <c r="H21" s="1209">
        <v>18</v>
      </c>
      <c r="I21" s="1209">
        <v>36</v>
      </c>
      <c r="J21" s="1209">
        <v>63</v>
      </c>
      <c r="K21" s="1209">
        <v>3</v>
      </c>
      <c r="L21" s="2105" t="str">
        <f t="shared" si="2"/>
        <v>Habilidad De Ataque+200</v>
      </c>
      <c r="M21" s="237"/>
      <c r="N21" s="6094"/>
      <c r="O21" s="86" t="s">
        <v>9058</v>
      </c>
      <c r="P21" s="86" t="str">
        <f t="shared" si="0"/>
        <v>'Tablas Técnicas'!$D$97:$D$107</v>
      </c>
      <c r="Q21" s="80" t="s">
        <v>2854</v>
      </c>
      <c r="R21" s="80" t="s">
        <v>1569</v>
      </c>
      <c r="S21" s="88" t="s">
        <v>9029</v>
      </c>
      <c r="T21" s="86" t="s">
        <v>1610</v>
      </c>
      <c r="U21" s="86" t="s">
        <v>1703</v>
      </c>
      <c r="V21" s="86" t="s">
        <v>1708</v>
      </c>
      <c r="W21" s="86" t="s">
        <v>9053</v>
      </c>
      <c r="X21" s="2103" t="b">
        <f t="shared" si="1"/>
        <v>0</v>
      </c>
      <c r="Z21" s="2107">
        <v>-20</v>
      </c>
      <c r="AA21" s="2106">
        <v>-4</v>
      </c>
    </row>
    <row r="22" spans="1:27" ht="12" customHeight="1" thickBot="1" x14ac:dyDescent="0.25">
      <c r="A22" s="6077"/>
      <c r="B22" s="6097"/>
      <c r="C22" s="44" t="s">
        <v>9062</v>
      </c>
      <c r="D22" s="86"/>
      <c r="E22" s="1209"/>
      <c r="F22" s="1210"/>
      <c r="G22" s="1209"/>
      <c r="H22" s="1209"/>
      <c r="I22" s="1209"/>
      <c r="J22" s="1209"/>
      <c r="K22" s="1209"/>
      <c r="L22" s="2105" t="str">
        <f t="shared" si="2"/>
        <v>&gt; HABILIDAD DE ATAQUE COMPLETA</v>
      </c>
      <c r="M22" s="237"/>
      <c r="N22" s="6094"/>
      <c r="O22" s="86" t="s">
        <v>2836</v>
      </c>
      <c r="P22" s="86" t="str">
        <f t="shared" si="0"/>
        <v>'Tablas Técnicas'!$D$109:$D$119</v>
      </c>
      <c r="Q22" s="80" t="s">
        <v>2854</v>
      </c>
      <c r="R22" s="80" t="s">
        <v>1569</v>
      </c>
      <c r="S22" s="88" t="s">
        <v>9060</v>
      </c>
      <c r="T22" s="86" t="s">
        <v>1610</v>
      </c>
      <c r="U22" s="86" t="s">
        <v>1607</v>
      </c>
      <c r="V22" s="86" t="s">
        <v>1703</v>
      </c>
      <c r="W22" s="86" t="s">
        <v>9061</v>
      </c>
      <c r="X22" s="2103" t="b">
        <f t="shared" si="1"/>
        <v>0</v>
      </c>
      <c r="Z22" s="237"/>
      <c r="AA22" s="2107">
        <v>-5</v>
      </c>
    </row>
    <row r="23" spans="1:27" ht="12" customHeight="1" thickBot="1" x14ac:dyDescent="0.25">
      <c r="A23" s="6077"/>
      <c r="B23" s="6097"/>
      <c r="C23" s="44" t="s">
        <v>9064</v>
      </c>
      <c r="D23" s="86" t="s">
        <v>7682</v>
      </c>
      <c r="E23" s="1209">
        <v>4</v>
      </c>
      <c r="F23" s="1210">
        <v>6</v>
      </c>
      <c r="G23" s="1209">
        <v>10</v>
      </c>
      <c r="H23" s="1209">
        <v>2</v>
      </c>
      <c r="I23" s="1209">
        <v>4</v>
      </c>
      <c r="J23" s="1209">
        <v>7</v>
      </c>
      <c r="K23" s="1209">
        <v>1</v>
      </c>
      <c r="L23" s="2105" t="str">
        <f t="shared" si="2"/>
        <v>Habilidad De Ataque Completa+10</v>
      </c>
      <c r="M23" s="237"/>
      <c r="N23" s="6094"/>
      <c r="O23" s="86" t="s">
        <v>9063</v>
      </c>
      <c r="P23" s="86" t="str">
        <f t="shared" si="0"/>
        <v>'Tablas Técnicas'!$D$121:$D$127</v>
      </c>
      <c r="Q23" s="80" t="s">
        <v>2857</v>
      </c>
      <c r="R23" s="80" t="s">
        <v>1569</v>
      </c>
      <c r="S23" s="88" t="s">
        <v>9060</v>
      </c>
      <c r="T23" s="86" t="s">
        <v>1610</v>
      </c>
      <c r="U23" s="86" t="s">
        <v>1607</v>
      </c>
      <c r="V23" s="86" t="s">
        <v>1703</v>
      </c>
      <c r="W23" s="86" t="s">
        <v>9061</v>
      </c>
      <c r="X23" s="2103" t="b">
        <f t="shared" si="1"/>
        <v>0</v>
      </c>
      <c r="Z23" s="237"/>
      <c r="AA23" s="237"/>
    </row>
    <row r="24" spans="1:27" ht="12" customHeight="1" x14ac:dyDescent="0.2">
      <c r="A24" s="6077"/>
      <c r="B24" s="6097"/>
      <c r="C24" s="44" t="s">
        <v>9064</v>
      </c>
      <c r="D24" s="86" t="s">
        <v>7826</v>
      </c>
      <c r="E24" s="1209">
        <v>8</v>
      </c>
      <c r="F24" s="1210">
        <v>11</v>
      </c>
      <c r="G24" s="1209">
        <v>15</v>
      </c>
      <c r="H24" s="1209">
        <v>5</v>
      </c>
      <c r="I24" s="1209">
        <v>10</v>
      </c>
      <c r="J24" s="1209">
        <v>18</v>
      </c>
      <c r="K24" s="1209">
        <v>1</v>
      </c>
      <c r="L24" s="2105" t="str">
        <f t="shared" si="2"/>
        <v>Habilidad De Ataque Completa+25</v>
      </c>
      <c r="M24" s="237"/>
      <c r="N24" s="6094"/>
      <c r="O24" s="86" t="s">
        <v>9065</v>
      </c>
      <c r="P24" s="86" t="str">
        <f t="shared" si="0"/>
        <v>'Tablas Técnicas'!$D$129:$D$139</v>
      </c>
      <c r="Q24" s="80" t="s">
        <v>2854</v>
      </c>
      <c r="R24" s="80" t="s">
        <v>1569</v>
      </c>
      <c r="S24" s="88" t="s">
        <v>9060</v>
      </c>
      <c r="T24" s="86" t="s">
        <v>1607</v>
      </c>
      <c r="U24" s="86" t="s">
        <v>1703</v>
      </c>
      <c r="V24" s="86" t="s">
        <v>1704</v>
      </c>
      <c r="W24" s="86" t="s">
        <v>9066</v>
      </c>
      <c r="X24" s="2103" t="b">
        <f t="shared" si="1"/>
        <v>0</v>
      </c>
      <c r="Z24" s="2104" t="s">
        <v>9005</v>
      </c>
      <c r="AA24" s="2104" t="s">
        <v>9519</v>
      </c>
    </row>
    <row r="25" spans="1:27" ht="12" customHeight="1" x14ac:dyDescent="0.2">
      <c r="A25" s="6077"/>
      <c r="B25" s="6097"/>
      <c r="C25" s="44" t="s">
        <v>9064</v>
      </c>
      <c r="D25" s="86" t="s">
        <v>7684</v>
      </c>
      <c r="E25" s="1209">
        <v>10</v>
      </c>
      <c r="F25" s="1210">
        <v>13</v>
      </c>
      <c r="G25" s="1209">
        <v>20</v>
      </c>
      <c r="H25" s="1209">
        <v>8</v>
      </c>
      <c r="I25" s="1209">
        <v>16</v>
      </c>
      <c r="J25" s="1209">
        <v>28</v>
      </c>
      <c r="K25" s="1209">
        <v>1</v>
      </c>
      <c r="L25" s="2105" t="str">
        <f t="shared" si="2"/>
        <v>Habilidad De Ataque Completa+40</v>
      </c>
      <c r="M25" s="237"/>
      <c r="N25" s="6094"/>
      <c r="O25" s="86" t="s">
        <v>9067</v>
      </c>
      <c r="P25" s="86" t="str">
        <f t="shared" si="0"/>
        <v>'Tablas Técnicas'!$D$141:$D$148</v>
      </c>
      <c r="Q25" s="80" t="s">
        <v>2854</v>
      </c>
      <c r="R25" s="80" t="s">
        <v>1569</v>
      </c>
      <c r="S25" s="88" t="s">
        <v>9068</v>
      </c>
      <c r="T25" s="86" t="s">
        <v>1610</v>
      </c>
      <c r="U25" s="86" t="s">
        <v>1703</v>
      </c>
      <c r="V25" s="86" t="s">
        <v>1708</v>
      </c>
      <c r="W25" s="86" t="s">
        <v>9053</v>
      </c>
      <c r="X25" s="2103" t="b">
        <f t="shared" si="1"/>
        <v>0</v>
      </c>
      <c r="Z25" s="2106" t="s">
        <v>1607</v>
      </c>
      <c r="AA25" s="2106" t="b">
        <f>ISNUMBER(FIND("Empatía Elemental ("&amp;Z25&amp;")",Principal!$AF$30))</f>
        <v>0</v>
      </c>
    </row>
    <row r="26" spans="1:27" ht="12" customHeight="1" x14ac:dyDescent="0.2">
      <c r="A26" s="6077"/>
      <c r="B26" s="6097"/>
      <c r="C26" s="44" t="s">
        <v>9064</v>
      </c>
      <c r="D26" s="86" t="s">
        <v>7685</v>
      </c>
      <c r="E26" s="1209">
        <v>12</v>
      </c>
      <c r="F26" s="1210">
        <v>15</v>
      </c>
      <c r="G26" s="1209">
        <v>30</v>
      </c>
      <c r="H26" s="1209">
        <v>10</v>
      </c>
      <c r="I26" s="1209">
        <v>20</v>
      </c>
      <c r="J26" s="1209">
        <v>35</v>
      </c>
      <c r="K26" s="1209">
        <v>2</v>
      </c>
      <c r="L26" s="2105" t="str">
        <f t="shared" si="2"/>
        <v>Habilidad De Ataque Completa+50</v>
      </c>
      <c r="M26" s="237"/>
      <c r="N26" s="6094"/>
      <c r="O26" s="86" t="s">
        <v>9236</v>
      </c>
      <c r="P26" s="86"/>
      <c r="Q26" s="80"/>
      <c r="R26" s="80"/>
      <c r="S26" s="88"/>
      <c r="T26" s="86"/>
      <c r="U26" s="86" t="s">
        <v>7112</v>
      </c>
      <c r="V26" s="86" t="s">
        <v>7112</v>
      </c>
      <c r="W26" s="86" t="s">
        <v>7112</v>
      </c>
      <c r="X26" s="2103" t="b">
        <f t="shared" si="1"/>
        <v>0</v>
      </c>
      <c r="Z26" s="2106" t="s">
        <v>1610</v>
      </c>
      <c r="AA26" s="2106" t="b">
        <f>ISNUMBER(FIND("Empatía Elemental ("&amp;Z26&amp;")",Principal!$AF$30))</f>
        <v>0</v>
      </c>
    </row>
    <row r="27" spans="1:27" ht="12" customHeight="1" x14ac:dyDescent="0.2">
      <c r="A27" s="6077"/>
      <c r="B27" s="6097"/>
      <c r="C27" s="44" t="s">
        <v>9064</v>
      </c>
      <c r="D27" s="86" t="s">
        <v>9044</v>
      </c>
      <c r="E27" s="1209">
        <v>18</v>
      </c>
      <c r="F27" s="1210">
        <v>22</v>
      </c>
      <c r="G27" s="1209">
        <v>50</v>
      </c>
      <c r="H27" s="1209">
        <v>14</v>
      </c>
      <c r="I27" s="1209">
        <v>28</v>
      </c>
      <c r="J27" s="1209">
        <v>49</v>
      </c>
      <c r="K27" s="1209">
        <v>2</v>
      </c>
      <c r="L27" s="2105" t="str">
        <f t="shared" si="2"/>
        <v>Habilidad De Ataque Completa+75</v>
      </c>
      <c r="M27" s="237"/>
      <c r="N27" s="6094"/>
      <c r="O27" s="86" t="s">
        <v>9069</v>
      </c>
      <c r="P27" s="86" t="str">
        <f t="shared" si="0"/>
        <v>'Tablas Técnicas'!$D$151:$D$166</v>
      </c>
      <c r="Q27" s="80" t="s">
        <v>2854</v>
      </c>
      <c r="R27" s="80" t="s">
        <v>1235</v>
      </c>
      <c r="S27" s="88" t="s">
        <v>9070</v>
      </c>
      <c r="T27" s="86" t="s">
        <v>1614</v>
      </c>
      <c r="U27" s="86" t="s">
        <v>1708</v>
      </c>
      <c r="V27" s="86" t="s">
        <v>7112</v>
      </c>
      <c r="W27" s="86" t="s">
        <v>9543</v>
      </c>
      <c r="X27" s="2103" t="b">
        <f t="shared" si="1"/>
        <v>0</v>
      </c>
      <c r="Z27" s="2106" t="s">
        <v>1614</v>
      </c>
      <c r="AA27" s="2106" t="b">
        <f>ISNUMBER(FIND("Empatía Elemental ("&amp;Z27&amp;")",Principal!$AF$30))</f>
        <v>0</v>
      </c>
    </row>
    <row r="28" spans="1:27" ht="12" customHeight="1" x14ac:dyDescent="0.2">
      <c r="A28" s="6077"/>
      <c r="B28" s="6097"/>
      <c r="C28" s="44" t="s">
        <v>9064</v>
      </c>
      <c r="D28" s="86" t="s">
        <v>9048</v>
      </c>
      <c r="E28" s="1209">
        <v>24</v>
      </c>
      <c r="F28" s="1210">
        <v>29</v>
      </c>
      <c r="G28" s="1209">
        <v>60</v>
      </c>
      <c r="H28" s="1209">
        <v>18</v>
      </c>
      <c r="I28" s="1209">
        <v>36</v>
      </c>
      <c r="J28" s="1209">
        <v>63</v>
      </c>
      <c r="K28" s="1209">
        <v>3</v>
      </c>
      <c r="L28" s="2105" t="str">
        <f t="shared" si="2"/>
        <v>Habilidad De Ataque Completa+90</v>
      </c>
      <c r="M28" s="237"/>
      <c r="N28" s="6094"/>
      <c r="O28" s="86" t="s">
        <v>9071</v>
      </c>
      <c r="P28" s="86" t="str">
        <f t="shared" si="0"/>
        <v>'Tablas Técnicas'!$D$168:$D$174</v>
      </c>
      <c r="Q28" s="80" t="s">
        <v>2857</v>
      </c>
      <c r="R28" s="80" t="s">
        <v>1235</v>
      </c>
      <c r="S28" s="88" t="s">
        <v>9072</v>
      </c>
      <c r="T28" s="86" t="s">
        <v>1614</v>
      </c>
      <c r="U28" s="86" t="s">
        <v>1708</v>
      </c>
      <c r="V28" s="86" t="s">
        <v>7112</v>
      </c>
      <c r="W28" s="86" t="s">
        <v>9543</v>
      </c>
      <c r="X28" s="2103" t="b">
        <f t="shared" si="1"/>
        <v>0</v>
      </c>
      <c r="Z28" s="2106" t="s">
        <v>1708</v>
      </c>
      <c r="AA28" s="2106" t="b">
        <f>ISNUMBER(FIND("Empatía Elemental ("&amp;Z28&amp;")",Principal!$AF$30))</f>
        <v>0</v>
      </c>
    </row>
    <row r="29" spans="1:27" ht="12" customHeight="1" x14ac:dyDescent="0.2">
      <c r="A29" s="6077"/>
      <c r="B29" s="6097"/>
      <c r="C29" s="44" t="s">
        <v>9064</v>
      </c>
      <c r="D29" s="86" t="s">
        <v>9051</v>
      </c>
      <c r="E29" s="1209">
        <v>28</v>
      </c>
      <c r="F29" s="1210">
        <v>32</v>
      </c>
      <c r="G29" s="1209">
        <v>70</v>
      </c>
      <c r="H29" s="1209">
        <v>20</v>
      </c>
      <c r="I29" s="1209">
        <v>40</v>
      </c>
      <c r="J29" s="1209">
        <v>70</v>
      </c>
      <c r="K29" s="1209">
        <v>3</v>
      </c>
      <c r="L29" s="2105" t="str">
        <f t="shared" si="2"/>
        <v>Habilidad De Ataque Completa+100</v>
      </c>
      <c r="M29" s="237"/>
      <c r="N29" s="6094"/>
      <c r="O29" s="86" t="s">
        <v>9073</v>
      </c>
      <c r="P29" s="86" t="str">
        <f t="shared" si="0"/>
        <v>'Tablas Técnicas'!$D$176:$D$178</v>
      </c>
      <c r="Q29" s="80" t="s">
        <v>2854</v>
      </c>
      <c r="R29" s="80" t="s">
        <v>1235</v>
      </c>
      <c r="S29" s="88" t="s">
        <v>9074</v>
      </c>
      <c r="T29" s="86" t="s">
        <v>1614</v>
      </c>
      <c r="U29" s="86" t="s">
        <v>1708</v>
      </c>
      <c r="V29" s="86" t="s">
        <v>7112</v>
      </c>
      <c r="W29" s="86" t="s">
        <v>9543</v>
      </c>
      <c r="X29" s="2103" t="b">
        <f t="shared" si="1"/>
        <v>0</v>
      </c>
      <c r="Z29" s="2106" t="s">
        <v>1703</v>
      </c>
      <c r="AA29" s="2106" t="b">
        <f>ISNUMBER(FIND("Empatía Elemental ("&amp;Z29&amp;")",Principal!$AF$30))</f>
        <v>0</v>
      </c>
    </row>
    <row r="30" spans="1:27" ht="12" customHeight="1" thickBot="1" x14ac:dyDescent="0.25">
      <c r="A30" s="6077"/>
      <c r="B30" s="6097"/>
      <c r="C30" s="44" t="s">
        <v>9077</v>
      </c>
      <c r="D30" s="86"/>
      <c r="E30" s="1209"/>
      <c r="F30" s="1210"/>
      <c r="G30" s="1209"/>
      <c r="H30" s="1209"/>
      <c r="I30" s="1209"/>
      <c r="J30" s="1209"/>
      <c r="K30" s="1209"/>
      <c r="L30" s="2105" t="str">
        <f t="shared" si="2"/>
        <v>&gt; ATAQUE PREDETERMINADO</v>
      </c>
      <c r="M30" s="237"/>
      <c r="N30" s="6094"/>
      <c r="O30" s="86" t="s">
        <v>9075</v>
      </c>
      <c r="P30" s="86" t="str">
        <f t="shared" si="0"/>
        <v>'Tablas Técnicas'!$D$180:$D$182</v>
      </c>
      <c r="Q30" s="80" t="s">
        <v>2857</v>
      </c>
      <c r="R30" s="80" t="s">
        <v>1235</v>
      </c>
      <c r="S30" s="88" t="s">
        <v>9074</v>
      </c>
      <c r="T30" s="86" t="s">
        <v>1614</v>
      </c>
      <c r="U30" s="86" t="s">
        <v>1708</v>
      </c>
      <c r="V30" s="86" t="s">
        <v>7112</v>
      </c>
      <c r="W30" s="86" t="s">
        <v>9543</v>
      </c>
      <c r="X30" s="2103" t="b">
        <f t="shared" si="1"/>
        <v>0</v>
      </c>
      <c r="Z30" s="2107" t="s">
        <v>1704</v>
      </c>
      <c r="AA30" s="2107" t="b">
        <f>ISNUMBER(FIND("Empatía Elemental ("&amp;Z30&amp;")",Principal!$AF$30))</f>
        <v>0</v>
      </c>
    </row>
    <row r="31" spans="1:27" ht="12" customHeight="1" x14ac:dyDescent="0.2">
      <c r="A31" s="6077"/>
      <c r="B31" s="6097"/>
      <c r="C31" s="44" t="s">
        <v>9034</v>
      </c>
      <c r="D31" s="86" t="s">
        <v>9079</v>
      </c>
      <c r="E31" s="1209">
        <v>2</v>
      </c>
      <c r="F31" s="1210">
        <v>4</v>
      </c>
      <c r="G31" s="1209">
        <v>5</v>
      </c>
      <c r="H31" s="1209">
        <v>1</v>
      </c>
      <c r="I31" s="1209">
        <v>2</v>
      </c>
      <c r="J31" s="1209">
        <v>4</v>
      </c>
      <c r="K31" s="1209">
        <v>1</v>
      </c>
      <c r="L31" s="2105" t="str">
        <f t="shared" si="2"/>
        <v>Ataque PredeterminadoMedia (80)</v>
      </c>
      <c r="M31" s="237"/>
      <c r="N31" s="6094"/>
      <c r="O31" s="86" t="s">
        <v>9076</v>
      </c>
      <c r="P31" s="86" t="str">
        <f t="shared" si="0"/>
        <v>'Tablas Técnicas'!$D$184:$D$190</v>
      </c>
      <c r="Q31" s="80" t="s">
        <v>2854</v>
      </c>
      <c r="R31" s="80" t="s">
        <v>1235</v>
      </c>
      <c r="S31" s="88" t="s">
        <v>9072</v>
      </c>
      <c r="T31" s="86" t="s">
        <v>1614</v>
      </c>
      <c r="U31" s="86" t="s">
        <v>1708</v>
      </c>
      <c r="V31" s="86" t="s">
        <v>7112</v>
      </c>
      <c r="W31" s="86" t="s">
        <v>9543</v>
      </c>
      <c r="X31" s="2103" t="b">
        <f t="shared" si="1"/>
        <v>0</v>
      </c>
      <c r="Z31" s="237"/>
    </row>
    <row r="32" spans="1:27" ht="12" customHeight="1" x14ac:dyDescent="0.2">
      <c r="A32" s="6077"/>
      <c r="B32" s="6097"/>
      <c r="C32" s="44" t="s">
        <v>9034</v>
      </c>
      <c r="D32" s="86" t="s">
        <v>9080</v>
      </c>
      <c r="E32" s="1209">
        <v>4</v>
      </c>
      <c r="F32" s="1210">
        <v>6</v>
      </c>
      <c r="G32" s="1209">
        <v>5</v>
      </c>
      <c r="H32" s="1209">
        <v>2</v>
      </c>
      <c r="I32" s="1209">
        <v>4</v>
      </c>
      <c r="J32" s="1209">
        <v>7</v>
      </c>
      <c r="K32" s="1209">
        <v>1</v>
      </c>
      <c r="L32" s="2105" t="str">
        <f t="shared" si="2"/>
        <v>Ataque PredeterminadoDifícil (120)</v>
      </c>
      <c r="M32" s="237"/>
      <c r="N32" s="6094"/>
      <c r="O32" s="86" t="s">
        <v>9078</v>
      </c>
      <c r="P32" s="86" t="str">
        <f t="shared" si="0"/>
        <v>'Tablas Técnicas'!$D$192:$D$197</v>
      </c>
      <c r="Q32" s="80" t="s">
        <v>2857</v>
      </c>
      <c r="R32" s="80" t="s">
        <v>1235</v>
      </c>
      <c r="S32" s="88" t="s">
        <v>9072</v>
      </c>
      <c r="T32" s="86" t="s">
        <v>1614</v>
      </c>
      <c r="U32" s="86" t="s">
        <v>1708</v>
      </c>
      <c r="V32" s="86" t="s">
        <v>7112</v>
      </c>
      <c r="W32" s="86" t="s">
        <v>9543</v>
      </c>
      <c r="X32" s="2103" t="b">
        <f t="shared" si="1"/>
        <v>0</v>
      </c>
      <c r="Z32" s="237"/>
    </row>
    <row r="33" spans="1:26" ht="12" customHeight="1" x14ac:dyDescent="0.2">
      <c r="A33" s="6077"/>
      <c r="B33" s="6097"/>
      <c r="C33" s="44" t="s">
        <v>9034</v>
      </c>
      <c r="D33" s="86" t="s">
        <v>9083</v>
      </c>
      <c r="E33" s="1209">
        <v>6</v>
      </c>
      <c r="F33" s="1210">
        <v>9</v>
      </c>
      <c r="G33" s="1209">
        <v>5</v>
      </c>
      <c r="H33" s="1209">
        <v>3</v>
      </c>
      <c r="I33" s="1209">
        <v>6</v>
      </c>
      <c r="J33" s="1209">
        <v>11</v>
      </c>
      <c r="K33" s="1209">
        <v>1</v>
      </c>
      <c r="L33" s="2105" t="str">
        <f t="shared" si="2"/>
        <v>Ataque PredeterminadoMuy Difícil (140)</v>
      </c>
      <c r="M33" s="237"/>
      <c r="N33" s="6094"/>
      <c r="O33" s="86" t="s">
        <v>2881</v>
      </c>
      <c r="P33" s="86"/>
      <c r="Q33" s="80"/>
      <c r="R33" s="80"/>
      <c r="S33" s="88"/>
      <c r="T33" s="86" t="s">
        <v>2797</v>
      </c>
      <c r="U33" s="86" t="s">
        <v>7112</v>
      </c>
      <c r="V33" s="86" t="s">
        <v>7112</v>
      </c>
      <c r="W33" s="86" t="s">
        <v>2797</v>
      </c>
      <c r="X33" s="2103" t="b">
        <f t="shared" si="1"/>
        <v>0</v>
      </c>
      <c r="Z33" s="237"/>
    </row>
    <row r="34" spans="1:26" ht="12" customHeight="1" x14ac:dyDescent="0.2">
      <c r="A34" s="6077"/>
      <c r="B34" s="6097"/>
      <c r="C34" s="44" t="s">
        <v>9034</v>
      </c>
      <c r="D34" s="86" t="s">
        <v>9085</v>
      </c>
      <c r="E34" s="1209">
        <v>8</v>
      </c>
      <c r="F34" s="1210">
        <v>11</v>
      </c>
      <c r="G34" s="1209">
        <v>10</v>
      </c>
      <c r="H34" s="1209">
        <v>4</v>
      </c>
      <c r="I34" s="1209">
        <v>8</v>
      </c>
      <c r="J34" s="1209">
        <v>14</v>
      </c>
      <c r="K34" s="1209">
        <v>1</v>
      </c>
      <c r="L34" s="2105" t="str">
        <f t="shared" si="2"/>
        <v>Ataque PredeterminadoAbsurdo (180)</v>
      </c>
      <c r="M34" s="237"/>
      <c r="N34" s="6094"/>
      <c r="O34" s="86" t="s">
        <v>9081</v>
      </c>
      <c r="P34" s="86" t="str">
        <f t="shared" si="0"/>
        <v>'Tablas Técnicas'!$D$200:$D$208</v>
      </c>
      <c r="Q34" s="80" t="s">
        <v>2854</v>
      </c>
      <c r="R34" s="80" t="s">
        <v>1235</v>
      </c>
      <c r="S34" s="88" t="s">
        <v>9082</v>
      </c>
      <c r="T34" s="86" t="s">
        <v>1610</v>
      </c>
      <c r="U34" s="86" t="s">
        <v>1607</v>
      </c>
      <c r="V34" s="86" t="s">
        <v>7112</v>
      </c>
      <c r="W34" s="86" t="s">
        <v>9845</v>
      </c>
      <c r="X34" s="2103" t="b">
        <f t="shared" si="1"/>
        <v>0</v>
      </c>
      <c r="Z34" s="237"/>
    </row>
    <row r="35" spans="1:26" ht="12" customHeight="1" x14ac:dyDescent="0.2">
      <c r="A35" s="6077"/>
      <c r="B35" s="6097"/>
      <c r="C35" s="44" t="s">
        <v>9034</v>
      </c>
      <c r="D35" s="86" t="s">
        <v>9088</v>
      </c>
      <c r="E35" s="1209">
        <v>12</v>
      </c>
      <c r="F35" s="1210">
        <v>15</v>
      </c>
      <c r="G35" s="1209">
        <v>15</v>
      </c>
      <c r="H35" s="1209">
        <v>6</v>
      </c>
      <c r="I35" s="1209">
        <v>12</v>
      </c>
      <c r="J35" s="1209">
        <v>21</v>
      </c>
      <c r="K35" s="1209">
        <v>1</v>
      </c>
      <c r="L35" s="2105" t="str">
        <f t="shared" si="2"/>
        <v>Ataque PredeterminadoCasi Imposible (240)</v>
      </c>
      <c r="M35" s="237"/>
      <c r="N35" s="6094"/>
      <c r="O35" s="86" t="s">
        <v>9084</v>
      </c>
      <c r="P35" s="86" t="str">
        <f t="shared" si="0"/>
        <v>'Tablas Técnicas'!$D$210:$D$218</v>
      </c>
      <c r="Q35" s="80" t="s">
        <v>2854</v>
      </c>
      <c r="R35" s="80" t="s">
        <v>1235</v>
      </c>
      <c r="S35" s="88" t="s">
        <v>9082</v>
      </c>
      <c r="T35" s="86" t="s">
        <v>1610</v>
      </c>
      <c r="U35" s="86" t="s">
        <v>1607</v>
      </c>
      <c r="V35" s="86" t="s">
        <v>1704</v>
      </c>
      <c r="W35" s="86" t="s">
        <v>9047</v>
      </c>
      <c r="X35" s="2103" t="b">
        <f t="shared" si="1"/>
        <v>0</v>
      </c>
      <c r="Z35" s="237"/>
    </row>
    <row r="36" spans="1:26" ht="12" customHeight="1" x14ac:dyDescent="0.2">
      <c r="A36" s="6077"/>
      <c r="B36" s="6097"/>
      <c r="C36" s="44" t="s">
        <v>9034</v>
      </c>
      <c r="D36" s="86" t="s">
        <v>9091</v>
      </c>
      <c r="E36" s="1209">
        <v>16</v>
      </c>
      <c r="F36" s="1210">
        <v>20</v>
      </c>
      <c r="G36" s="1209">
        <v>25</v>
      </c>
      <c r="H36" s="1209">
        <v>8</v>
      </c>
      <c r="I36" s="1209">
        <v>16</v>
      </c>
      <c r="J36" s="1209">
        <v>28</v>
      </c>
      <c r="K36" s="1209">
        <v>2</v>
      </c>
      <c r="L36" s="2105" t="str">
        <f t="shared" si="2"/>
        <v>Ataque PredeterminadoImposible (280)</v>
      </c>
      <c r="M36" s="237"/>
      <c r="N36" s="6094"/>
      <c r="O36" s="86" t="s">
        <v>9086</v>
      </c>
      <c r="P36" s="86" t="str">
        <f t="shared" si="0"/>
        <v>'Tablas Técnicas'!$D$220:$D$228</v>
      </c>
      <c r="Q36" s="80" t="s">
        <v>2854</v>
      </c>
      <c r="R36" s="80" t="s">
        <v>1569</v>
      </c>
      <c r="S36" s="88" t="s">
        <v>9087</v>
      </c>
      <c r="T36" s="86" t="s">
        <v>1703</v>
      </c>
      <c r="U36" s="86" t="s">
        <v>7112</v>
      </c>
      <c r="V36" s="86" t="s">
        <v>7112</v>
      </c>
      <c r="W36" s="86" t="s">
        <v>1703</v>
      </c>
      <c r="X36" s="2103" t="b">
        <f t="shared" si="1"/>
        <v>0</v>
      </c>
      <c r="Z36" s="237"/>
    </row>
    <row r="37" spans="1:26" ht="12" customHeight="1" x14ac:dyDescent="0.2">
      <c r="A37" s="6077"/>
      <c r="B37" s="6097"/>
      <c r="C37" s="44" t="s">
        <v>9034</v>
      </c>
      <c r="D37" s="86" t="s">
        <v>9092</v>
      </c>
      <c r="E37" s="1209">
        <v>20</v>
      </c>
      <c r="F37" s="1210">
        <v>24</v>
      </c>
      <c r="G37" s="1209">
        <v>35</v>
      </c>
      <c r="H37" s="1209">
        <v>10</v>
      </c>
      <c r="I37" s="1209">
        <v>20</v>
      </c>
      <c r="J37" s="1209">
        <v>35</v>
      </c>
      <c r="K37" s="1209">
        <v>2</v>
      </c>
      <c r="L37" s="2105" t="str">
        <f t="shared" si="2"/>
        <v>Ataque PredeterminadoInhumano (320)</v>
      </c>
      <c r="M37" s="237"/>
      <c r="N37" s="6094"/>
      <c r="O37" s="86" t="s">
        <v>9089</v>
      </c>
      <c r="P37" s="86" t="str">
        <f t="shared" si="0"/>
        <v>'Tablas Técnicas'!$D$230:$D$238</v>
      </c>
      <c r="Q37" s="80" t="s">
        <v>2857</v>
      </c>
      <c r="R37" s="80" t="s">
        <v>3169</v>
      </c>
      <c r="S37" s="88" t="s">
        <v>9090</v>
      </c>
      <c r="T37" s="86" t="s">
        <v>1607</v>
      </c>
      <c r="U37" s="86" t="s">
        <v>7112</v>
      </c>
      <c r="V37" s="86" t="s">
        <v>7112</v>
      </c>
      <c r="W37" s="86" t="s">
        <v>1607</v>
      </c>
      <c r="X37" s="2103" t="b">
        <f t="shared" si="1"/>
        <v>0</v>
      </c>
      <c r="Z37" s="237"/>
    </row>
    <row r="38" spans="1:26" ht="12" customHeight="1" x14ac:dyDescent="0.2">
      <c r="A38" s="6077"/>
      <c r="B38" s="6097"/>
      <c r="C38" s="44" t="s">
        <v>9034</v>
      </c>
      <c r="D38" s="86" t="s">
        <v>9094</v>
      </c>
      <c r="E38" s="1209">
        <v>26</v>
      </c>
      <c r="F38" s="1210">
        <v>32</v>
      </c>
      <c r="G38" s="1209">
        <v>45</v>
      </c>
      <c r="H38" s="1209">
        <v>12</v>
      </c>
      <c r="I38" s="1209">
        <v>24</v>
      </c>
      <c r="J38" s="1209">
        <v>42</v>
      </c>
      <c r="K38" s="1209">
        <v>3</v>
      </c>
      <c r="L38" s="2105" t="str">
        <f t="shared" si="2"/>
        <v>Ataque PredeterminadoZen (440)</v>
      </c>
      <c r="M38" s="237"/>
      <c r="N38" s="6094"/>
      <c r="O38" s="86" t="s">
        <v>2891</v>
      </c>
      <c r="P38" s="86"/>
      <c r="Q38" s="80"/>
      <c r="R38" s="80"/>
      <c r="S38" s="88"/>
      <c r="T38" s="86" t="s">
        <v>7112</v>
      </c>
      <c r="U38" s="86" t="s">
        <v>7112</v>
      </c>
      <c r="V38" s="86" t="s">
        <v>7112</v>
      </c>
      <c r="W38" s="86" t="s">
        <v>7112</v>
      </c>
      <c r="X38" s="2103" t="b">
        <f t="shared" si="1"/>
        <v>0</v>
      </c>
      <c r="Z38" s="237"/>
    </row>
    <row r="39" spans="1:26" ht="12" customHeight="1" x14ac:dyDescent="0.2">
      <c r="A39" s="6077"/>
      <c r="B39" s="6097"/>
      <c r="C39" s="44" t="s">
        <v>9097</v>
      </c>
      <c r="D39" s="86"/>
      <c r="E39" s="1209"/>
      <c r="F39" s="1210"/>
      <c r="G39" s="1209"/>
      <c r="H39" s="1209"/>
      <c r="I39" s="1209"/>
      <c r="J39" s="1209"/>
      <c r="K39" s="1209"/>
      <c r="L39" s="2105" t="str">
        <f t="shared" si="2"/>
        <v>&gt; HABILIDAD DE CONTRAATAQUE</v>
      </c>
      <c r="M39" s="237"/>
      <c r="N39" s="6094"/>
      <c r="O39" s="86" t="s">
        <v>9093</v>
      </c>
      <c r="P39" s="86" t="str">
        <f t="shared" si="0"/>
        <v>'Tablas Técnicas'!$D$241:$D$248</v>
      </c>
      <c r="Q39" s="80" t="s">
        <v>2857</v>
      </c>
      <c r="R39" s="80" t="s">
        <v>3169</v>
      </c>
      <c r="S39" s="88" t="s">
        <v>9087</v>
      </c>
      <c r="T39" s="86" t="s">
        <v>1607</v>
      </c>
      <c r="U39" s="86" t="s">
        <v>7112</v>
      </c>
      <c r="V39" s="86" t="s">
        <v>7112</v>
      </c>
      <c r="W39" s="86" t="s">
        <v>1607</v>
      </c>
      <c r="X39" s="2103" t="b">
        <f t="shared" si="1"/>
        <v>0</v>
      </c>
      <c r="Z39" s="237"/>
    </row>
    <row r="40" spans="1:26" ht="12" customHeight="1" x14ac:dyDescent="0.2">
      <c r="A40" s="6077"/>
      <c r="B40" s="6097"/>
      <c r="C40" s="44" t="s">
        <v>9100</v>
      </c>
      <c r="D40" s="86" t="s">
        <v>7682</v>
      </c>
      <c r="E40" s="1209">
        <v>1</v>
      </c>
      <c r="F40" s="1210">
        <v>2</v>
      </c>
      <c r="G40" s="1209">
        <v>5</v>
      </c>
      <c r="H40" s="1209">
        <v>1</v>
      </c>
      <c r="I40" s="1209">
        <v>2</v>
      </c>
      <c r="J40" s="1209">
        <v>4</v>
      </c>
      <c r="K40" s="1209">
        <v>1</v>
      </c>
      <c r="L40" s="2105" t="str">
        <f t="shared" si="2"/>
        <v>Habilidad De Contraataque+10</v>
      </c>
      <c r="M40" s="237"/>
      <c r="N40" s="6094"/>
      <c r="O40" s="86" t="s">
        <v>3170</v>
      </c>
      <c r="P40" s="86" t="str">
        <f t="shared" si="0"/>
        <v>'Tablas Técnicas'!$D$250:$D$250</v>
      </c>
      <c r="Q40" s="80" t="s">
        <v>2854</v>
      </c>
      <c r="R40" s="80" t="s">
        <v>3169</v>
      </c>
      <c r="S40" s="88" t="s">
        <v>9095</v>
      </c>
      <c r="T40" s="86" t="s">
        <v>1607</v>
      </c>
      <c r="U40" s="86" t="s">
        <v>1703</v>
      </c>
      <c r="V40" s="86" t="s">
        <v>1610</v>
      </c>
      <c r="W40" s="86" t="s">
        <v>9096</v>
      </c>
      <c r="X40" s="2103" t="b">
        <f t="shared" si="1"/>
        <v>0</v>
      </c>
      <c r="Z40" s="237"/>
    </row>
    <row r="41" spans="1:26" ht="12" customHeight="1" x14ac:dyDescent="0.2">
      <c r="A41" s="6077"/>
      <c r="B41" s="6097"/>
      <c r="C41" s="44" t="s">
        <v>9100</v>
      </c>
      <c r="D41" s="86" t="s">
        <v>7826</v>
      </c>
      <c r="E41" s="1209">
        <v>2</v>
      </c>
      <c r="F41" s="1210">
        <v>4</v>
      </c>
      <c r="G41" s="1209">
        <v>5</v>
      </c>
      <c r="H41" s="1209">
        <v>2</v>
      </c>
      <c r="I41" s="1209">
        <v>4</v>
      </c>
      <c r="J41" s="1209">
        <v>7</v>
      </c>
      <c r="K41" s="1209">
        <v>1</v>
      </c>
      <c r="L41" s="2105" t="str">
        <f t="shared" si="2"/>
        <v>Habilidad De Contraataque+25</v>
      </c>
      <c r="M41" s="237"/>
      <c r="N41" s="6094"/>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9098</v>
      </c>
      <c r="T41" s="86" t="s">
        <v>1607</v>
      </c>
      <c r="U41" s="86" t="s">
        <v>1614</v>
      </c>
      <c r="V41" s="86" t="s">
        <v>1703</v>
      </c>
      <c r="W41" s="86" t="s">
        <v>9099</v>
      </c>
      <c r="X41" s="2103" t="b">
        <f t="shared" si="1"/>
        <v>0</v>
      </c>
      <c r="Z41" s="237"/>
    </row>
    <row r="42" spans="1:26" ht="12" customHeight="1" x14ac:dyDescent="0.2">
      <c r="A42" s="6077"/>
      <c r="B42" s="6097"/>
      <c r="C42" s="44" t="s">
        <v>9100</v>
      </c>
      <c r="D42" s="86" t="s">
        <v>7684</v>
      </c>
      <c r="E42" s="1209">
        <v>3</v>
      </c>
      <c r="F42" s="1210">
        <v>5</v>
      </c>
      <c r="G42" s="1209">
        <v>10</v>
      </c>
      <c r="H42" s="1209">
        <v>3</v>
      </c>
      <c r="I42" s="1209">
        <v>6</v>
      </c>
      <c r="J42" s="1209">
        <v>11</v>
      </c>
      <c r="K42" s="1209">
        <v>1</v>
      </c>
      <c r="L42" s="2105" t="str">
        <f t="shared" si="2"/>
        <v>Habilidad De Contraataque+40</v>
      </c>
      <c r="M42" s="237"/>
      <c r="N42" s="6094"/>
      <c r="O42" s="86" t="s">
        <v>2901</v>
      </c>
      <c r="P42" s="86"/>
      <c r="Q42" s="80"/>
      <c r="R42" s="80"/>
      <c r="S42" s="88"/>
      <c r="T42" s="86" t="s">
        <v>7112</v>
      </c>
      <c r="U42" s="86" t="s">
        <v>7112</v>
      </c>
      <c r="V42" s="86" t="s">
        <v>7112</v>
      </c>
      <c r="W42" s="86" t="s">
        <v>7112</v>
      </c>
      <c r="X42" s="2103" t="b">
        <f t="shared" ref="X42:X73" si="4">IFERROR(IF(VLOOKUP(T42,$Z$25:$AA$30,2,0),TRUE,IF(VLOOKUP(U42,$Z$25:$AA$30,2,0),TRUE,IF(VLOOKUP(V42,$Z$25:$AA$30,2,0),TRUE,FALSE))),FALSE)</f>
        <v>0</v>
      </c>
      <c r="Z42" s="237"/>
    </row>
    <row r="43" spans="1:26" ht="12" customHeight="1" x14ac:dyDescent="0.2">
      <c r="A43" s="6077"/>
      <c r="B43" s="6097"/>
      <c r="C43" s="44" t="s">
        <v>9100</v>
      </c>
      <c r="D43" s="86" t="s">
        <v>7685</v>
      </c>
      <c r="E43" s="1209">
        <v>4</v>
      </c>
      <c r="F43" s="1210">
        <v>6</v>
      </c>
      <c r="G43" s="1209">
        <v>10</v>
      </c>
      <c r="H43" s="1209">
        <v>4</v>
      </c>
      <c r="I43" s="1209">
        <v>8</v>
      </c>
      <c r="J43" s="1209">
        <v>14</v>
      </c>
      <c r="K43" s="1209">
        <v>1</v>
      </c>
      <c r="L43" s="2105" t="str">
        <f t="shared" si="2"/>
        <v>Habilidad De Contraataque+50</v>
      </c>
      <c r="M43" s="237"/>
      <c r="N43" s="6094"/>
      <c r="O43" s="86" t="s">
        <v>9101</v>
      </c>
      <c r="P43" s="86" t="str">
        <f t="shared" si="3"/>
        <v>'Tablas Técnicas'!$D$256:$D$268</v>
      </c>
      <c r="Q43" s="80" t="s">
        <v>2854</v>
      </c>
      <c r="R43" s="80" t="s">
        <v>1235</v>
      </c>
      <c r="S43" s="88" t="s">
        <v>9102</v>
      </c>
      <c r="T43" s="86" t="s">
        <v>1610</v>
      </c>
      <c r="U43" s="86" t="s">
        <v>1607</v>
      </c>
      <c r="V43" s="86" t="s">
        <v>1614</v>
      </c>
      <c r="W43" s="86" t="s">
        <v>9103</v>
      </c>
      <c r="X43" s="2103" t="b">
        <f t="shared" si="4"/>
        <v>0</v>
      </c>
      <c r="Z43" s="237"/>
    </row>
    <row r="44" spans="1:26" ht="12" customHeight="1" x14ac:dyDescent="0.2">
      <c r="A44" s="6077"/>
      <c r="B44" s="6097"/>
      <c r="C44" s="44" t="s">
        <v>9100</v>
      </c>
      <c r="D44" s="86" t="s">
        <v>9044</v>
      </c>
      <c r="E44" s="1209">
        <v>6</v>
      </c>
      <c r="F44" s="1210">
        <v>9</v>
      </c>
      <c r="G44" s="1209">
        <v>15</v>
      </c>
      <c r="H44" s="1209">
        <v>6</v>
      </c>
      <c r="I44" s="1209">
        <v>12</v>
      </c>
      <c r="J44" s="1209">
        <v>21</v>
      </c>
      <c r="K44" s="1209">
        <v>1</v>
      </c>
      <c r="L44" s="2105" t="str">
        <f t="shared" si="2"/>
        <v>Habilidad De Contraataque+75</v>
      </c>
      <c r="M44" s="237"/>
      <c r="N44" s="6094"/>
      <c r="O44" s="86" t="s">
        <v>9104</v>
      </c>
      <c r="P44" s="86" t="str">
        <f t="shared" si="3"/>
        <v>'Tablas Técnicas'!$D$270:$D$277</v>
      </c>
      <c r="Q44" s="80" t="s">
        <v>2857</v>
      </c>
      <c r="R44" s="80" t="s">
        <v>1235</v>
      </c>
      <c r="S44" s="88" t="s">
        <v>9102</v>
      </c>
      <c r="T44" s="86" t="s">
        <v>1610</v>
      </c>
      <c r="U44" s="86" t="s">
        <v>1607</v>
      </c>
      <c r="V44" s="86" t="s">
        <v>1614</v>
      </c>
      <c r="W44" s="86" t="s">
        <v>9103</v>
      </c>
      <c r="X44" s="2103" t="b">
        <f t="shared" si="4"/>
        <v>0</v>
      </c>
      <c r="Z44" s="237"/>
    </row>
    <row r="45" spans="1:26" ht="12" customHeight="1" x14ac:dyDescent="0.2">
      <c r="A45" s="6077"/>
      <c r="B45" s="6097"/>
      <c r="C45" s="44" t="s">
        <v>9100</v>
      </c>
      <c r="D45" s="86" t="s">
        <v>9048</v>
      </c>
      <c r="E45" s="1209">
        <v>9</v>
      </c>
      <c r="F45" s="1210">
        <v>12</v>
      </c>
      <c r="G45" s="1209">
        <v>20</v>
      </c>
      <c r="H45" s="1209">
        <v>8</v>
      </c>
      <c r="I45" s="1209">
        <v>16</v>
      </c>
      <c r="J45" s="1209">
        <v>28</v>
      </c>
      <c r="K45" s="1209">
        <v>1</v>
      </c>
      <c r="L45" s="2105" t="str">
        <f t="shared" si="2"/>
        <v>Habilidad De Contraataque+90</v>
      </c>
      <c r="M45" s="237"/>
      <c r="N45" s="6094"/>
      <c r="O45" s="86" t="s">
        <v>9105</v>
      </c>
      <c r="P45" s="86" t="str">
        <f t="shared" si="3"/>
        <v>'Tablas Técnicas'!$D$279:$D$288</v>
      </c>
      <c r="Q45" s="80" t="s">
        <v>2854</v>
      </c>
      <c r="R45" s="80" t="s">
        <v>1235</v>
      </c>
      <c r="S45" s="88" t="s">
        <v>9106</v>
      </c>
      <c r="T45" s="86" t="s">
        <v>1614</v>
      </c>
      <c r="U45" s="86" t="s">
        <v>1703</v>
      </c>
      <c r="V45" s="86" t="s">
        <v>1704</v>
      </c>
      <c r="W45" s="86" t="s">
        <v>9107</v>
      </c>
      <c r="X45" s="2103" t="b">
        <f t="shared" si="4"/>
        <v>0</v>
      </c>
      <c r="Z45" s="237"/>
    </row>
    <row r="46" spans="1:26" ht="12" customHeight="1" x14ac:dyDescent="0.2">
      <c r="A46" s="6077"/>
      <c r="B46" s="6097"/>
      <c r="C46" s="44" t="s">
        <v>9100</v>
      </c>
      <c r="D46" s="86" t="s">
        <v>9051</v>
      </c>
      <c r="E46" s="1209">
        <v>12</v>
      </c>
      <c r="F46" s="1210">
        <v>15</v>
      </c>
      <c r="G46" s="1209">
        <v>25</v>
      </c>
      <c r="H46" s="1209">
        <v>10</v>
      </c>
      <c r="I46" s="1209">
        <v>20</v>
      </c>
      <c r="J46" s="1209">
        <v>35</v>
      </c>
      <c r="K46" s="1209">
        <v>1</v>
      </c>
      <c r="L46" s="2105" t="str">
        <f t="shared" si="2"/>
        <v>Habilidad De Contraataque+100</v>
      </c>
      <c r="M46" s="237"/>
      <c r="N46" s="6094"/>
      <c r="O46" s="86" t="s">
        <v>9108</v>
      </c>
      <c r="P46" s="86" t="str">
        <f t="shared" si="3"/>
        <v>'Tablas Técnicas'!$D$290:$D$296</v>
      </c>
      <c r="Q46" s="80" t="s">
        <v>2857</v>
      </c>
      <c r="R46" s="80" t="s">
        <v>1235</v>
      </c>
      <c r="S46" s="88" t="s">
        <v>9106</v>
      </c>
      <c r="T46" s="86" t="s">
        <v>1614</v>
      </c>
      <c r="U46" s="86" t="s">
        <v>1703</v>
      </c>
      <c r="V46" s="86" t="s">
        <v>1704</v>
      </c>
      <c r="W46" s="86" t="s">
        <v>9107</v>
      </c>
      <c r="X46" s="2103" t="b">
        <f t="shared" si="4"/>
        <v>0</v>
      </c>
      <c r="Z46" s="237"/>
    </row>
    <row r="47" spans="1:26" ht="12" customHeight="1" x14ac:dyDescent="0.2">
      <c r="A47" s="6077"/>
      <c r="B47" s="6097"/>
      <c r="C47" s="44" t="s">
        <v>9100</v>
      </c>
      <c r="D47" s="86" t="s">
        <v>9052</v>
      </c>
      <c r="E47" s="1209">
        <v>14</v>
      </c>
      <c r="F47" s="1210">
        <v>18</v>
      </c>
      <c r="G47" s="1209">
        <v>30</v>
      </c>
      <c r="H47" s="1209">
        <v>12</v>
      </c>
      <c r="I47" s="1209">
        <v>24</v>
      </c>
      <c r="J47" s="1209">
        <v>42</v>
      </c>
      <c r="K47" s="1209">
        <v>2</v>
      </c>
      <c r="L47" s="2105" t="str">
        <f t="shared" si="2"/>
        <v>Habilidad De Contraataque+125</v>
      </c>
      <c r="M47" s="237"/>
      <c r="N47" s="6094"/>
      <c r="O47" s="86" t="s">
        <v>9109</v>
      </c>
      <c r="P47" s="86" t="str">
        <f t="shared" si="3"/>
        <v>'Tablas Técnicas'!$D$298:$D$305</v>
      </c>
      <c r="Q47" s="80" t="s">
        <v>2854</v>
      </c>
      <c r="R47" s="80" t="s">
        <v>1569</v>
      </c>
      <c r="S47" s="88" t="s">
        <v>9110</v>
      </c>
      <c r="T47" s="86" t="s">
        <v>1703</v>
      </c>
      <c r="U47" s="86" t="s">
        <v>1708</v>
      </c>
      <c r="V47" s="86" t="s">
        <v>1610</v>
      </c>
      <c r="W47" s="86" t="s">
        <v>9111</v>
      </c>
      <c r="X47" s="2103" t="b">
        <f t="shared" si="4"/>
        <v>0</v>
      </c>
      <c r="Z47" s="237"/>
    </row>
    <row r="48" spans="1:26" ht="12" customHeight="1" x14ac:dyDescent="0.2">
      <c r="A48" s="6077"/>
      <c r="B48" s="6097"/>
      <c r="C48" s="44" t="s">
        <v>9100</v>
      </c>
      <c r="D48" s="86" t="s">
        <v>9054</v>
      </c>
      <c r="E48" s="1209">
        <v>18</v>
      </c>
      <c r="F48" s="1210">
        <v>22</v>
      </c>
      <c r="G48" s="1209">
        <v>35</v>
      </c>
      <c r="H48" s="1209">
        <v>14</v>
      </c>
      <c r="I48" s="1209">
        <v>28</v>
      </c>
      <c r="J48" s="1209">
        <v>49</v>
      </c>
      <c r="K48" s="1209">
        <v>2</v>
      </c>
      <c r="L48" s="2105" t="str">
        <f t="shared" si="2"/>
        <v>Habilidad De Contraataque+150</v>
      </c>
      <c r="M48" s="237"/>
      <c r="N48" s="6094"/>
      <c r="O48" s="86" t="s">
        <v>9112</v>
      </c>
      <c r="P48" s="86" t="str">
        <f t="shared" si="3"/>
        <v>'Tablas Técnicas'!$D$307:$D$316</v>
      </c>
      <c r="Q48" s="80" t="s">
        <v>2854</v>
      </c>
      <c r="R48" s="80" t="s">
        <v>3169</v>
      </c>
      <c r="S48" s="88" t="s">
        <v>9113</v>
      </c>
      <c r="T48" s="86" t="s">
        <v>1607</v>
      </c>
      <c r="U48" s="86" t="s">
        <v>1703</v>
      </c>
      <c r="V48" s="86" t="s">
        <v>1704</v>
      </c>
      <c r="W48" s="86" t="s">
        <v>9066</v>
      </c>
      <c r="X48" s="2103" t="b">
        <f t="shared" si="4"/>
        <v>0</v>
      </c>
      <c r="Z48" s="237"/>
    </row>
    <row r="49" spans="1:26" ht="12" customHeight="1" x14ac:dyDescent="0.2">
      <c r="A49" s="6077"/>
      <c r="B49" s="6097"/>
      <c r="C49" s="44" t="s">
        <v>9100</v>
      </c>
      <c r="D49" s="86" t="s">
        <v>9057</v>
      </c>
      <c r="E49" s="1209">
        <v>22</v>
      </c>
      <c r="F49" s="1210">
        <v>26</v>
      </c>
      <c r="G49" s="1209">
        <v>40</v>
      </c>
      <c r="H49" s="1209">
        <v>16</v>
      </c>
      <c r="I49" s="1209">
        <v>32</v>
      </c>
      <c r="J49" s="1209">
        <v>56</v>
      </c>
      <c r="K49" s="1209">
        <v>3</v>
      </c>
      <c r="L49" s="2105" t="str">
        <f t="shared" si="2"/>
        <v>Habilidad De Contraataque+175</v>
      </c>
      <c r="M49" s="237"/>
      <c r="N49" s="6094"/>
      <c r="O49" s="86" t="s">
        <v>2915</v>
      </c>
      <c r="P49" s="86"/>
      <c r="Q49" s="80"/>
      <c r="R49" s="80"/>
      <c r="S49" s="88"/>
      <c r="T49" s="86" t="s">
        <v>7112</v>
      </c>
      <c r="U49" s="86" t="s">
        <v>7112</v>
      </c>
      <c r="V49" s="86" t="s">
        <v>7112</v>
      </c>
      <c r="W49" s="86" t="s">
        <v>7112</v>
      </c>
      <c r="X49" s="2103" t="b">
        <f t="shared" si="4"/>
        <v>0</v>
      </c>
      <c r="Z49" s="237"/>
    </row>
    <row r="50" spans="1:26" ht="12" customHeight="1" x14ac:dyDescent="0.2">
      <c r="A50" s="6077"/>
      <c r="B50" s="6097"/>
      <c r="C50" s="44" t="s">
        <v>9100</v>
      </c>
      <c r="D50" s="86" t="s">
        <v>9059</v>
      </c>
      <c r="E50" s="1209">
        <v>26</v>
      </c>
      <c r="F50" s="1210">
        <v>32</v>
      </c>
      <c r="G50" s="1209">
        <v>45</v>
      </c>
      <c r="H50" s="1209">
        <v>18</v>
      </c>
      <c r="I50" s="1209">
        <v>36</v>
      </c>
      <c r="J50" s="1209">
        <v>63</v>
      </c>
      <c r="K50" s="1209">
        <v>3</v>
      </c>
      <c r="L50" s="2105" t="str">
        <f t="shared" si="2"/>
        <v>Habilidad De Contraataque+200</v>
      </c>
      <c r="M50" s="237"/>
      <c r="N50" s="6094"/>
      <c r="O50" s="86" t="s">
        <v>9114</v>
      </c>
      <c r="P50" s="86" t="str">
        <f t="shared" si="3"/>
        <v>'Tablas Técnicas'!$D$319:$D$326</v>
      </c>
      <c r="Q50" s="80" t="s">
        <v>2857</v>
      </c>
      <c r="R50" s="80" t="s">
        <v>1235</v>
      </c>
      <c r="S50" s="88" t="s">
        <v>9115</v>
      </c>
      <c r="T50" s="86" t="s">
        <v>1614</v>
      </c>
      <c r="U50" s="86" t="s">
        <v>7112</v>
      </c>
      <c r="V50" s="86" t="s">
        <v>7112</v>
      </c>
      <c r="W50" s="86" t="s">
        <v>1614</v>
      </c>
      <c r="X50" s="2103" t="b">
        <f t="shared" si="4"/>
        <v>0</v>
      </c>
      <c r="Z50" s="237"/>
    </row>
    <row r="51" spans="1:26" ht="12" customHeight="1" x14ac:dyDescent="0.2">
      <c r="A51" s="6077"/>
      <c r="B51" s="6097"/>
      <c r="C51" s="44" t="s">
        <v>9121</v>
      </c>
      <c r="D51" s="86"/>
      <c r="E51" s="1209"/>
      <c r="F51" s="1210"/>
      <c r="G51" s="1209"/>
      <c r="H51" s="1209"/>
      <c r="I51" s="1209"/>
      <c r="J51" s="1209"/>
      <c r="K51" s="1209"/>
      <c r="L51" s="2105" t="str">
        <f t="shared" si="2"/>
        <v>&gt; MANIOBRAS DE COMBATE Y APUNTAR</v>
      </c>
      <c r="M51" s="237"/>
      <c r="N51" s="6094"/>
      <c r="O51" s="86" t="s">
        <v>9116</v>
      </c>
      <c r="P51" s="86" t="str">
        <f t="shared" si="3"/>
        <v>'Tablas Técnicas'!$D$328:$D$334</v>
      </c>
      <c r="Q51" s="80" t="s">
        <v>2857</v>
      </c>
      <c r="R51" s="80" t="s">
        <v>1569</v>
      </c>
      <c r="S51" s="88" t="s">
        <v>9117</v>
      </c>
      <c r="T51" s="86" t="s">
        <v>1614</v>
      </c>
      <c r="U51" s="86" t="s">
        <v>1703</v>
      </c>
      <c r="V51" s="86" t="s">
        <v>1708</v>
      </c>
      <c r="W51" s="86" t="s">
        <v>9118</v>
      </c>
      <c r="X51" s="2103" t="b">
        <f t="shared" si="4"/>
        <v>0</v>
      </c>
      <c r="Z51" s="237"/>
    </row>
    <row r="52" spans="1:26" ht="12" customHeight="1" x14ac:dyDescent="0.2">
      <c r="A52" s="6077"/>
      <c r="B52" s="6097"/>
      <c r="C52" s="44" t="s">
        <v>9123</v>
      </c>
      <c r="D52" s="86" t="s">
        <v>9124</v>
      </c>
      <c r="E52" s="1209">
        <v>1</v>
      </c>
      <c r="F52" s="1210">
        <v>2</v>
      </c>
      <c r="G52" s="1209">
        <v>5</v>
      </c>
      <c r="H52" s="1209">
        <v>1</v>
      </c>
      <c r="I52" s="1209">
        <v>2</v>
      </c>
      <c r="J52" s="1209">
        <v>4</v>
      </c>
      <c r="K52" s="1209">
        <v>1</v>
      </c>
      <c r="L52" s="2105" t="str">
        <f t="shared" si="2"/>
        <v>Maniobras De Combate Y Apuntar-10</v>
      </c>
      <c r="M52" s="237"/>
      <c r="N52" s="6094"/>
      <c r="O52" s="86" t="s">
        <v>9119</v>
      </c>
      <c r="P52" s="86" t="str">
        <f t="shared" si="3"/>
        <v>'Tablas Técnicas'!$D$336:$D$344</v>
      </c>
      <c r="Q52" s="80" t="s">
        <v>2854</v>
      </c>
      <c r="R52" s="80" t="s">
        <v>1235</v>
      </c>
      <c r="S52" s="88" t="s">
        <v>9120</v>
      </c>
      <c r="T52" s="86" t="s">
        <v>1614</v>
      </c>
      <c r="U52" s="86" t="s">
        <v>1704</v>
      </c>
      <c r="V52" s="86" t="s">
        <v>7112</v>
      </c>
      <c r="W52" s="86" t="s">
        <v>9525</v>
      </c>
      <c r="X52" s="2103" t="b">
        <f t="shared" si="4"/>
        <v>0</v>
      </c>
      <c r="Z52" s="237"/>
    </row>
    <row r="53" spans="1:26" ht="12" customHeight="1" x14ac:dyDescent="0.2">
      <c r="A53" s="6077"/>
      <c r="B53" s="6097"/>
      <c r="C53" s="44" t="s">
        <v>9123</v>
      </c>
      <c r="D53" s="86" t="s">
        <v>9125</v>
      </c>
      <c r="E53" s="1209">
        <v>2</v>
      </c>
      <c r="F53" s="1210">
        <v>4</v>
      </c>
      <c r="G53" s="1209">
        <v>5</v>
      </c>
      <c r="H53" s="1209">
        <v>1</v>
      </c>
      <c r="I53" s="1209">
        <v>2</v>
      </c>
      <c r="J53" s="1209">
        <v>4</v>
      </c>
      <c r="K53" s="1209">
        <v>1</v>
      </c>
      <c r="L53" s="2105" t="str">
        <f t="shared" si="2"/>
        <v>Maniobras De Combate Y Apuntar-25</v>
      </c>
      <c r="M53" s="237"/>
      <c r="N53" s="6094"/>
      <c r="O53" s="86" t="s">
        <v>1552</v>
      </c>
      <c r="P53" s="86" t="str">
        <f t="shared" si="3"/>
        <v>'Tablas Técnicas'!$D$346:$D$356</v>
      </c>
      <c r="Q53" s="80" t="s">
        <v>2857</v>
      </c>
      <c r="R53" s="80" t="s">
        <v>1569</v>
      </c>
      <c r="S53" s="88" t="s">
        <v>9122</v>
      </c>
      <c r="T53" s="86" t="s">
        <v>1610</v>
      </c>
      <c r="U53" s="86" t="s">
        <v>1703</v>
      </c>
      <c r="V53" s="86" t="s">
        <v>1708</v>
      </c>
      <c r="W53" s="86" t="s">
        <v>9053</v>
      </c>
      <c r="X53" s="2103" t="b">
        <f t="shared" si="4"/>
        <v>0</v>
      </c>
      <c r="Z53" s="237"/>
    </row>
    <row r="54" spans="1:26" ht="12" customHeight="1" x14ac:dyDescent="0.2">
      <c r="A54" s="6077"/>
      <c r="B54" s="6097"/>
      <c r="C54" s="44" t="s">
        <v>9123</v>
      </c>
      <c r="D54" s="86" t="s">
        <v>9128</v>
      </c>
      <c r="E54" s="1209">
        <v>3</v>
      </c>
      <c r="F54" s="1210">
        <v>5</v>
      </c>
      <c r="G54" s="1209">
        <v>10</v>
      </c>
      <c r="H54" s="1209">
        <v>2</v>
      </c>
      <c r="I54" s="1209">
        <v>4</v>
      </c>
      <c r="J54" s="1209">
        <v>7</v>
      </c>
      <c r="K54" s="1209">
        <v>1</v>
      </c>
      <c r="L54" s="2105" t="str">
        <f t="shared" si="2"/>
        <v>Maniobras De Combate Y Apuntar-50</v>
      </c>
      <c r="M54" s="237"/>
      <c r="N54" s="6094"/>
      <c r="O54" s="86" t="s">
        <v>2926</v>
      </c>
      <c r="P54" s="86"/>
      <c r="Q54" s="80"/>
      <c r="R54" s="80"/>
      <c r="S54" s="88"/>
      <c r="T54" s="86" t="s">
        <v>7112</v>
      </c>
      <c r="U54" s="86" t="s">
        <v>7112</v>
      </c>
      <c r="V54" s="86" t="s">
        <v>7112</v>
      </c>
      <c r="W54" s="86" t="s">
        <v>7112</v>
      </c>
      <c r="X54" s="2103" t="b">
        <f t="shared" si="4"/>
        <v>0</v>
      </c>
      <c r="Z54" s="237"/>
    </row>
    <row r="55" spans="1:26" ht="12" customHeight="1" x14ac:dyDescent="0.2">
      <c r="A55" s="6077"/>
      <c r="B55" s="6097"/>
      <c r="C55" s="44" t="s">
        <v>9123</v>
      </c>
      <c r="D55" s="86" t="s">
        <v>9132</v>
      </c>
      <c r="E55" s="1209">
        <v>4</v>
      </c>
      <c r="F55" s="1210">
        <v>6</v>
      </c>
      <c r="G55" s="1209">
        <v>10</v>
      </c>
      <c r="H55" s="1209">
        <v>2</v>
      </c>
      <c r="I55" s="1209">
        <v>4</v>
      </c>
      <c r="J55" s="1209">
        <v>7</v>
      </c>
      <c r="K55" s="1209">
        <v>2</v>
      </c>
      <c r="L55" s="2105" t="str">
        <f t="shared" si="2"/>
        <v>Maniobras De Combate Y Apuntar-75</v>
      </c>
      <c r="M55" s="237"/>
      <c r="N55" s="6094"/>
      <c r="O55" s="86" t="s">
        <v>9126</v>
      </c>
      <c r="P55" s="86" t="str">
        <f t="shared" si="3"/>
        <v>'Tablas Técnicas'!$D$359:$D$363</v>
      </c>
      <c r="Q55" s="80" t="s">
        <v>2857</v>
      </c>
      <c r="R55" s="80" t="s">
        <v>3169</v>
      </c>
      <c r="S55" s="88" t="s">
        <v>9127</v>
      </c>
      <c r="T55" s="86" t="s">
        <v>1607</v>
      </c>
      <c r="U55" s="86" t="s">
        <v>1614</v>
      </c>
      <c r="V55" s="86" t="s">
        <v>1703</v>
      </c>
      <c r="W55" s="86" t="s">
        <v>9099</v>
      </c>
      <c r="X55" s="2103" t="b">
        <f t="shared" si="4"/>
        <v>0</v>
      </c>
      <c r="Z55" s="237"/>
    </row>
    <row r="56" spans="1:26" ht="12" customHeight="1" x14ac:dyDescent="0.2">
      <c r="A56" s="6077"/>
      <c r="B56" s="6097"/>
      <c r="C56" s="44" t="s">
        <v>9123</v>
      </c>
      <c r="D56" s="86" t="s">
        <v>9135</v>
      </c>
      <c r="E56" s="1209">
        <v>6</v>
      </c>
      <c r="F56" s="1210">
        <v>9</v>
      </c>
      <c r="G56" s="1209">
        <v>15</v>
      </c>
      <c r="H56" s="1209">
        <v>3</v>
      </c>
      <c r="I56" s="1209">
        <v>6</v>
      </c>
      <c r="J56" s="1209">
        <v>11</v>
      </c>
      <c r="K56" s="1209">
        <v>2</v>
      </c>
      <c r="L56" s="2105" t="str">
        <f t="shared" si="2"/>
        <v>Maniobras De Combate Y Apuntar-100</v>
      </c>
      <c r="M56" s="237"/>
      <c r="N56" s="6094"/>
      <c r="O56" s="86" t="s">
        <v>9129</v>
      </c>
      <c r="P56" s="86" t="str">
        <f t="shared" si="3"/>
        <v>'Tablas Técnicas'!$D$365:$D$370</v>
      </c>
      <c r="Q56" s="80" t="s">
        <v>2857</v>
      </c>
      <c r="R56" s="80" t="s">
        <v>3169</v>
      </c>
      <c r="S56" s="88" t="s">
        <v>9130</v>
      </c>
      <c r="T56" s="86" t="s">
        <v>1607</v>
      </c>
      <c r="U56" s="86" t="s">
        <v>1708</v>
      </c>
      <c r="V56" s="86" t="s">
        <v>1703</v>
      </c>
      <c r="W56" s="86" t="s">
        <v>9131</v>
      </c>
      <c r="X56" s="2103" t="b">
        <f t="shared" si="4"/>
        <v>0</v>
      </c>
      <c r="Z56" s="237"/>
    </row>
    <row r="57" spans="1:26" ht="12" customHeight="1" x14ac:dyDescent="0.2">
      <c r="A57" s="6077"/>
      <c r="B57" s="6097"/>
      <c r="C57" s="44" t="s">
        <v>9123</v>
      </c>
      <c r="D57" s="86" t="s">
        <v>9137</v>
      </c>
      <c r="E57" s="1209">
        <v>8</v>
      </c>
      <c r="F57" s="1210">
        <v>11</v>
      </c>
      <c r="G57" s="1209">
        <v>20</v>
      </c>
      <c r="H57" s="1209">
        <v>3</v>
      </c>
      <c r="I57" s="1209">
        <v>6</v>
      </c>
      <c r="J57" s="1209">
        <v>11</v>
      </c>
      <c r="K57" s="1209">
        <v>3</v>
      </c>
      <c r="L57" s="2105" t="str">
        <f t="shared" si="2"/>
        <v>Maniobras De Combate Y Apuntar-120</v>
      </c>
      <c r="M57" s="237"/>
      <c r="N57" s="6094"/>
      <c r="O57" s="86" t="s">
        <v>9133</v>
      </c>
      <c r="P57" s="86" t="str">
        <f t="shared" si="3"/>
        <v>'Tablas Técnicas'!$D$372:$D$379</v>
      </c>
      <c r="Q57" s="80" t="s">
        <v>2854</v>
      </c>
      <c r="R57" s="80" t="s">
        <v>3169</v>
      </c>
      <c r="S57" s="88" t="s">
        <v>10218</v>
      </c>
      <c r="T57" s="86" t="s">
        <v>1610</v>
      </c>
      <c r="U57" s="86" t="s">
        <v>1614</v>
      </c>
      <c r="V57" s="86" t="s">
        <v>1704</v>
      </c>
      <c r="W57" s="86" t="s">
        <v>9134</v>
      </c>
      <c r="X57" s="2103" t="b">
        <f t="shared" si="4"/>
        <v>0</v>
      </c>
      <c r="Z57" s="237"/>
    </row>
    <row r="58" spans="1:26" ht="12" customHeight="1" x14ac:dyDescent="0.2">
      <c r="A58" s="6077"/>
      <c r="B58" s="6097"/>
      <c r="C58" s="44" t="s">
        <v>9139</v>
      </c>
      <c r="D58" s="86"/>
      <c r="E58" s="1209"/>
      <c r="F58" s="1210"/>
      <c r="G58" s="1209"/>
      <c r="H58" s="1209"/>
      <c r="I58" s="1209"/>
      <c r="J58" s="1209"/>
      <c r="K58" s="1209"/>
      <c r="L58" s="2105" t="str">
        <f t="shared" si="2"/>
        <v>&gt; MANIOBRAS DE COMBATE Y APUNTAR REALES</v>
      </c>
      <c r="M58" s="237"/>
      <c r="N58" s="6094"/>
      <c r="O58" s="86" t="s">
        <v>9136</v>
      </c>
      <c r="P58" s="86" t="str">
        <f t="shared" si="3"/>
        <v>'Tablas Técnicas'!$D$381:$D$388</v>
      </c>
      <c r="Q58" s="80" t="s">
        <v>2854</v>
      </c>
      <c r="R58" s="80" t="s">
        <v>3169</v>
      </c>
      <c r="S58" s="88" t="s">
        <v>10219</v>
      </c>
      <c r="T58" s="86" t="s">
        <v>1610</v>
      </c>
      <c r="U58" s="86" t="s">
        <v>1614</v>
      </c>
      <c r="V58" s="86" t="s">
        <v>1704</v>
      </c>
      <c r="W58" s="86" t="s">
        <v>9134</v>
      </c>
      <c r="X58" s="2103" t="b">
        <f t="shared" si="4"/>
        <v>0</v>
      </c>
      <c r="Z58" s="237"/>
    </row>
    <row r="59" spans="1:26" ht="12" customHeight="1" x14ac:dyDescent="0.2">
      <c r="A59" s="6077"/>
      <c r="B59" s="6097"/>
      <c r="C59" s="44" t="s">
        <v>9142</v>
      </c>
      <c r="D59" s="86" t="s">
        <v>9124</v>
      </c>
      <c r="E59" s="1209">
        <v>2</v>
      </c>
      <c r="F59" s="1210">
        <v>4</v>
      </c>
      <c r="G59" s="1209">
        <v>10</v>
      </c>
      <c r="H59" s="1209">
        <v>2</v>
      </c>
      <c r="I59" s="1209">
        <v>4</v>
      </c>
      <c r="J59" s="1209">
        <v>7</v>
      </c>
      <c r="K59" s="1209">
        <v>1</v>
      </c>
      <c r="L59" s="2105" t="str">
        <f t="shared" si="2"/>
        <v>Maniobras De Combate Y Apuntar Reales-10</v>
      </c>
      <c r="M59" s="237"/>
      <c r="N59" s="6094"/>
      <c r="O59" s="86" t="s">
        <v>9138</v>
      </c>
      <c r="P59" s="86" t="str">
        <f t="shared" si="3"/>
        <v>'Tablas Técnicas'!$D$390:$D$397</v>
      </c>
      <c r="Q59" s="80" t="s">
        <v>2854</v>
      </c>
      <c r="R59" s="80" t="s">
        <v>3169</v>
      </c>
      <c r="S59" s="88" t="s">
        <v>10220</v>
      </c>
      <c r="T59" s="86" t="s">
        <v>1610</v>
      </c>
      <c r="U59" s="86" t="s">
        <v>1614</v>
      </c>
      <c r="V59" s="86" t="s">
        <v>1704</v>
      </c>
      <c r="W59" s="86" t="s">
        <v>9134</v>
      </c>
      <c r="X59" s="2103" t="b">
        <f t="shared" si="4"/>
        <v>0</v>
      </c>
      <c r="Z59" s="237"/>
    </row>
    <row r="60" spans="1:26" ht="12" customHeight="1" x14ac:dyDescent="0.2">
      <c r="A60" s="6077"/>
      <c r="B60" s="6097"/>
      <c r="C60" s="44" t="s">
        <v>9142</v>
      </c>
      <c r="D60" s="86" t="s">
        <v>9125</v>
      </c>
      <c r="E60" s="1209">
        <v>4</v>
      </c>
      <c r="F60" s="1210">
        <v>6</v>
      </c>
      <c r="G60" s="1209">
        <v>15</v>
      </c>
      <c r="H60" s="1209">
        <v>3</v>
      </c>
      <c r="I60" s="1209">
        <v>6</v>
      </c>
      <c r="J60" s="1209">
        <v>11</v>
      </c>
      <c r="K60" s="1209">
        <v>1</v>
      </c>
      <c r="L60" s="2105" t="str">
        <f t="shared" si="2"/>
        <v>Maniobras De Combate Y Apuntar Reales-25</v>
      </c>
      <c r="M60" s="237"/>
      <c r="N60" s="6094"/>
      <c r="O60" s="86" t="s">
        <v>9140</v>
      </c>
      <c r="P60" s="86" t="str">
        <f t="shared" si="3"/>
        <v>'Tablas Técnicas'!$D$399:$D$408</v>
      </c>
      <c r="Q60" s="80" t="s">
        <v>2857</v>
      </c>
      <c r="R60" s="80" t="s">
        <v>3169</v>
      </c>
      <c r="S60" s="88" t="s">
        <v>9141</v>
      </c>
      <c r="T60" s="86" t="s">
        <v>1610</v>
      </c>
      <c r="U60" s="86" t="s">
        <v>1703</v>
      </c>
      <c r="V60" s="86" t="s">
        <v>1708</v>
      </c>
      <c r="W60" s="86" t="s">
        <v>9053</v>
      </c>
      <c r="X60" s="2103" t="b">
        <f t="shared" si="4"/>
        <v>0</v>
      </c>
      <c r="Z60" s="237"/>
    </row>
    <row r="61" spans="1:26" ht="12" customHeight="1" x14ac:dyDescent="0.2">
      <c r="A61" s="6077"/>
      <c r="B61" s="6097"/>
      <c r="C61" s="44" t="s">
        <v>9142</v>
      </c>
      <c r="D61" s="86" t="s">
        <v>9128</v>
      </c>
      <c r="E61" s="1209">
        <v>6</v>
      </c>
      <c r="F61" s="1210">
        <v>9</v>
      </c>
      <c r="G61" s="1209">
        <v>20</v>
      </c>
      <c r="H61" s="1209">
        <v>4</v>
      </c>
      <c r="I61" s="1209">
        <v>8</v>
      </c>
      <c r="J61" s="1209">
        <v>14</v>
      </c>
      <c r="K61" s="1209">
        <v>2</v>
      </c>
      <c r="L61" s="2105" t="str">
        <f t="shared" si="2"/>
        <v>Maniobras De Combate Y Apuntar Reales-50</v>
      </c>
      <c r="M61" s="237"/>
      <c r="N61" s="6094"/>
      <c r="O61" s="86" t="s">
        <v>9143</v>
      </c>
      <c r="P61" s="86" t="str">
        <f t="shared" si="3"/>
        <v>'Tablas Técnicas'!$D$410:$D$417</v>
      </c>
      <c r="Q61" s="80" t="s">
        <v>2857</v>
      </c>
      <c r="R61" s="80" t="s">
        <v>3169</v>
      </c>
      <c r="S61" s="88" t="s">
        <v>9144</v>
      </c>
      <c r="T61" s="86" t="s">
        <v>1607</v>
      </c>
      <c r="U61" s="86" t="s">
        <v>1614</v>
      </c>
      <c r="V61" s="86" t="s">
        <v>1703</v>
      </c>
      <c r="W61" s="86" t="s">
        <v>9099</v>
      </c>
      <c r="X61" s="2103" t="b">
        <f t="shared" si="4"/>
        <v>0</v>
      </c>
      <c r="Z61" s="237"/>
    </row>
    <row r="62" spans="1:26" ht="12" customHeight="1" x14ac:dyDescent="0.2">
      <c r="A62" s="6077"/>
      <c r="B62" s="6097"/>
      <c r="C62" s="44" t="s">
        <v>9150</v>
      </c>
      <c r="D62" s="86"/>
      <c r="E62" s="1209"/>
      <c r="F62" s="1210"/>
      <c r="G62" s="1209"/>
      <c r="H62" s="1209"/>
      <c r="I62" s="1209"/>
      <c r="J62" s="1209"/>
      <c r="K62" s="1209"/>
      <c r="L62" s="2105" t="str">
        <f t="shared" si="2"/>
        <v>&gt; ATAQUE INDIRECTO</v>
      </c>
      <c r="M62" s="237"/>
      <c r="N62" s="6094"/>
      <c r="O62" s="86" t="s">
        <v>9145</v>
      </c>
      <c r="P62" s="86" t="str">
        <f t="shared" si="3"/>
        <v>'Tablas Técnicas'!$D$419:$D$426</v>
      </c>
      <c r="Q62" s="80" t="s">
        <v>2857</v>
      </c>
      <c r="R62" s="80" t="s">
        <v>3169</v>
      </c>
      <c r="S62" s="88" t="s">
        <v>9146</v>
      </c>
      <c r="T62" s="86" t="s">
        <v>1607</v>
      </c>
      <c r="U62" s="86" t="s">
        <v>1610</v>
      </c>
      <c r="V62" s="86" t="s">
        <v>1703</v>
      </c>
      <c r="W62" s="86" t="s">
        <v>9147</v>
      </c>
      <c r="X62" s="2103" t="b">
        <f t="shared" si="4"/>
        <v>0</v>
      </c>
      <c r="Z62" s="237"/>
    </row>
    <row r="63" spans="1:26" ht="12" customHeight="1" x14ac:dyDescent="0.2">
      <c r="A63" s="6077"/>
      <c r="B63" s="6097"/>
      <c r="C63" s="44" t="s">
        <v>9045</v>
      </c>
      <c r="D63" s="86" t="s">
        <v>9284</v>
      </c>
      <c r="E63" s="1209">
        <v>3</v>
      </c>
      <c r="F63" s="1210">
        <v>5</v>
      </c>
      <c r="G63" s="1209">
        <v>10</v>
      </c>
      <c r="H63" s="1209">
        <v>2</v>
      </c>
      <c r="I63" s="1209">
        <v>4</v>
      </c>
      <c r="J63" s="1209">
        <v>7</v>
      </c>
      <c r="K63" s="1209">
        <v>1</v>
      </c>
      <c r="L63" s="2105" t="str">
        <f t="shared" si="2"/>
        <v>Ataque IndirectoNv 1</v>
      </c>
      <c r="M63" s="237"/>
      <c r="N63" s="6094"/>
      <c r="O63" s="86" t="s">
        <v>9148</v>
      </c>
      <c r="P63" s="86" t="str">
        <f t="shared" si="3"/>
        <v>'Tablas Técnicas'!$D$428:$D$434</v>
      </c>
      <c r="Q63" s="80" t="s">
        <v>2857</v>
      </c>
      <c r="R63" s="80" t="s">
        <v>3169</v>
      </c>
      <c r="S63" s="88" t="s">
        <v>9149</v>
      </c>
      <c r="T63" s="86" t="s">
        <v>1610</v>
      </c>
      <c r="U63" s="86" t="s">
        <v>1607</v>
      </c>
      <c r="V63" s="86" t="s">
        <v>1703</v>
      </c>
      <c r="W63" s="86" t="s">
        <v>9061</v>
      </c>
      <c r="X63" s="2103" t="b">
        <f t="shared" si="4"/>
        <v>0</v>
      </c>
      <c r="Z63" s="237"/>
    </row>
    <row r="64" spans="1:26" ht="12" customHeight="1" x14ac:dyDescent="0.2">
      <c r="A64" s="6077"/>
      <c r="B64" s="6097"/>
      <c r="C64" s="44" t="s">
        <v>9045</v>
      </c>
      <c r="D64" s="86" t="s">
        <v>9286</v>
      </c>
      <c r="E64" s="1209">
        <v>6</v>
      </c>
      <c r="F64" s="1210">
        <v>9</v>
      </c>
      <c r="G64" s="1209">
        <v>20</v>
      </c>
      <c r="H64" s="1209">
        <v>4</v>
      </c>
      <c r="I64" s="1209">
        <v>8</v>
      </c>
      <c r="J64" s="1209">
        <v>14</v>
      </c>
      <c r="K64" s="1209">
        <v>2</v>
      </c>
      <c r="L64" s="2105" t="str">
        <f t="shared" si="2"/>
        <v>Ataque IndirectoNv 2</v>
      </c>
      <c r="M64" s="237"/>
      <c r="N64" s="6094"/>
      <c r="O64" s="86" t="s">
        <v>2945</v>
      </c>
      <c r="P64" s="86"/>
      <c r="Q64" s="80"/>
      <c r="R64" s="80"/>
      <c r="S64" s="88"/>
      <c r="T64" s="86" t="s">
        <v>7112</v>
      </c>
      <c r="U64" s="86" t="s">
        <v>7112</v>
      </c>
      <c r="V64" s="86" t="s">
        <v>7112</v>
      </c>
      <c r="W64" s="86" t="s">
        <v>7112</v>
      </c>
      <c r="X64" s="2103" t="b">
        <f t="shared" si="4"/>
        <v>0</v>
      </c>
      <c r="Z64" s="237"/>
    </row>
    <row r="65" spans="1:26" ht="12" customHeight="1" x14ac:dyDescent="0.2">
      <c r="A65" s="6077"/>
      <c r="B65" s="6097"/>
      <c r="C65" s="44" t="s">
        <v>9045</v>
      </c>
      <c r="D65" s="86" t="s">
        <v>9287</v>
      </c>
      <c r="E65" s="1209">
        <v>9</v>
      </c>
      <c r="F65" s="1210">
        <v>12</v>
      </c>
      <c r="G65" s="1209">
        <v>30</v>
      </c>
      <c r="H65" s="1209">
        <v>6</v>
      </c>
      <c r="I65" s="1209">
        <v>12</v>
      </c>
      <c r="J65" s="1209">
        <v>21</v>
      </c>
      <c r="K65" s="1209">
        <v>3</v>
      </c>
      <c r="L65" s="2105" t="str">
        <f t="shared" si="2"/>
        <v>Ataque IndirectoNv 3</v>
      </c>
      <c r="M65" s="237"/>
      <c r="N65" s="6094"/>
      <c r="O65" s="86" t="s">
        <v>3177</v>
      </c>
      <c r="P65" s="86" t="str">
        <f t="shared" si="3"/>
        <v>'Tablas Técnicas'!$D$437:$D$437</v>
      </c>
      <c r="Q65" s="80" t="s">
        <v>2854</v>
      </c>
      <c r="R65" s="80" t="s">
        <v>1235</v>
      </c>
      <c r="S65" s="88" t="s">
        <v>9151</v>
      </c>
      <c r="T65" s="86" t="s">
        <v>1614</v>
      </c>
      <c r="U65" s="86" t="s">
        <v>1703</v>
      </c>
      <c r="V65" s="86" t="s">
        <v>1704</v>
      </c>
      <c r="W65" s="86" t="s">
        <v>9107</v>
      </c>
      <c r="X65" s="2103" t="b">
        <f t="shared" si="4"/>
        <v>0</v>
      </c>
      <c r="Z65" s="237"/>
    </row>
    <row r="66" spans="1:26" ht="12" customHeight="1" x14ac:dyDescent="0.2">
      <c r="A66" s="6077"/>
      <c r="B66" s="6097"/>
      <c r="C66" s="44" t="s">
        <v>9155</v>
      </c>
      <c r="D66" s="86"/>
      <c r="E66" s="1209"/>
      <c r="F66" s="1210"/>
      <c r="G66" s="1209"/>
      <c r="H66" s="1209"/>
      <c r="I66" s="1209"/>
      <c r="J66" s="1209"/>
      <c r="K66" s="1209"/>
      <c r="L66" s="2105" t="str">
        <f t="shared" si="2"/>
        <v>&gt; CAMUFLAR ATAQUE</v>
      </c>
      <c r="M66" s="237"/>
      <c r="N66" s="6094"/>
      <c r="O66" s="86" t="s">
        <v>9152</v>
      </c>
      <c r="P66" s="86" t="str">
        <f t="shared" si="3"/>
        <v>'Tablas Técnicas'!$D$439:$D$444</v>
      </c>
      <c r="Q66" s="80" t="s">
        <v>2857</v>
      </c>
      <c r="R66" s="80" t="s">
        <v>1235</v>
      </c>
      <c r="S66" s="88" t="s">
        <v>9151</v>
      </c>
      <c r="T66" s="86"/>
      <c r="U66" s="86" t="s">
        <v>7112</v>
      </c>
      <c r="V66" s="86" t="s">
        <v>7112</v>
      </c>
      <c r="W66" s="86" t="s">
        <v>3169</v>
      </c>
      <c r="X66" s="2103" t="b">
        <f t="shared" si="4"/>
        <v>0</v>
      </c>
      <c r="Z66" s="237"/>
    </row>
    <row r="67" spans="1:26" ht="12" customHeight="1" x14ac:dyDescent="0.2">
      <c r="A67" s="6077"/>
      <c r="B67" s="6097"/>
      <c r="C67" s="44" t="s">
        <v>9049</v>
      </c>
      <c r="D67" s="86" t="s">
        <v>9079</v>
      </c>
      <c r="E67" s="1209">
        <v>1</v>
      </c>
      <c r="F67" s="1210">
        <v>2</v>
      </c>
      <c r="G67" s="1209">
        <v>5</v>
      </c>
      <c r="H67" s="1209">
        <v>1</v>
      </c>
      <c r="I67" s="1209">
        <v>2</v>
      </c>
      <c r="J67" s="1209">
        <v>4</v>
      </c>
      <c r="K67" s="1209">
        <v>1</v>
      </c>
      <c r="L67" s="2105" t="str">
        <f t="shared" si="2"/>
        <v>Camuflar AtaqueMedia (80)</v>
      </c>
      <c r="M67" s="237"/>
      <c r="N67" s="6094"/>
      <c r="O67" s="86" t="s">
        <v>9153</v>
      </c>
      <c r="P67" s="86" t="str">
        <f t="shared" si="3"/>
        <v>'Tablas Técnicas'!$D$446:$D$455</v>
      </c>
      <c r="Q67" s="80" t="s">
        <v>2857</v>
      </c>
      <c r="R67" s="80" t="s">
        <v>3169</v>
      </c>
      <c r="S67" s="88" t="s">
        <v>9154</v>
      </c>
      <c r="T67" s="86" t="s">
        <v>1703</v>
      </c>
      <c r="U67" s="86" t="s">
        <v>1704</v>
      </c>
      <c r="V67" s="86" t="s">
        <v>1708</v>
      </c>
      <c r="W67" s="86" t="s">
        <v>9036</v>
      </c>
      <c r="X67" s="2103" t="b">
        <f t="shared" si="4"/>
        <v>0</v>
      </c>
      <c r="Z67" s="237"/>
    </row>
    <row r="68" spans="1:26" ht="12" customHeight="1" x14ac:dyDescent="0.2">
      <c r="A68" s="6077"/>
      <c r="B68" s="6097"/>
      <c r="C68" s="44" t="s">
        <v>9049</v>
      </c>
      <c r="D68" s="86" t="s">
        <v>9080</v>
      </c>
      <c r="E68" s="1209">
        <v>2</v>
      </c>
      <c r="F68" s="1210">
        <v>4</v>
      </c>
      <c r="G68" s="1209">
        <v>5</v>
      </c>
      <c r="H68" s="1209">
        <v>1</v>
      </c>
      <c r="I68" s="1209">
        <v>2</v>
      </c>
      <c r="J68" s="1209">
        <v>4</v>
      </c>
      <c r="K68" s="1209">
        <v>1</v>
      </c>
      <c r="L68" s="2105" t="str">
        <f t="shared" si="2"/>
        <v>Camuflar AtaqueDifícil (120)</v>
      </c>
      <c r="M68" s="237"/>
      <c r="N68" s="6094"/>
      <c r="O68" s="86" t="s">
        <v>3183</v>
      </c>
      <c r="P68" s="86" t="str">
        <f t="shared" si="3"/>
        <v>'Tablas Técnicas'!$D$457:$D$457</v>
      </c>
      <c r="Q68" s="80" t="s">
        <v>2854</v>
      </c>
      <c r="R68" s="80" t="s">
        <v>1235</v>
      </c>
      <c r="S68" s="88" t="s">
        <v>9151</v>
      </c>
      <c r="T68" s="86" t="s">
        <v>1703</v>
      </c>
      <c r="U68" s="86" t="s">
        <v>1704</v>
      </c>
      <c r="V68" s="86" t="s">
        <v>7112</v>
      </c>
      <c r="W68" s="86" t="s">
        <v>9166</v>
      </c>
      <c r="X68" s="2103" t="b">
        <f t="shared" si="4"/>
        <v>0</v>
      </c>
      <c r="Z68" s="237"/>
    </row>
    <row r="69" spans="1:26" ht="12" customHeight="1" x14ac:dyDescent="0.2">
      <c r="A69" s="6077"/>
      <c r="B69" s="6097"/>
      <c r="C69" s="44" t="s">
        <v>9049</v>
      </c>
      <c r="D69" s="86" t="s">
        <v>9083</v>
      </c>
      <c r="E69" s="1209">
        <v>3</v>
      </c>
      <c r="F69" s="1210">
        <v>5</v>
      </c>
      <c r="G69" s="1209">
        <v>5</v>
      </c>
      <c r="H69" s="1209">
        <v>1</v>
      </c>
      <c r="I69" s="1209">
        <v>2</v>
      </c>
      <c r="J69" s="1209">
        <v>4</v>
      </c>
      <c r="K69" s="1209">
        <v>1</v>
      </c>
      <c r="L69" s="2105" t="str">
        <f t="shared" si="2"/>
        <v>Camuflar AtaqueMuy Difícil (140)</v>
      </c>
      <c r="M69" s="237"/>
      <c r="N69" s="6094"/>
      <c r="O69" s="86" t="s">
        <v>9156</v>
      </c>
      <c r="P69" s="86" t="str">
        <f t="shared" si="3"/>
        <v>'Tablas Técnicas'!$D$459:$D$464</v>
      </c>
      <c r="Q69" s="80" t="s">
        <v>2854</v>
      </c>
      <c r="R69" s="80" t="s">
        <v>1569</v>
      </c>
      <c r="S69" s="88" t="s">
        <v>9157</v>
      </c>
      <c r="T69" s="86" t="s">
        <v>1610</v>
      </c>
      <c r="U69" s="86" t="s">
        <v>1607</v>
      </c>
      <c r="V69" s="86" t="s">
        <v>1708</v>
      </c>
      <c r="W69" s="86" t="s">
        <v>9039</v>
      </c>
      <c r="X69" s="2103" t="b">
        <f t="shared" si="4"/>
        <v>0</v>
      </c>
      <c r="Z69" s="237"/>
    </row>
    <row r="70" spans="1:26" ht="12" customHeight="1" x14ac:dyDescent="0.2">
      <c r="A70" s="6077"/>
      <c r="B70" s="6097"/>
      <c r="C70" s="44" t="s">
        <v>9049</v>
      </c>
      <c r="D70" s="86" t="s">
        <v>9085</v>
      </c>
      <c r="E70" s="1209">
        <v>5</v>
      </c>
      <c r="F70" s="1210">
        <v>8</v>
      </c>
      <c r="G70" s="1209">
        <v>10</v>
      </c>
      <c r="H70" s="1209">
        <v>2</v>
      </c>
      <c r="I70" s="1209">
        <v>4</v>
      </c>
      <c r="J70" s="1209">
        <v>7</v>
      </c>
      <c r="K70" s="1209">
        <v>1</v>
      </c>
      <c r="L70" s="2105" t="str">
        <f t="shared" si="2"/>
        <v>Camuflar AtaqueAbsurdo (180)</v>
      </c>
      <c r="M70" s="237"/>
      <c r="N70" s="6094"/>
      <c r="O70" s="86" t="s">
        <v>2957</v>
      </c>
      <c r="P70" s="86" t="str">
        <f t="shared" si="3"/>
        <v>'Tablas Técnicas'!$D$466:$D$475</v>
      </c>
      <c r="Q70" s="80" t="s">
        <v>2854</v>
      </c>
      <c r="R70" s="80" t="s">
        <v>1235</v>
      </c>
      <c r="S70" s="88" t="s">
        <v>9158</v>
      </c>
      <c r="T70" s="86" t="s">
        <v>1708</v>
      </c>
      <c r="U70" s="86" t="s">
        <v>7112</v>
      </c>
      <c r="V70" s="86" t="s">
        <v>7112</v>
      </c>
      <c r="W70" s="86" t="s">
        <v>1708</v>
      </c>
      <c r="X70" s="2103" t="b">
        <f t="shared" si="4"/>
        <v>0</v>
      </c>
      <c r="Z70" s="237"/>
    </row>
    <row r="71" spans="1:26" ht="12" customHeight="1" x14ac:dyDescent="0.2">
      <c r="A71" s="6077"/>
      <c r="B71" s="6097"/>
      <c r="C71" s="44" t="s">
        <v>9049</v>
      </c>
      <c r="D71" s="86" t="s">
        <v>9088</v>
      </c>
      <c r="E71" s="1209">
        <v>6</v>
      </c>
      <c r="F71" s="1210">
        <v>9</v>
      </c>
      <c r="G71" s="1209">
        <v>10</v>
      </c>
      <c r="H71" s="1209">
        <v>3</v>
      </c>
      <c r="I71" s="1209">
        <v>6</v>
      </c>
      <c r="J71" s="1209">
        <v>11</v>
      </c>
      <c r="K71" s="1209">
        <v>1</v>
      </c>
      <c r="L71" s="2105" t="str">
        <f t="shared" si="2"/>
        <v>Camuflar AtaqueCasi Imposible (240)</v>
      </c>
      <c r="M71" s="237"/>
      <c r="N71" s="6094"/>
      <c r="O71" s="86" t="s">
        <v>3185</v>
      </c>
      <c r="P71" s="86" t="str">
        <f t="shared" si="3"/>
        <v>'Tablas Técnicas'!$D$477:$D$477</v>
      </c>
      <c r="Q71" s="80" t="s">
        <v>2854</v>
      </c>
      <c r="R71" s="80" t="s">
        <v>1235</v>
      </c>
      <c r="S71" s="88" t="s">
        <v>9159</v>
      </c>
      <c r="T71" s="86" t="s">
        <v>1610</v>
      </c>
      <c r="U71" s="86" t="s">
        <v>1703</v>
      </c>
      <c r="V71" s="86" t="s">
        <v>1708</v>
      </c>
      <c r="W71" s="86" t="s">
        <v>9053</v>
      </c>
      <c r="X71" s="2103" t="b">
        <f t="shared" si="4"/>
        <v>0</v>
      </c>
      <c r="Z71" s="237"/>
    </row>
    <row r="72" spans="1:26" ht="12" customHeight="1" x14ac:dyDescent="0.2">
      <c r="A72" s="6077"/>
      <c r="B72" s="6097"/>
      <c r="C72" s="44" t="s">
        <v>9049</v>
      </c>
      <c r="D72" s="86" t="s">
        <v>9091</v>
      </c>
      <c r="E72" s="1209">
        <v>7</v>
      </c>
      <c r="F72" s="1210">
        <v>10</v>
      </c>
      <c r="G72" s="1209">
        <v>15</v>
      </c>
      <c r="H72" s="1209">
        <v>4</v>
      </c>
      <c r="I72" s="1209">
        <v>8</v>
      </c>
      <c r="J72" s="1209">
        <v>14</v>
      </c>
      <c r="K72" s="1209">
        <v>2</v>
      </c>
      <c r="L72" s="2105" t="str">
        <f t="shared" si="2"/>
        <v>Camuflar AtaqueImposible (280)</v>
      </c>
      <c r="M72" s="237"/>
      <c r="N72" s="6094"/>
      <c r="O72" s="86" t="s">
        <v>1690</v>
      </c>
      <c r="P72" s="86" t="str">
        <f t="shared" si="3"/>
        <v>'Tablas Técnicas'!$D$479:$D$490</v>
      </c>
      <c r="Q72" s="80" t="s">
        <v>2857</v>
      </c>
      <c r="R72" s="80" t="s">
        <v>1569</v>
      </c>
      <c r="S72" s="88" t="s">
        <v>9160</v>
      </c>
      <c r="T72" s="86" t="s">
        <v>1708</v>
      </c>
      <c r="U72" s="86" t="s">
        <v>7112</v>
      </c>
      <c r="V72" s="86" t="s">
        <v>7112</v>
      </c>
      <c r="W72" s="86" t="s">
        <v>1708</v>
      </c>
      <c r="X72" s="2103" t="b">
        <f t="shared" si="4"/>
        <v>0</v>
      </c>
      <c r="Z72" s="237"/>
    </row>
    <row r="73" spans="1:26" ht="12" customHeight="1" x14ac:dyDescent="0.2">
      <c r="A73" s="6077"/>
      <c r="B73" s="6097"/>
      <c r="C73" s="44" t="s">
        <v>9049</v>
      </c>
      <c r="D73" s="86" t="s">
        <v>9092</v>
      </c>
      <c r="E73" s="1209">
        <v>8</v>
      </c>
      <c r="F73" s="1210">
        <v>11</v>
      </c>
      <c r="G73" s="1209">
        <v>20</v>
      </c>
      <c r="H73" s="1209">
        <v>5</v>
      </c>
      <c r="I73" s="1209">
        <v>10</v>
      </c>
      <c r="J73" s="1209">
        <v>18</v>
      </c>
      <c r="K73" s="1209">
        <v>2</v>
      </c>
      <c r="L73" s="2105" t="str">
        <f t="shared" si="2"/>
        <v>Camuflar AtaqueInhumano (320)</v>
      </c>
      <c r="M73" s="237"/>
      <c r="N73" s="6094"/>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9161</v>
      </c>
      <c r="T73" s="86" t="s">
        <v>1610</v>
      </c>
      <c r="U73" s="86" t="s">
        <v>1704</v>
      </c>
      <c r="V73" s="86" t="s">
        <v>7112</v>
      </c>
      <c r="W73" s="86" t="s">
        <v>1610</v>
      </c>
      <c r="X73" s="2103" t="b">
        <f t="shared" si="4"/>
        <v>0</v>
      </c>
      <c r="Z73" s="237"/>
    </row>
    <row r="74" spans="1:26" ht="12" customHeight="1" x14ac:dyDescent="0.2">
      <c r="A74" s="6077"/>
      <c r="B74" s="6097"/>
      <c r="C74" s="44" t="s">
        <v>9049</v>
      </c>
      <c r="D74" s="86" t="s">
        <v>9094</v>
      </c>
      <c r="E74" s="1209">
        <v>10</v>
      </c>
      <c r="F74" s="1210">
        <v>13</v>
      </c>
      <c r="G74" s="1209">
        <v>25</v>
      </c>
      <c r="H74" s="1209">
        <v>6</v>
      </c>
      <c r="I74" s="1209">
        <v>12</v>
      </c>
      <c r="J74" s="1209">
        <v>21</v>
      </c>
      <c r="K74" s="1209">
        <v>3</v>
      </c>
      <c r="L74" s="2105" t="str">
        <f t="shared" si="2"/>
        <v>Camuflar AtaqueZen (440)</v>
      </c>
      <c r="M74" s="237"/>
      <c r="N74" s="6094"/>
      <c r="O74" s="86" t="s">
        <v>9162</v>
      </c>
      <c r="P74" s="86" t="str">
        <f t="shared" si="5"/>
        <v>'Tablas Técnicas'!$D$513:$D$525</v>
      </c>
      <c r="Q74" s="80" t="s">
        <v>2857</v>
      </c>
      <c r="R74" s="80" t="s">
        <v>1569</v>
      </c>
      <c r="S74" s="88" t="s">
        <v>9163</v>
      </c>
      <c r="T74" s="86" t="s">
        <v>1610</v>
      </c>
      <c r="U74" s="86" t="s">
        <v>1703</v>
      </c>
      <c r="V74" s="86" t="s">
        <v>7112</v>
      </c>
      <c r="W74" s="86" t="s">
        <v>10270</v>
      </c>
      <c r="X74" s="2103" t="b">
        <f t="shared" ref="X74:X81" si="6">IFERROR(IF(VLOOKUP(T74,$Z$25:$AA$30,2,0),TRUE,IF(VLOOKUP(U74,$Z$25:$AA$30,2,0),TRUE,IF(VLOOKUP(V74,$Z$25:$AA$30,2,0),TRUE,FALSE))),FALSE)</f>
        <v>0</v>
      </c>
      <c r="Z74" s="237"/>
    </row>
    <row r="75" spans="1:26" ht="12" customHeight="1" x14ac:dyDescent="0.2">
      <c r="A75" s="6077"/>
      <c r="B75" s="6097"/>
      <c r="C75" s="44" t="s">
        <v>2860</v>
      </c>
      <c r="D75" s="86"/>
      <c r="E75" s="1209"/>
      <c r="F75" s="1210"/>
      <c r="G75" s="1209"/>
      <c r="H75" s="1209"/>
      <c r="I75" s="1209"/>
      <c r="J75" s="1209"/>
      <c r="K75" s="1209"/>
      <c r="L75" s="2105" t="str">
        <f t="shared" ref="L75:L138" si="7">C75&amp;D75</f>
        <v>&gt;&gt;EFECTOS DEFENSIVOS</v>
      </c>
      <c r="M75" s="237"/>
      <c r="N75" s="6094"/>
      <c r="O75" s="86" t="s">
        <v>9164</v>
      </c>
      <c r="P75" s="86" t="str">
        <f t="shared" si="5"/>
        <v>'Tablas Técnicas'!$D$527:$D$579</v>
      </c>
      <c r="Q75" s="80" t="s">
        <v>2854</v>
      </c>
      <c r="R75" s="80" t="s">
        <v>1235</v>
      </c>
      <c r="S75" s="88" t="s">
        <v>9165</v>
      </c>
      <c r="T75" s="86" t="s">
        <v>1703</v>
      </c>
      <c r="U75" s="86" t="s">
        <v>1704</v>
      </c>
      <c r="V75" s="86" t="s">
        <v>7112</v>
      </c>
      <c r="W75" s="86" t="s">
        <v>9166</v>
      </c>
      <c r="X75" s="2103" t="b">
        <f t="shared" si="6"/>
        <v>0</v>
      </c>
      <c r="Z75" s="237"/>
    </row>
    <row r="76" spans="1:26" ht="12" customHeight="1" x14ac:dyDescent="0.2">
      <c r="A76" s="6077"/>
      <c r="B76" s="6097"/>
      <c r="C76" s="44" t="s">
        <v>9168</v>
      </c>
      <c r="D76" s="86"/>
      <c r="E76" s="1209"/>
      <c r="F76" s="1210"/>
      <c r="G76" s="1209"/>
      <c r="H76" s="1209"/>
      <c r="I76" s="1209"/>
      <c r="J76" s="1209"/>
      <c r="K76" s="1209"/>
      <c r="L76" s="2105" t="str">
        <f t="shared" si="7"/>
        <v>&gt; HABILIDAD DE PARADA</v>
      </c>
      <c r="M76" s="237"/>
      <c r="N76" s="6094"/>
      <c r="O76" s="86" t="s">
        <v>2970</v>
      </c>
      <c r="P76" s="86" t="str">
        <f t="shared" si="5"/>
        <v>'Tablas Técnicas'!$D$581:$D$590</v>
      </c>
      <c r="Q76" s="80" t="s">
        <v>2854</v>
      </c>
      <c r="R76" s="80" t="s">
        <v>1235</v>
      </c>
      <c r="S76" s="88" t="s">
        <v>9074</v>
      </c>
      <c r="T76" s="86" t="s">
        <v>1614</v>
      </c>
      <c r="U76" s="86" t="s">
        <v>7112</v>
      </c>
      <c r="V76" s="86" t="s">
        <v>7112</v>
      </c>
      <c r="W76" s="86" t="s">
        <v>1614</v>
      </c>
      <c r="X76" s="2103" t="b">
        <f t="shared" si="6"/>
        <v>0</v>
      </c>
      <c r="Z76" s="237"/>
    </row>
    <row r="77" spans="1:26" ht="12" customHeight="1" x14ac:dyDescent="0.2">
      <c r="A77" s="6077"/>
      <c r="B77" s="6097"/>
      <c r="C77" s="44" t="s">
        <v>9171</v>
      </c>
      <c r="D77" s="86" t="s">
        <v>7682</v>
      </c>
      <c r="E77" s="1209">
        <v>2</v>
      </c>
      <c r="F77" s="1210">
        <v>4</v>
      </c>
      <c r="G77" s="1209">
        <v>5</v>
      </c>
      <c r="H77" s="1209">
        <v>1</v>
      </c>
      <c r="I77" s="1209">
        <v>2</v>
      </c>
      <c r="J77" s="1209">
        <v>4</v>
      </c>
      <c r="K77" s="1209">
        <v>1</v>
      </c>
      <c r="L77" s="2105" t="str">
        <f t="shared" si="7"/>
        <v>Habilidad De Parada+10</v>
      </c>
      <c r="M77" s="237"/>
      <c r="N77" s="6094"/>
      <c r="O77" s="86" t="s">
        <v>2974</v>
      </c>
      <c r="P77" s="86" t="str">
        <f t="shared" si="5"/>
        <v>'Tablas Técnicas'!$D$592:$D$601</v>
      </c>
      <c r="Q77" s="80" t="s">
        <v>2854</v>
      </c>
      <c r="R77" s="80" t="s">
        <v>1235</v>
      </c>
      <c r="S77" s="88" t="s">
        <v>9167</v>
      </c>
      <c r="T77" s="86" t="s">
        <v>1610</v>
      </c>
      <c r="U77" s="86" t="s">
        <v>1607</v>
      </c>
      <c r="V77" s="86" t="s">
        <v>1703</v>
      </c>
      <c r="W77" s="86" t="s">
        <v>9061</v>
      </c>
      <c r="X77" s="2103" t="b">
        <f t="shared" si="6"/>
        <v>0</v>
      </c>
      <c r="Z77" s="237"/>
    </row>
    <row r="78" spans="1:26" ht="12" customHeight="1" x14ac:dyDescent="0.2">
      <c r="A78" s="6077"/>
      <c r="B78" s="6097"/>
      <c r="C78" s="44" t="s">
        <v>9171</v>
      </c>
      <c r="D78" s="86" t="s">
        <v>7826</v>
      </c>
      <c r="E78" s="1209">
        <v>3</v>
      </c>
      <c r="F78" s="1210">
        <v>5</v>
      </c>
      <c r="G78" s="1209">
        <v>5</v>
      </c>
      <c r="H78" s="1209">
        <v>1</v>
      </c>
      <c r="I78" s="1209">
        <v>2</v>
      </c>
      <c r="J78" s="1209">
        <v>4</v>
      </c>
      <c r="K78" s="1209">
        <v>1</v>
      </c>
      <c r="L78" s="2105" t="str">
        <f t="shared" si="7"/>
        <v>Habilidad De Parada+25</v>
      </c>
      <c r="M78" s="237"/>
      <c r="N78" s="6094"/>
      <c r="O78" s="86" t="s">
        <v>2977</v>
      </c>
      <c r="P78" s="86" t="str">
        <f t="shared" si="5"/>
        <v>'Tablas Técnicas'!$D$603:$D$606</v>
      </c>
      <c r="Q78" s="80" t="s">
        <v>2857</v>
      </c>
      <c r="R78" s="80" t="s">
        <v>3169</v>
      </c>
      <c r="S78" s="88" t="s">
        <v>9169</v>
      </c>
      <c r="T78" s="86" t="s">
        <v>1610</v>
      </c>
      <c r="U78" s="86" t="s">
        <v>1703</v>
      </c>
      <c r="V78" s="86" t="s">
        <v>1704</v>
      </c>
      <c r="W78" s="86" t="s">
        <v>9170</v>
      </c>
      <c r="X78" s="2103" t="b">
        <f t="shared" si="6"/>
        <v>0</v>
      </c>
      <c r="Z78" s="237"/>
    </row>
    <row r="79" spans="1:26" ht="12" customHeight="1" x14ac:dyDescent="0.2">
      <c r="A79" s="6077"/>
      <c r="B79" s="6097"/>
      <c r="C79" s="44" t="s">
        <v>9171</v>
      </c>
      <c r="D79" s="86" t="s">
        <v>7684</v>
      </c>
      <c r="E79" s="1209">
        <v>4</v>
      </c>
      <c r="F79" s="1210">
        <v>6</v>
      </c>
      <c r="G79" s="1209">
        <v>10</v>
      </c>
      <c r="H79" s="1209">
        <v>2</v>
      </c>
      <c r="I79" s="1209">
        <v>4</v>
      </c>
      <c r="J79" s="1209">
        <v>7</v>
      </c>
      <c r="K79" s="1209">
        <v>1</v>
      </c>
      <c r="L79" s="2105" t="str">
        <f t="shared" si="7"/>
        <v>Habilidad De Parada+40</v>
      </c>
      <c r="M79" s="237"/>
      <c r="N79" s="6094"/>
      <c r="O79" s="86" t="s">
        <v>2980</v>
      </c>
      <c r="P79" s="86" t="str">
        <f t="shared" si="5"/>
        <v>'Tablas Técnicas'!$D$608:$D$611</v>
      </c>
      <c r="Q79" s="80" t="s">
        <v>2854</v>
      </c>
      <c r="R79" s="80" t="s">
        <v>1235</v>
      </c>
      <c r="S79" s="88" t="s">
        <v>9151</v>
      </c>
      <c r="T79" s="86" t="s">
        <v>1607</v>
      </c>
      <c r="U79" s="86" t="s">
        <v>1703</v>
      </c>
      <c r="V79" s="86" t="s">
        <v>1704</v>
      </c>
      <c r="W79" s="86" t="s">
        <v>9066</v>
      </c>
      <c r="X79" s="2103" t="b">
        <f t="shared" si="6"/>
        <v>0</v>
      </c>
      <c r="Z79" s="237"/>
    </row>
    <row r="80" spans="1:26" ht="12" customHeight="1" x14ac:dyDescent="0.2">
      <c r="A80" s="6077"/>
      <c r="B80" s="6097"/>
      <c r="C80" s="44" t="s">
        <v>9171</v>
      </c>
      <c r="D80" s="86" t="s">
        <v>7685</v>
      </c>
      <c r="E80" s="1209">
        <v>5</v>
      </c>
      <c r="F80" s="1210">
        <v>8</v>
      </c>
      <c r="G80" s="1209">
        <v>15</v>
      </c>
      <c r="H80" s="1209">
        <v>3</v>
      </c>
      <c r="I80" s="1209">
        <v>6</v>
      </c>
      <c r="J80" s="1209">
        <v>11</v>
      </c>
      <c r="K80" s="1209">
        <v>1</v>
      </c>
      <c r="L80" s="2105" t="str">
        <f t="shared" si="7"/>
        <v>Habilidad De Parada+50</v>
      </c>
      <c r="M80" s="237"/>
      <c r="N80" s="6094"/>
      <c r="O80" s="86" t="s">
        <v>9172</v>
      </c>
      <c r="P80" s="86" t="str">
        <f t="shared" si="5"/>
        <v>'Tablas Técnicas'!$D$613:$D$624</v>
      </c>
      <c r="Q80" s="80" t="s">
        <v>2854</v>
      </c>
      <c r="R80" s="80" t="s">
        <v>1235</v>
      </c>
      <c r="S80" s="88" t="s">
        <v>9173</v>
      </c>
      <c r="T80" s="86" t="s">
        <v>1614</v>
      </c>
      <c r="U80" s="86" t="s">
        <v>1708</v>
      </c>
      <c r="V80" s="86" t="s">
        <v>7112</v>
      </c>
      <c r="W80" s="86" t="s">
        <v>9543</v>
      </c>
      <c r="X80" s="2103" t="b">
        <f t="shared" si="6"/>
        <v>0</v>
      </c>
      <c r="Z80" s="237"/>
    </row>
    <row r="81" spans="1:26" ht="12" customHeight="1" x14ac:dyDescent="0.2">
      <c r="A81" s="6077"/>
      <c r="B81" s="6097"/>
      <c r="C81" s="44" t="s">
        <v>9171</v>
      </c>
      <c r="D81" s="86" t="s">
        <v>9044</v>
      </c>
      <c r="E81" s="1209">
        <v>9</v>
      </c>
      <c r="F81" s="1210">
        <v>12</v>
      </c>
      <c r="G81" s="1209">
        <v>20</v>
      </c>
      <c r="H81" s="1209">
        <v>4</v>
      </c>
      <c r="I81" s="1209">
        <v>8</v>
      </c>
      <c r="J81" s="1209">
        <v>14</v>
      </c>
      <c r="K81" s="1209">
        <v>1</v>
      </c>
      <c r="L81" s="2105" t="str">
        <f t="shared" si="7"/>
        <v>Habilidad De Parada+75</v>
      </c>
      <c r="M81" s="237"/>
      <c r="N81" s="6094"/>
      <c r="O81" s="86" t="s">
        <v>9174</v>
      </c>
      <c r="P81" s="86" t="str">
        <f t="shared" si="5"/>
        <v>'Tablas Técnicas'!$D$626:$D$633</v>
      </c>
      <c r="Q81" s="80" t="s">
        <v>2857</v>
      </c>
      <c r="R81" s="80" t="s">
        <v>1235</v>
      </c>
      <c r="S81" s="88" t="s">
        <v>9173</v>
      </c>
      <c r="T81" s="86" t="s">
        <v>1614</v>
      </c>
      <c r="U81" s="86" t="s">
        <v>1708</v>
      </c>
      <c r="V81" s="86" t="s">
        <v>7112</v>
      </c>
      <c r="W81" s="86" t="s">
        <v>9543</v>
      </c>
      <c r="X81" s="2103" t="b">
        <f t="shared" si="6"/>
        <v>0</v>
      </c>
      <c r="Z81" s="237"/>
    </row>
    <row r="82" spans="1:26" ht="12" customHeight="1" x14ac:dyDescent="0.2">
      <c r="A82" s="6077"/>
      <c r="B82" s="6097"/>
      <c r="C82" s="44" t="s">
        <v>9171</v>
      </c>
      <c r="D82" s="86" t="s">
        <v>9048</v>
      </c>
      <c r="E82" s="1209">
        <v>12</v>
      </c>
      <c r="F82" s="1210">
        <v>15</v>
      </c>
      <c r="G82" s="1209">
        <v>25</v>
      </c>
      <c r="H82" s="1209">
        <v>5</v>
      </c>
      <c r="I82" s="1209">
        <v>10</v>
      </c>
      <c r="J82" s="1209">
        <v>18</v>
      </c>
      <c r="K82" s="1209">
        <v>1</v>
      </c>
      <c r="L82" s="2105" t="str">
        <f t="shared" si="7"/>
        <v>Habilidad De Parada+90</v>
      </c>
      <c r="M82" s="237"/>
      <c r="N82" s="6094"/>
      <c r="O82" s="86" t="s">
        <v>3211</v>
      </c>
      <c r="P82" s="86" t="str">
        <f t="shared" si="5"/>
        <v>'Tablas Técnicas'!$D$635:$D$637</v>
      </c>
      <c r="Q82" s="86" t="s">
        <v>2854</v>
      </c>
      <c r="R82" s="86" t="s">
        <v>1569</v>
      </c>
      <c r="S82" s="86" t="s">
        <v>9175</v>
      </c>
      <c r="T82" s="86" t="s">
        <v>1610</v>
      </c>
      <c r="U82" s="86" t="s">
        <v>1703</v>
      </c>
      <c r="V82" s="86" t="s">
        <v>1704</v>
      </c>
      <c r="W82" s="86" t="s">
        <v>9170</v>
      </c>
      <c r="X82" s="2103" t="b">
        <f>IFERROR(IF(VLOOKUP(T82,$Z$25:$AA$30,2,0),TRUE,IF(VLOOKUP(U82,$Z$25:$AA$30,2,0),TRUE,IF(VLOOKUP(V82,$Z$25:$AA$30,2,0),TRUE,FALSE))),FALSE)</f>
        <v>0</v>
      </c>
      <c r="Z82" s="237"/>
    </row>
    <row r="83" spans="1:26" ht="12" customHeight="1" x14ac:dyDescent="0.2">
      <c r="A83" s="6077"/>
      <c r="B83" s="6097"/>
      <c r="C83" s="44" t="s">
        <v>9171</v>
      </c>
      <c r="D83" s="86" t="s">
        <v>9051</v>
      </c>
      <c r="E83" s="1209">
        <v>14</v>
      </c>
      <c r="F83" s="1210">
        <v>18</v>
      </c>
      <c r="G83" s="1209">
        <v>30</v>
      </c>
      <c r="H83" s="1209">
        <v>8</v>
      </c>
      <c r="I83" s="1209">
        <v>16</v>
      </c>
      <c r="J83" s="1209">
        <v>28</v>
      </c>
      <c r="K83" s="1209">
        <v>1</v>
      </c>
      <c r="L83" s="2105" t="str">
        <f t="shared" si="7"/>
        <v>Habilidad De Parada+100</v>
      </c>
      <c r="M83" s="237"/>
      <c r="N83" s="6094"/>
      <c r="O83" s="86" t="s">
        <v>9796</v>
      </c>
      <c r="P83" s="86"/>
      <c r="Q83" s="86"/>
      <c r="R83" s="86"/>
      <c r="S83" s="86"/>
      <c r="T83" s="86"/>
      <c r="U83" s="86"/>
      <c r="V83" s="86"/>
      <c r="W83" s="86"/>
      <c r="X83" s="2103"/>
    </row>
    <row r="84" spans="1:26" ht="12" customHeight="1" x14ac:dyDescent="0.2">
      <c r="A84" s="6077"/>
      <c r="B84" s="6097"/>
      <c r="C84" s="44" t="s">
        <v>9171</v>
      </c>
      <c r="D84" s="86" t="s">
        <v>9052</v>
      </c>
      <c r="E84" s="1209">
        <v>18</v>
      </c>
      <c r="F84" s="1210">
        <v>22</v>
      </c>
      <c r="G84" s="1209">
        <v>35</v>
      </c>
      <c r="H84" s="1209">
        <v>10</v>
      </c>
      <c r="I84" s="1209">
        <v>20</v>
      </c>
      <c r="J84" s="1209">
        <v>35</v>
      </c>
      <c r="K84" s="1209">
        <v>2</v>
      </c>
      <c r="L84" s="2105" t="str">
        <f t="shared" si="7"/>
        <v>Habilidad De Parada+125</v>
      </c>
      <c r="M84" s="237"/>
      <c r="N84" s="6094"/>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77"/>
      <c r="B85" s="6097"/>
      <c r="C85" s="44" t="s">
        <v>9171</v>
      </c>
      <c r="D85" s="86" t="s">
        <v>9054</v>
      </c>
      <c r="E85" s="1209">
        <v>22</v>
      </c>
      <c r="F85" s="1210">
        <v>26</v>
      </c>
      <c r="G85" s="1209">
        <v>40</v>
      </c>
      <c r="H85" s="1209">
        <v>12</v>
      </c>
      <c r="I85" s="1209">
        <v>24</v>
      </c>
      <c r="J85" s="1209">
        <v>42</v>
      </c>
      <c r="K85" s="1209">
        <v>2</v>
      </c>
      <c r="L85" s="2105" t="str">
        <f t="shared" si="7"/>
        <v>Habilidad De Parada+150</v>
      </c>
      <c r="M85" s="237"/>
      <c r="N85" s="6094"/>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77"/>
      <c r="B86" s="6097"/>
      <c r="C86" s="44" t="s">
        <v>9171</v>
      </c>
      <c r="D86" s="86" t="s">
        <v>9057</v>
      </c>
      <c r="E86" s="1209">
        <v>26</v>
      </c>
      <c r="F86" s="1210">
        <v>32</v>
      </c>
      <c r="G86" s="1209">
        <v>45</v>
      </c>
      <c r="H86" s="1209">
        <v>14</v>
      </c>
      <c r="I86" s="1209">
        <v>28</v>
      </c>
      <c r="J86" s="1209">
        <v>49</v>
      </c>
      <c r="K86" s="1209">
        <v>3</v>
      </c>
      <c r="L86" s="2105" t="str">
        <f t="shared" si="7"/>
        <v>Habilidad De Parada+175</v>
      </c>
      <c r="M86" s="237"/>
      <c r="N86" s="6094"/>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77"/>
      <c r="B87" s="6097"/>
      <c r="C87" s="44" t="s">
        <v>9171</v>
      </c>
      <c r="D87" s="86" t="s">
        <v>9059</v>
      </c>
      <c r="E87" s="1209">
        <v>30</v>
      </c>
      <c r="F87" s="1210">
        <v>36</v>
      </c>
      <c r="G87" s="1209">
        <v>50</v>
      </c>
      <c r="H87" s="1209">
        <v>16</v>
      </c>
      <c r="I87" s="1209">
        <v>32</v>
      </c>
      <c r="J87" s="1209">
        <v>56</v>
      </c>
      <c r="K87" s="1209">
        <v>3</v>
      </c>
      <c r="L87" s="2105" t="str">
        <f t="shared" si="7"/>
        <v>Habilidad De Parada+200</v>
      </c>
      <c r="M87" s="237"/>
      <c r="N87" s="6094"/>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77"/>
      <c r="B88" s="6097"/>
      <c r="C88" s="44" t="s">
        <v>9179</v>
      </c>
      <c r="D88" s="86"/>
      <c r="E88" s="1209"/>
      <c r="F88" s="1210"/>
      <c r="G88" s="1209"/>
      <c r="H88" s="1209"/>
      <c r="I88" s="1209"/>
      <c r="J88" s="1209"/>
      <c r="K88" s="1209"/>
      <c r="L88" s="2105" t="str">
        <f t="shared" si="7"/>
        <v>&gt; HABILIDAD DE PARADA COMPLETA</v>
      </c>
      <c r="M88" s="237"/>
      <c r="N88" s="6095"/>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77"/>
      <c r="B89" s="6097"/>
      <c r="C89" s="44" t="s">
        <v>9181</v>
      </c>
      <c r="D89" s="86" t="s">
        <v>7682</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77"/>
      <c r="B90" s="6097"/>
      <c r="C90" s="44" t="s">
        <v>9181</v>
      </c>
      <c r="D90" s="86" t="s">
        <v>7826</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77"/>
      <c r="B91" s="6097"/>
      <c r="C91" s="44" t="s">
        <v>9181</v>
      </c>
      <c r="D91" s="86" t="s">
        <v>7684</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77"/>
      <c r="B92" s="6097"/>
      <c r="C92" s="44" t="s">
        <v>9181</v>
      </c>
      <c r="D92" s="86" t="s">
        <v>7685</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77"/>
      <c r="B93" s="6097"/>
      <c r="C93" s="44" t="s">
        <v>9181</v>
      </c>
      <c r="D93" s="86" t="s">
        <v>9044</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77"/>
      <c r="B94" s="6097"/>
      <c r="C94" s="44" t="s">
        <v>9181</v>
      </c>
      <c r="D94" s="86" t="s">
        <v>9048</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77"/>
      <c r="B95" s="6097"/>
      <c r="C95" s="44" t="s">
        <v>9181</v>
      </c>
      <c r="D95" s="86" t="s">
        <v>9051</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77"/>
      <c r="B96" s="6097"/>
      <c r="C96" s="44" t="s">
        <v>9185</v>
      </c>
      <c r="D96" s="86"/>
      <c r="E96" s="1209"/>
      <c r="F96" s="1210"/>
      <c r="G96" s="1209"/>
      <c r="H96" s="1209"/>
      <c r="I96" s="1209"/>
      <c r="J96" s="1209"/>
      <c r="K96" s="1209"/>
      <c r="L96" s="2105" t="str">
        <f t="shared" si="7"/>
        <v>&gt; HABILIDAD DE PARADA LIMITADA</v>
      </c>
      <c r="M96" s="237"/>
      <c r="Z96" s="237"/>
    </row>
    <row r="97" spans="1:26" ht="12" customHeight="1" x14ac:dyDescent="0.2">
      <c r="A97" s="6077"/>
      <c r="B97" s="6097"/>
      <c r="C97" s="44" t="s">
        <v>9187</v>
      </c>
      <c r="D97" s="86" t="s">
        <v>7682</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77"/>
      <c r="B98" s="6097"/>
      <c r="C98" s="44" t="s">
        <v>9187</v>
      </c>
      <c r="D98" s="86" t="s">
        <v>7826</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77"/>
      <c r="B99" s="6097"/>
      <c r="C99" s="44" t="s">
        <v>9187</v>
      </c>
      <c r="D99" s="86" t="s">
        <v>7684</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77"/>
      <c r="B100" s="6097"/>
      <c r="C100" s="44" t="s">
        <v>9187</v>
      </c>
      <c r="D100" s="86" t="s">
        <v>7685</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77"/>
      <c r="B101" s="6097"/>
      <c r="C101" s="44" t="s">
        <v>9187</v>
      </c>
      <c r="D101" s="86" t="s">
        <v>9044</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77"/>
      <c r="B102" s="6097"/>
      <c r="C102" s="44" t="s">
        <v>9187</v>
      </c>
      <c r="D102" s="86" t="s">
        <v>9048</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77"/>
      <c r="B103" s="6097"/>
      <c r="C103" s="44" t="s">
        <v>9187</v>
      </c>
      <c r="D103" s="86" t="s">
        <v>9051</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77"/>
      <c r="B104" s="6097"/>
      <c r="C104" s="44" t="s">
        <v>9187</v>
      </c>
      <c r="D104" s="86" t="s">
        <v>9052</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77"/>
      <c r="B105" s="6097"/>
      <c r="C105" s="44" t="s">
        <v>9187</v>
      </c>
      <c r="D105" s="86" t="s">
        <v>9054</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77"/>
      <c r="B106" s="6097"/>
      <c r="C106" s="44" t="s">
        <v>9187</v>
      </c>
      <c r="D106" s="86" t="s">
        <v>9057</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77"/>
      <c r="B107" s="6097"/>
      <c r="C107" s="44" t="s">
        <v>9187</v>
      </c>
      <c r="D107" s="86" t="s">
        <v>9059</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77"/>
      <c r="B108" s="6097"/>
      <c r="C108" s="44" t="s">
        <v>9196</v>
      </c>
      <c r="D108" s="86"/>
      <c r="E108" s="1209"/>
      <c r="F108" s="1210"/>
      <c r="G108" s="1209"/>
      <c r="H108" s="1209"/>
      <c r="I108" s="1209"/>
      <c r="J108" s="1209"/>
      <c r="K108" s="1209"/>
      <c r="L108" s="2105" t="str">
        <f t="shared" si="7"/>
        <v>&gt; HABILIDAD DE ESQUIVA</v>
      </c>
      <c r="M108" s="237"/>
      <c r="Z108" s="237"/>
    </row>
    <row r="109" spans="1:26" ht="12" customHeight="1" x14ac:dyDescent="0.2">
      <c r="A109" s="6077"/>
      <c r="B109" s="6097"/>
      <c r="C109" s="44" t="s">
        <v>9197</v>
      </c>
      <c r="D109" s="86" t="s">
        <v>7682</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77"/>
      <c r="B110" s="6097"/>
      <c r="C110" s="44" t="s">
        <v>9197</v>
      </c>
      <c r="D110" s="86" t="s">
        <v>7826</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77"/>
      <c r="B111" s="6097"/>
      <c r="C111" s="44" t="s">
        <v>9197</v>
      </c>
      <c r="D111" s="86" t="s">
        <v>7684</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77"/>
      <c r="B112" s="6097"/>
      <c r="C112" s="44" t="s">
        <v>9197</v>
      </c>
      <c r="D112" s="86" t="s">
        <v>7685</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77"/>
      <c r="B113" s="6097"/>
      <c r="C113" s="44" t="s">
        <v>9197</v>
      </c>
      <c r="D113" s="86" t="s">
        <v>9044</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77"/>
      <c r="B114" s="6097"/>
      <c r="C114" s="44" t="s">
        <v>9197</v>
      </c>
      <c r="D114" s="86" t="s">
        <v>9048</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77"/>
      <c r="B115" s="6097"/>
      <c r="C115" s="44" t="s">
        <v>9197</v>
      </c>
      <c r="D115" s="86" t="s">
        <v>9051</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77"/>
      <c r="B116" s="6097"/>
      <c r="C116" s="44" t="s">
        <v>9197</v>
      </c>
      <c r="D116" s="86" t="s">
        <v>9052</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77"/>
      <c r="B117" s="6097"/>
      <c r="C117" s="44" t="s">
        <v>9197</v>
      </c>
      <c r="D117" s="86" t="s">
        <v>9054</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77"/>
      <c r="B118" s="6097"/>
      <c r="C118" s="44" t="s">
        <v>9197</v>
      </c>
      <c r="D118" s="86" t="s">
        <v>9057</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77"/>
      <c r="B119" s="6097"/>
      <c r="C119" s="44" t="s">
        <v>9197</v>
      </c>
      <c r="D119" s="86" t="s">
        <v>9059</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77"/>
      <c r="B120" s="6097"/>
      <c r="C120" s="44" t="s">
        <v>9206</v>
      </c>
      <c r="D120" s="86"/>
      <c r="E120" s="1209"/>
      <c r="F120" s="1210"/>
      <c r="G120" s="1209"/>
      <c r="H120" s="1209"/>
      <c r="I120" s="1209"/>
      <c r="J120" s="1209"/>
      <c r="K120" s="1209"/>
      <c r="L120" s="2105" t="str">
        <f t="shared" si="7"/>
        <v>&gt; HABILIDAD DE ESQUIVA COMPLETA</v>
      </c>
      <c r="M120" s="237"/>
      <c r="Z120" s="237"/>
    </row>
    <row r="121" spans="1:26" ht="12" customHeight="1" x14ac:dyDescent="0.2">
      <c r="A121" s="6077"/>
      <c r="B121" s="6097"/>
      <c r="C121" s="44" t="s">
        <v>9208</v>
      </c>
      <c r="D121" s="86" t="s">
        <v>7682</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77"/>
      <c r="B122" s="6097"/>
      <c r="C122" s="44" t="s">
        <v>9208</v>
      </c>
      <c r="D122" s="86" t="s">
        <v>7826</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77"/>
      <c r="B123" s="6097"/>
      <c r="C123" s="44" t="s">
        <v>9208</v>
      </c>
      <c r="D123" s="86" t="s">
        <v>7684</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77"/>
      <c r="B124" s="6097"/>
      <c r="C124" s="44" t="s">
        <v>9208</v>
      </c>
      <c r="D124" s="86" t="s">
        <v>7685</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77"/>
      <c r="B125" s="6097"/>
      <c r="C125" s="44" t="s">
        <v>9208</v>
      </c>
      <c r="D125" s="86" t="s">
        <v>9044</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77"/>
      <c r="B126" s="6097"/>
      <c r="C126" s="44" t="s">
        <v>9208</v>
      </c>
      <c r="D126" s="86" t="s">
        <v>9048</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77"/>
      <c r="B127" s="6097"/>
      <c r="C127" s="44" t="s">
        <v>9208</v>
      </c>
      <c r="D127" s="86" t="s">
        <v>9051</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77"/>
      <c r="B128" s="6097"/>
      <c r="C128" s="44" t="s">
        <v>9215</v>
      </c>
      <c r="D128" s="86"/>
      <c r="E128" s="1209"/>
      <c r="F128" s="1210"/>
      <c r="G128" s="1209"/>
      <c r="H128" s="1209"/>
      <c r="I128" s="1209"/>
      <c r="J128" s="1209"/>
      <c r="K128" s="1209"/>
      <c r="L128" s="2105" t="str">
        <f t="shared" si="7"/>
        <v>&gt; HABILIDAD DE ESQUIVA LIMITADA</v>
      </c>
      <c r="M128" s="237"/>
      <c r="Z128" s="237"/>
    </row>
    <row r="129" spans="1:26" ht="12" customHeight="1" x14ac:dyDescent="0.2">
      <c r="A129" s="6077"/>
      <c r="B129" s="6097"/>
      <c r="C129" s="44" t="s">
        <v>9217</v>
      </c>
      <c r="D129" s="86" t="s">
        <v>7682</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77"/>
      <c r="B130" s="6097"/>
      <c r="C130" s="44" t="s">
        <v>9217</v>
      </c>
      <c r="D130" s="86" t="s">
        <v>7826</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77"/>
      <c r="B131" s="6097"/>
      <c r="C131" s="44" t="s">
        <v>9217</v>
      </c>
      <c r="D131" s="86" t="s">
        <v>7684</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77"/>
      <c r="B132" s="6097"/>
      <c r="C132" s="44" t="s">
        <v>9217</v>
      </c>
      <c r="D132" s="86" t="s">
        <v>7685</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77"/>
      <c r="B133" s="6097"/>
      <c r="C133" s="44" t="s">
        <v>9217</v>
      </c>
      <c r="D133" s="86" t="s">
        <v>9044</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77"/>
      <c r="B134" s="6097"/>
      <c r="C134" s="44" t="s">
        <v>9217</v>
      </c>
      <c r="D134" s="86" t="s">
        <v>9048</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77"/>
      <c r="B135" s="6097"/>
      <c r="C135" s="44" t="s">
        <v>9217</v>
      </c>
      <c r="D135" s="86" t="s">
        <v>9051</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77"/>
      <c r="B136" s="6097"/>
      <c r="C136" s="44" t="s">
        <v>9217</v>
      </c>
      <c r="D136" s="86" t="s">
        <v>9052</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77"/>
      <c r="B137" s="6097"/>
      <c r="C137" s="44" t="s">
        <v>9217</v>
      </c>
      <c r="D137" s="86" t="s">
        <v>9054</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77"/>
      <c r="B138" s="6097"/>
      <c r="C138" s="44" t="s">
        <v>9217</v>
      </c>
      <c r="D138" s="86" t="s">
        <v>9057</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77"/>
      <c r="B139" s="6097"/>
      <c r="C139" s="44" t="s">
        <v>9217</v>
      </c>
      <c r="D139" s="86" t="s">
        <v>9059</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77"/>
      <c r="B140" s="6097"/>
      <c r="C140" s="44" t="s">
        <v>9227</v>
      </c>
      <c r="D140" s="86"/>
      <c r="E140" s="1209"/>
      <c r="F140" s="1210"/>
      <c r="G140" s="1209"/>
      <c r="H140" s="1209"/>
      <c r="I140" s="1209"/>
      <c r="J140" s="1209"/>
      <c r="K140" s="1209"/>
      <c r="L140" s="2105" t="str">
        <f t="shared" si="10"/>
        <v>&gt; DEFENSA PREDETERMINADA</v>
      </c>
      <c r="M140" s="237"/>
      <c r="Z140" s="237"/>
    </row>
    <row r="141" spans="1:26" ht="12" customHeight="1" x14ac:dyDescent="0.2">
      <c r="A141" s="6077"/>
      <c r="B141" s="6097"/>
      <c r="C141" s="44" t="s">
        <v>9067</v>
      </c>
      <c r="D141" s="86" t="s">
        <v>9079</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77"/>
      <c r="B142" s="6097"/>
      <c r="C142" s="44" t="s">
        <v>9067</v>
      </c>
      <c r="D142" s="86" t="s">
        <v>9080</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77"/>
      <c r="B143" s="6097"/>
      <c r="C143" s="44" t="s">
        <v>9067</v>
      </c>
      <c r="D143" s="86" t="s">
        <v>9083</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77"/>
      <c r="B144" s="6097"/>
      <c r="C144" s="44" t="s">
        <v>9067</v>
      </c>
      <c r="D144" s="86" t="s">
        <v>9085</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77"/>
      <c r="B145" s="6097"/>
      <c r="C145" s="44" t="s">
        <v>9067</v>
      </c>
      <c r="D145" s="86" t="s">
        <v>9088</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77"/>
      <c r="B146" s="6097"/>
      <c r="C146" s="44" t="s">
        <v>9067</v>
      </c>
      <c r="D146" s="86" t="s">
        <v>9091</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77"/>
      <c r="B147" s="6097"/>
      <c r="C147" s="44" t="s">
        <v>9067</v>
      </c>
      <c r="D147" s="86" t="s">
        <v>9092</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77"/>
      <c r="B148" s="6097"/>
      <c r="C148" s="44" t="s">
        <v>9067</v>
      </c>
      <c r="D148" s="86" t="s">
        <v>9094</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77"/>
      <c r="B149" s="6097"/>
      <c r="C149" s="44" t="s">
        <v>9236</v>
      </c>
      <c r="D149" s="86"/>
      <c r="E149" s="1209"/>
      <c r="F149" s="1210"/>
      <c r="G149" s="1209"/>
      <c r="H149" s="1209"/>
      <c r="I149" s="1209"/>
      <c r="J149" s="1209"/>
      <c r="K149" s="1209"/>
      <c r="L149" s="2105" t="str">
        <f t="shared" si="10"/>
        <v>&gt;&gt;EFECTOS DESTRUCTIVOS</v>
      </c>
      <c r="M149" s="237"/>
      <c r="Z149" s="237"/>
    </row>
    <row r="150" spans="1:26" ht="12" customHeight="1" x14ac:dyDescent="0.2">
      <c r="A150" s="6077"/>
      <c r="B150" s="6097"/>
      <c r="C150" s="44" t="s">
        <v>9238</v>
      </c>
      <c r="D150" s="86"/>
      <c r="E150" s="1209"/>
      <c r="F150" s="1210"/>
      <c r="G150" s="1209"/>
      <c r="H150" s="1209"/>
      <c r="I150" s="1209"/>
      <c r="J150" s="1209"/>
      <c r="K150" s="1209"/>
      <c r="L150" s="2105" t="str">
        <f t="shared" si="10"/>
        <v>&gt; AUMENTO DE DAÑO</v>
      </c>
      <c r="M150" s="237"/>
      <c r="Z150" s="237"/>
    </row>
    <row r="151" spans="1:26" ht="12" customHeight="1" x14ac:dyDescent="0.2">
      <c r="A151" s="6077"/>
      <c r="B151" s="6097"/>
      <c r="C151" s="44" t="s">
        <v>9239</v>
      </c>
      <c r="D151" s="86" t="s">
        <v>7682</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77"/>
      <c r="B152" s="6097"/>
      <c r="C152" s="44" t="s">
        <v>9239</v>
      </c>
      <c r="D152" s="86" t="s">
        <v>7826</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77"/>
      <c r="B153" s="6097"/>
      <c r="C153" s="44" t="s">
        <v>9239</v>
      </c>
      <c r="D153" s="86" t="s">
        <v>7684</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77"/>
      <c r="B154" s="6097"/>
      <c r="C154" s="44" t="s">
        <v>9239</v>
      </c>
      <c r="D154" s="86" t="s">
        <v>7685</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77"/>
      <c r="B155" s="6097"/>
      <c r="C155" s="44" t="s">
        <v>9239</v>
      </c>
      <c r="D155" s="86" t="s">
        <v>9044</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77"/>
      <c r="B156" s="6097"/>
      <c r="C156" s="44" t="s">
        <v>9239</v>
      </c>
      <c r="D156" s="86" t="s">
        <v>9048</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77"/>
      <c r="B157" s="6097"/>
      <c r="C157" s="44" t="s">
        <v>9239</v>
      </c>
      <c r="D157" s="86" t="s">
        <v>9051</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77"/>
      <c r="B158" s="6097"/>
      <c r="C158" s="44" t="s">
        <v>9239</v>
      </c>
      <c r="D158" s="86" t="s">
        <v>9052</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77"/>
      <c r="B159" s="6097"/>
      <c r="C159" s="44" t="s">
        <v>9239</v>
      </c>
      <c r="D159" s="86" t="s">
        <v>9054</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77"/>
      <c r="B160" s="6097"/>
      <c r="C160" s="44" t="s">
        <v>9239</v>
      </c>
      <c r="D160" s="86" t="s">
        <v>9057</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77"/>
      <c r="B161" s="6097"/>
      <c r="C161" s="44" t="s">
        <v>9239</v>
      </c>
      <c r="D161" s="86" t="s">
        <v>9059</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77"/>
      <c r="B162" s="6097"/>
      <c r="C162" s="44" t="s">
        <v>9239</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77"/>
      <c r="B163" s="6097"/>
      <c r="C163" s="44" t="s">
        <v>9239</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77"/>
      <c r="B164" s="6097"/>
      <c r="C164" s="44" t="s">
        <v>9239</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77"/>
      <c r="B165" s="6097"/>
      <c r="C165" s="44" t="s">
        <v>9239</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77"/>
      <c r="B166" s="6097"/>
      <c r="C166" s="44" t="s">
        <v>9239</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77"/>
      <c r="B167" s="6097"/>
      <c r="C167" s="44" t="s">
        <v>9250</v>
      </c>
      <c r="D167" s="86"/>
      <c r="E167" s="1209"/>
      <c r="F167" s="1210"/>
      <c r="G167" s="1209"/>
      <c r="H167" s="1209"/>
      <c r="I167" s="1209"/>
      <c r="J167" s="1209"/>
      <c r="K167" s="1209"/>
      <c r="L167" s="2105" t="str">
        <f t="shared" si="10"/>
        <v>&gt; AUMENTO DE DAÑO REAL</v>
      </c>
      <c r="M167" s="237"/>
      <c r="Z167" s="237"/>
    </row>
    <row r="168" spans="1:26" ht="12" customHeight="1" x14ac:dyDescent="0.2">
      <c r="A168" s="6077"/>
      <c r="B168" s="6097"/>
      <c r="C168" s="44" t="s">
        <v>9252</v>
      </c>
      <c r="D168" s="86" t="s">
        <v>7682</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77"/>
      <c r="B169" s="6097"/>
      <c r="C169" s="44" t="s">
        <v>9252</v>
      </c>
      <c r="D169" s="86" t="s">
        <v>7826</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77"/>
      <c r="B170" s="6097"/>
      <c r="C170" s="44" t="s">
        <v>9252</v>
      </c>
      <c r="D170" s="86" t="s">
        <v>7684</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77"/>
      <c r="B171" s="6097"/>
      <c r="C171" s="44" t="s">
        <v>9252</v>
      </c>
      <c r="D171" s="86" t="s">
        <v>7685</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77"/>
      <c r="B172" s="6097"/>
      <c r="C172" s="44" t="s">
        <v>9252</v>
      </c>
      <c r="D172" s="86" t="s">
        <v>9044</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77"/>
      <c r="B173" s="6097"/>
      <c r="C173" s="44" t="s">
        <v>9252</v>
      </c>
      <c r="D173" s="86" t="s">
        <v>9048</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77"/>
      <c r="B174" s="6097"/>
      <c r="C174" s="44" t="s">
        <v>9252</v>
      </c>
      <c r="D174" s="86" t="s">
        <v>9051</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77"/>
      <c r="B175" s="6097"/>
      <c r="C175" s="44" t="s">
        <v>9256</v>
      </c>
      <c r="D175" s="86"/>
      <c r="E175" s="1209"/>
      <c r="F175" s="1210"/>
      <c r="G175" s="1209"/>
      <c r="H175" s="1209"/>
      <c r="I175" s="1209"/>
      <c r="J175" s="1209"/>
      <c r="K175" s="1209"/>
      <c r="L175" s="2105" t="str">
        <f t="shared" si="10"/>
        <v>&gt; MULTIPLICADOR AL DAÑO</v>
      </c>
      <c r="M175" s="237"/>
      <c r="Z175" s="237"/>
    </row>
    <row r="176" spans="1:26" ht="12" customHeight="1" x14ac:dyDescent="0.2">
      <c r="A176" s="6077"/>
      <c r="B176" s="6097"/>
      <c r="C176" s="44" t="s">
        <v>9258</v>
      </c>
      <c r="D176" s="86" t="s">
        <v>9259</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77"/>
      <c r="B177" s="6097"/>
      <c r="C177" s="44" t="s">
        <v>9258</v>
      </c>
      <c r="D177" s="86" t="s">
        <v>9261</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77"/>
      <c r="B178" s="6097"/>
      <c r="C178" s="44" t="s">
        <v>9258</v>
      </c>
      <c r="D178" s="86" t="s">
        <v>9263</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77"/>
      <c r="B179" s="6097"/>
      <c r="C179" s="44" t="s">
        <v>9265</v>
      </c>
      <c r="D179" s="86"/>
      <c r="E179" s="1209"/>
      <c r="F179" s="1210"/>
      <c r="G179" s="1209"/>
      <c r="H179" s="1209"/>
      <c r="I179" s="1209"/>
      <c r="J179" s="1209"/>
      <c r="K179" s="1209"/>
      <c r="L179" s="2105" t="str">
        <f t="shared" si="10"/>
        <v>&gt; MULTIPLICADOR AL DAÑO REAL</v>
      </c>
      <c r="M179" s="237"/>
      <c r="Z179" s="237"/>
    </row>
    <row r="180" spans="1:26" ht="12" customHeight="1" x14ac:dyDescent="0.2">
      <c r="A180" s="6077"/>
      <c r="B180" s="6097"/>
      <c r="C180" s="44" t="s">
        <v>9267</v>
      </c>
      <c r="D180" s="86" t="s">
        <v>9259</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77"/>
      <c r="B181" s="6097"/>
      <c r="C181" s="44" t="s">
        <v>9267</v>
      </c>
      <c r="D181" s="86" t="s">
        <v>9261</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77"/>
      <c r="B182" s="6097"/>
      <c r="C182" s="44" t="s">
        <v>9267</v>
      </c>
      <c r="D182" s="86" t="s">
        <v>9263</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77"/>
      <c r="B183" s="6097"/>
      <c r="C183" s="44" t="s">
        <v>9270</v>
      </c>
      <c r="D183" s="86"/>
      <c r="E183" s="1209"/>
      <c r="F183" s="1210"/>
      <c r="G183" s="1209"/>
      <c r="H183" s="1209"/>
      <c r="I183" s="1209"/>
      <c r="J183" s="1209"/>
      <c r="K183" s="1209"/>
      <c r="L183" s="2105" t="str">
        <f t="shared" si="10"/>
        <v>&gt; SUSTITUCIÓN DE DAÑO</v>
      </c>
      <c r="M183" s="237"/>
      <c r="Z183" s="237"/>
    </row>
    <row r="184" spans="1:26" ht="12" customHeight="1" x14ac:dyDescent="0.2">
      <c r="A184" s="6077"/>
      <c r="B184" s="6097"/>
      <c r="C184" s="44" t="s">
        <v>9272</v>
      </c>
      <c r="D184" s="86" t="s">
        <v>9273</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77"/>
      <c r="B185" s="6097"/>
      <c r="C185" s="44" t="s">
        <v>9272</v>
      </c>
      <c r="D185" s="86" t="s">
        <v>7731</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77"/>
      <c r="B186" s="6097"/>
      <c r="C186" s="44" t="s">
        <v>9272</v>
      </c>
      <c r="D186" s="86" t="s">
        <v>7732</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77"/>
      <c r="B187" s="6097"/>
      <c r="C187" s="44" t="s">
        <v>9272</v>
      </c>
      <c r="D187" s="86" t="s">
        <v>9275</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77"/>
      <c r="B188" s="6097"/>
      <c r="C188" s="44" t="s">
        <v>9272</v>
      </c>
      <c r="D188" s="86" t="s">
        <v>9277</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77"/>
      <c r="B189" s="6097"/>
      <c r="C189" s="44" t="s">
        <v>9272</v>
      </c>
      <c r="D189" s="86" t="s">
        <v>9279</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77"/>
      <c r="B190" s="6097"/>
      <c r="C190" s="44" t="s">
        <v>9272</v>
      </c>
      <c r="D190" s="86" t="s">
        <v>9281</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77"/>
      <c r="B191" s="6097"/>
      <c r="C191" s="44" t="s">
        <v>9283</v>
      </c>
      <c r="D191" s="86"/>
      <c r="E191" s="1209"/>
      <c r="F191" s="1210"/>
      <c r="G191" s="1209"/>
      <c r="H191" s="1209"/>
      <c r="I191" s="1209"/>
      <c r="J191" s="1209"/>
      <c r="K191" s="1209"/>
      <c r="L191" s="2105" t="str">
        <f t="shared" si="10"/>
        <v>&gt; SUSTITUCIÓN DE DAÑO REAL</v>
      </c>
      <c r="M191" s="237"/>
      <c r="Z191" s="237"/>
    </row>
    <row r="192" spans="1:26" ht="12" customHeight="1" x14ac:dyDescent="0.2">
      <c r="A192" s="6077"/>
      <c r="B192" s="6097"/>
      <c r="C192" s="44" t="s">
        <v>9285</v>
      </c>
      <c r="D192" s="86" t="s">
        <v>9273</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77"/>
      <c r="B193" s="6097"/>
      <c r="C193" s="44" t="s">
        <v>9285</v>
      </c>
      <c r="D193" s="86" t="s">
        <v>7731</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77"/>
      <c r="B194" s="6097"/>
      <c r="C194" s="44" t="s">
        <v>9285</v>
      </c>
      <c r="D194" s="86" t="s">
        <v>7732</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77"/>
      <c r="B195" s="6097"/>
      <c r="C195" s="44" t="s">
        <v>9285</v>
      </c>
      <c r="D195" s="86" t="s">
        <v>9275</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77"/>
      <c r="B196" s="6097"/>
      <c r="C196" s="44" t="s">
        <v>9285</v>
      </c>
      <c r="D196" s="86" t="s">
        <v>9277</v>
      </c>
      <c r="E196" s="1209">
        <v>15</v>
      </c>
      <c r="F196" s="1210">
        <v>19</v>
      </c>
      <c r="G196" s="1209">
        <v>40</v>
      </c>
      <c r="H196" s="1209">
        <v>10</v>
      </c>
      <c r="I196" s="1209">
        <v>20</v>
      </c>
      <c r="J196" s="1209">
        <v>35</v>
      </c>
      <c r="K196" s="1209">
        <v>2</v>
      </c>
      <c r="L196" s="2105" t="str">
        <f t="shared" si="10"/>
        <v>Sustitución De Daño Real180</v>
      </c>
      <c r="M196" s="237"/>
      <c r="N196" s="6102"/>
      <c r="O196" s="6081" t="s">
        <v>9198</v>
      </c>
      <c r="P196" s="6078"/>
      <c r="Q196" s="6078"/>
      <c r="R196" s="6078"/>
      <c r="S196" s="6079"/>
      <c r="T196" s="237"/>
      <c r="U196" s="6099"/>
      <c r="V196" s="6078" t="s">
        <v>9176</v>
      </c>
      <c r="W196" s="6078"/>
      <c r="X196" s="6079"/>
      <c r="Z196" s="237"/>
    </row>
    <row r="197" spans="1:26" ht="12" customHeight="1" x14ac:dyDescent="0.2">
      <c r="A197" s="6077"/>
      <c r="B197" s="6097"/>
      <c r="C197" s="44" t="s">
        <v>9285</v>
      </c>
      <c r="D197" s="86" t="s">
        <v>9279</v>
      </c>
      <c r="E197" s="1209">
        <v>18</v>
      </c>
      <c r="F197" s="1210">
        <v>22</v>
      </c>
      <c r="G197" s="1209">
        <v>50</v>
      </c>
      <c r="H197" s="1209">
        <v>12</v>
      </c>
      <c r="I197" s="1209">
        <v>24</v>
      </c>
      <c r="J197" s="1209">
        <v>42</v>
      </c>
      <c r="K197" s="1209">
        <v>3</v>
      </c>
      <c r="L197" s="2105" t="str">
        <f t="shared" si="10"/>
        <v>Sustitución De Daño Real200</v>
      </c>
      <c r="M197" s="237"/>
      <c r="N197" s="6103"/>
      <c r="O197" s="6082"/>
      <c r="P197" s="4765"/>
      <c r="Q197" s="4765"/>
      <c r="R197" s="4765"/>
      <c r="S197" s="6080"/>
      <c r="T197" s="237"/>
      <c r="U197" s="6100"/>
      <c r="V197" s="4765"/>
      <c r="W197" s="4765"/>
      <c r="X197" s="6080"/>
      <c r="Z197" s="237"/>
    </row>
    <row r="198" spans="1:26" ht="12" customHeight="1" x14ac:dyDescent="0.2">
      <c r="A198" s="6077"/>
      <c r="B198" s="6097"/>
      <c r="C198" s="44" t="s">
        <v>2881</v>
      </c>
      <c r="D198" s="86"/>
      <c r="E198" s="1209"/>
      <c r="F198" s="1210"/>
      <c r="G198" s="1209"/>
      <c r="H198" s="1209"/>
      <c r="I198" s="1209"/>
      <c r="J198" s="1209"/>
      <c r="K198" s="1209"/>
      <c r="L198" s="2105" t="str">
        <f t="shared" si="10"/>
        <v>&gt;&gt;EFECTOS DE ACCION</v>
      </c>
      <c r="M198" s="237"/>
      <c r="N198" s="6103"/>
      <c r="O198" s="2202" t="s">
        <v>9199</v>
      </c>
      <c r="P198" s="2201" t="s">
        <v>2861</v>
      </c>
      <c r="Q198" s="2202" t="s">
        <v>1503</v>
      </c>
      <c r="R198" s="2202" t="s">
        <v>1406</v>
      </c>
      <c r="S198" s="2102" t="s">
        <v>8655</v>
      </c>
      <c r="T198" s="237"/>
      <c r="U198" s="6100"/>
      <c r="V198" s="2201" t="s">
        <v>9024</v>
      </c>
      <c r="W198" s="2201" t="s">
        <v>9025</v>
      </c>
      <c r="X198" s="2102" t="s">
        <v>1373</v>
      </c>
      <c r="Z198" s="237"/>
    </row>
    <row r="199" spans="1:26" ht="12" customHeight="1" x14ac:dyDescent="0.2">
      <c r="A199" s="6077"/>
      <c r="B199" s="6097"/>
      <c r="C199" s="44" t="s">
        <v>9293</v>
      </c>
      <c r="D199" s="86"/>
      <c r="E199" s="1209"/>
      <c r="F199" s="1210"/>
      <c r="G199" s="1209"/>
      <c r="H199" s="1209"/>
      <c r="I199" s="1209"/>
      <c r="J199" s="1209"/>
      <c r="K199" s="1209"/>
      <c r="L199" s="2105" t="str">
        <f t="shared" si="10"/>
        <v>&gt; ATAQUE ADICIONAL</v>
      </c>
      <c r="M199" s="237"/>
      <c r="N199" s="6103"/>
      <c r="O199" s="2202">
        <v>1</v>
      </c>
      <c r="P199" s="2201">
        <v>2</v>
      </c>
      <c r="Q199" s="2202">
        <v>3</v>
      </c>
      <c r="R199" s="2202">
        <v>4</v>
      </c>
      <c r="S199" s="2102">
        <v>5</v>
      </c>
      <c r="T199" s="237"/>
      <c r="U199" s="6100"/>
      <c r="V199" s="86" t="s">
        <v>9177</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77"/>
      <c r="B200" s="6097"/>
      <c r="C200" s="44" t="s">
        <v>9081</v>
      </c>
      <c r="D200" s="86" t="s">
        <v>2904</v>
      </c>
      <c r="E200" s="1209">
        <v>6</v>
      </c>
      <c r="F200" s="1210">
        <v>9</v>
      </c>
      <c r="G200" s="1209">
        <v>20</v>
      </c>
      <c r="H200" s="1209">
        <v>3</v>
      </c>
      <c r="I200" s="1209">
        <v>6</v>
      </c>
      <c r="J200" s="1209">
        <v>11</v>
      </c>
      <c r="K200" s="1209">
        <v>1</v>
      </c>
      <c r="L200" s="2105" t="str">
        <f t="shared" si="10"/>
        <v>Ataque Adicional+1</v>
      </c>
      <c r="M200" s="237"/>
      <c r="N200" s="6103"/>
      <c r="O200" s="86" t="s">
        <v>9200</v>
      </c>
      <c r="P200" s="86"/>
      <c r="Q200" s="80"/>
      <c r="R200" s="80"/>
      <c r="S200" s="2105" t="str">
        <f>O200&amp;P200</f>
        <v>&gt; AGOTAMIENTO</v>
      </c>
      <c r="T200" s="237"/>
      <c r="U200" s="6100"/>
      <c r="V200" s="86" t="s">
        <v>9009</v>
      </c>
      <c r="W200" s="86" t="str">
        <f t="shared" si="11"/>
        <v>'Tablas Técnicas'!$P$205:$P$206</v>
      </c>
      <c r="X200" s="2103" t="s">
        <v>3213</v>
      </c>
      <c r="Z200" s="237"/>
    </row>
    <row r="201" spans="1:26" ht="12" customHeight="1" x14ac:dyDescent="0.2">
      <c r="A201" s="6077"/>
      <c r="B201" s="6097"/>
      <c r="C201" s="44" t="s">
        <v>9081</v>
      </c>
      <c r="D201" s="86" t="s">
        <v>2865</v>
      </c>
      <c r="E201" s="1209">
        <v>12</v>
      </c>
      <c r="F201" s="1210">
        <v>15</v>
      </c>
      <c r="G201" s="1209">
        <v>30</v>
      </c>
      <c r="H201" s="1209">
        <v>6</v>
      </c>
      <c r="I201" s="1209">
        <v>12</v>
      </c>
      <c r="J201" s="1209">
        <v>21</v>
      </c>
      <c r="K201" s="1209">
        <v>1</v>
      </c>
      <c r="L201" s="2105" t="str">
        <f t="shared" si="10"/>
        <v>Ataque Adicional+2</v>
      </c>
      <c r="M201" s="237"/>
      <c r="N201" s="6103"/>
      <c r="O201" s="86" t="s">
        <v>9177</v>
      </c>
      <c r="P201" s="86" t="s">
        <v>9201</v>
      </c>
      <c r="Q201" s="80">
        <v>-5</v>
      </c>
      <c r="R201" s="80">
        <v>1</v>
      </c>
      <c r="S201" s="2105" t="str">
        <f t="shared" ref="S201:S264" si="12">O201&amp;P201</f>
        <v>Agotamiento-2 Cansancio</v>
      </c>
      <c r="T201" s="237"/>
      <c r="U201" s="6100"/>
      <c r="V201" s="86" t="s">
        <v>9178</v>
      </c>
      <c r="W201" s="86" t="str">
        <f t="shared" si="11"/>
        <v>'Tablas Técnicas'!$P$208:$P$210</v>
      </c>
      <c r="X201" s="2103" t="s">
        <v>1235</v>
      </c>
      <c r="Z201" s="237"/>
    </row>
    <row r="202" spans="1:26" ht="12" customHeight="1" x14ac:dyDescent="0.2">
      <c r="A202" s="6077"/>
      <c r="B202" s="6097"/>
      <c r="C202" s="44" t="s">
        <v>9081</v>
      </c>
      <c r="D202" s="86" t="s">
        <v>2866</v>
      </c>
      <c r="E202" s="1209">
        <v>18</v>
      </c>
      <c r="F202" s="1210">
        <v>22</v>
      </c>
      <c r="G202" s="1209">
        <v>40</v>
      </c>
      <c r="H202" s="1209">
        <v>9</v>
      </c>
      <c r="I202" s="1209">
        <v>18</v>
      </c>
      <c r="J202" s="1209">
        <v>32</v>
      </c>
      <c r="K202" s="1209">
        <v>1</v>
      </c>
      <c r="L202" s="2105" t="str">
        <f t="shared" si="10"/>
        <v>Ataque Adicional+3</v>
      </c>
      <c r="M202" s="237"/>
      <c r="N202" s="6103"/>
      <c r="O202" s="86" t="s">
        <v>9177</v>
      </c>
      <c r="P202" s="86" t="s">
        <v>9202</v>
      </c>
      <c r="Q202" s="80">
        <v>-10</v>
      </c>
      <c r="R202" s="80">
        <v>1</v>
      </c>
      <c r="S202" s="2105" t="str">
        <f t="shared" si="12"/>
        <v>Agotamiento-4 Cansancio</v>
      </c>
      <c r="T202" s="237"/>
      <c r="U202" s="6100"/>
      <c r="V202" s="86" t="s">
        <v>9180</v>
      </c>
      <c r="W202" s="86" t="str">
        <f t="shared" si="11"/>
        <v>'Tablas Técnicas'!$P$212:$P$213</v>
      </c>
      <c r="X202" s="2103" t="s">
        <v>3213</v>
      </c>
      <c r="Z202" s="237"/>
    </row>
    <row r="203" spans="1:26" ht="12" customHeight="1" x14ac:dyDescent="0.2">
      <c r="A203" s="6077"/>
      <c r="B203" s="6097"/>
      <c r="C203" s="44" t="s">
        <v>9081</v>
      </c>
      <c r="D203" s="86" t="s">
        <v>3171</v>
      </c>
      <c r="E203" s="1209">
        <v>24</v>
      </c>
      <c r="F203" s="1210">
        <v>29</v>
      </c>
      <c r="G203" s="1209">
        <v>50</v>
      </c>
      <c r="H203" s="1209">
        <v>12</v>
      </c>
      <c r="I203" s="1209">
        <v>24</v>
      </c>
      <c r="J203" s="1209">
        <v>42</v>
      </c>
      <c r="K203" s="1209">
        <v>2</v>
      </c>
      <c r="L203" s="2105" t="str">
        <f t="shared" ref="L203:L266" si="13">C203&amp;D203</f>
        <v>Ataque Adicional+4</v>
      </c>
      <c r="M203" s="237"/>
      <c r="N203" s="6103"/>
      <c r="O203" s="86" t="s">
        <v>9177</v>
      </c>
      <c r="P203" s="86" t="s">
        <v>9203</v>
      </c>
      <c r="Q203" s="80">
        <v>-15</v>
      </c>
      <c r="R203" s="80">
        <v>2</v>
      </c>
      <c r="S203" s="2105" t="str">
        <f t="shared" si="12"/>
        <v>Agotamiento-6 Cansancio</v>
      </c>
      <c r="T203" s="237"/>
      <c r="U203" s="6100"/>
      <c r="V203" s="86" t="s">
        <v>9182</v>
      </c>
      <c r="W203" s="86" t="str">
        <f t="shared" si="11"/>
        <v>'Tablas Técnicas'!$P$215:$P$218</v>
      </c>
      <c r="X203" s="2103" t="s">
        <v>3213</v>
      </c>
      <c r="Z203" s="237"/>
    </row>
    <row r="204" spans="1:26" ht="12" customHeight="1" x14ac:dyDescent="0.2">
      <c r="A204" s="6077"/>
      <c r="B204" s="6097"/>
      <c r="C204" s="44" t="s">
        <v>9081</v>
      </c>
      <c r="D204" s="86" t="s">
        <v>7065</v>
      </c>
      <c r="E204" s="1209">
        <v>30</v>
      </c>
      <c r="F204" s="1210">
        <v>36</v>
      </c>
      <c r="G204" s="1209">
        <v>60</v>
      </c>
      <c r="H204" s="1209">
        <v>15</v>
      </c>
      <c r="I204" s="1209">
        <v>30</v>
      </c>
      <c r="J204" s="1209">
        <v>53</v>
      </c>
      <c r="K204" s="1209">
        <v>3</v>
      </c>
      <c r="L204" s="2105" t="str">
        <f t="shared" si="13"/>
        <v>Ataque Adicional+5</v>
      </c>
      <c r="M204" s="237"/>
      <c r="N204" s="6103"/>
      <c r="O204" s="86" t="s">
        <v>9204</v>
      </c>
      <c r="P204" s="86"/>
      <c r="Q204" s="80"/>
      <c r="R204" s="80"/>
      <c r="S204" s="2105" t="str">
        <f t="shared" si="12"/>
        <v>&gt; ATADURA ELEMENTAL</v>
      </c>
      <c r="T204" s="237"/>
      <c r="U204" s="6100"/>
      <c r="V204" s="86" t="s">
        <v>9183</v>
      </c>
      <c r="W204" s="86" t="str">
        <f t="shared" si="11"/>
        <v>'Tablas Técnicas'!$P$220:$P$220</v>
      </c>
      <c r="X204" s="2103" t="s">
        <v>1235</v>
      </c>
      <c r="Z204" s="237"/>
    </row>
    <row r="205" spans="1:26" ht="12" customHeight="1" x14ac:dyDescent="0.2">
      <c r="A205" s="6077"/>
      <c r="B205" s="6097"/>
      <c r="C205" s="44" t="s">
        <v>9081</v>
      </c>
      <c r="D205" s="86" t="s">
        <v>9539</v>
      </c>
      <c r="E205" s="1209">
        <v>10</v>
      </c>
      <c r="F205" s="1210">
        <v>10</v>
      </c>
      <c r="G205" s="1209">
        <v>30</v>
      </c>
      <c r="H205" s="1209">
        <v>5</v>
      </c>
      <c r="I205" s="1209">
        <v>10</v>
      </c>
      <c r="J205" s="1209">
        <v>18</v>
      </c>
      <c r="K205" s="1209"/>
      <c r="L205" s="2105" t="str">
        <f t="shared" si="13"/>
        <v>Ataque AdicionalAtaque Continuo</v>
      </c>
      <c r="M205" s="237"/>
      <c r="N205" s="6103"/>
      <c r="O205" s="86" t="s">
        <v>9009</v>
      </c>
      <c r="P205" s="86" t="s">
        <v>9205</v>
      </c>
      <c r="Q205" s="80">
        <v>-15</v>
      </c>
      <c r="R205" s="80">
        <v>1</v>
      </c>
      <c r="S205" s="2105" t="str">
        <f t="shared" si="12"/>
        <v>Atadura ElementalA Un Elemento</v>
      </c>
      <c r="T205" s="237"/>
      <c r="U205" s="6100"/>
      <c r="V205" s="86" t="s">
        <v>2164</v>
      </c>
      <c r="W205" s="86" t="str">
        <f t="shared" si="11"/>
        <v>'Tablas Técnicas'!$P$222:$P$222</v>
      </c>
      <c r="X205" s="2103" t="s">
        <v>3213</v>
      </c>
      <c r="Z205" s="237"/>
    </row>
    <row r="206" spans="1:26" ht="12" customHeight="1" x14ac:dyDescent="0.2">
      <c r="A206" s="6077"/>
      <c r="B206" s="6097"/>
      <c r="C206" s="44" t="s">
        <v>9081</v>
      </c>
      <c r="D206" s="86" t="s">
        <v>3168</v>
      </c>
      <c r="E206" s="1209">
        <v>6</v>
      </c>
      <c r="F206" s="1210">
        <v>6</v>
      </c>
      <c r="G206" s="1209">
        <v>20</v>
      </c>
      <c r="H206" s="1209">
        <v>2</v>
      </c>
      <c r="I206" s="1209">
        <v>4</v>
      </c>
      <c r="J206" s="1209">
        <v>7</v>
      </c>
      <c r="K206" s="1209"/>
      <c r="L206" s="2105" t="str">
        <f t="shared" si="13"/>
        <v>Ataque AdicionalBono de Cansancio Añadido</v>
      </c>
      <c r="M206" s="237"/>
      <c r="N206" s="6103"/>
      <c r="O206" s="86" t="s">
        <v>9009</v>
      </c>
      <c r="P206" s="86" t="s">
        <v>9010</v>
      </c>
      <c r="Q206" s="80">
        <v>-10</v>
      </c>
      <c r="R206" s="80">
        <v>1</v>
      </c>
      <c r="S206" s="2105" t="str">
        <f t="shared" si="12"/>
        <v>Atadura ElementalA Dos Elementos</v>
      </c>
      <c r="T206" s="237"/>
      <c r="U206" s="6100"/>
      <c r="V206" s="86" t="s">
        <v>7720</v>
      </c>
      <c r="W206" s="86" t="str">
        <f t="shared" si="11"/>
        <v>'Tablas Técnicas'!$P$224:$P$231</v>
      </c>
      <c r="X206" s="2103" t="s">
        <v>3213</v>
      </c>
      <c r="Z206" s="237"/>
    </row>
    <row r="207" spans="1:26" ht="12" customHeight="1" x14ac:dyDescent="0.2">
      <c r="A207" s="6077"/>
      <c r="B207" s="6097"/>
      <c r="C207" s="44" t="s">
        <v>9081</v>
      </c>
      <c r="D207" s="86" t="s">
        <v>9544</v>
      </c>
      <c r="E207" s="1209">
        <v>-3</v>
      </c>
      <c r="F207" s="1210">
        <v>-3</v>
      </c>
      <c r="G207" s="1209">
        <v>-10</v>
      </c>
      <c r="H207" s="1209"/>
      <c r="I207" s="1209"/>
      <c r="J207" s="1209"/>
      <c r="K207" s="1209"/>
      <c r="L207" s="2105" t="str">
        <f t="shared" si="13"/>
        <v>Ataque AdicionalCombo: Hasta 2</v>
      </c>
      <c r="M207" s="237"/>
      <c r="N207" s="6103"/>
      <c r="O207" s="86" t="s">
        <v>9207</v>
      </c>
      <c r="P207" s="86"/>
      <c r="Q207" s="80"/>
      <c r="R207" s="80"/>
      <c r="S207" s="2105" t="str">
        <f t="shared" si="12"/>
        <v>&gt; ATAQUE ESPECIALIZADO</v>
      </c>
      <c r="T207" s="237"/>
      <c r="U207" s="6100"/>
      <c r="V207" s="86" t="s">
        <v>9011</v>
      </c>
      <c r="W207" s="86" t="str">
        <f t="shared" si="11"/>
        <v>'Tablas Técnicas'!$P$233:$P$234</v>
      </c>
      <c r="X207" s="2103" t="s">
        <v>1235</v>
      </c>
      <c r="Z207" s="237"/>
    </row>
    <row r="208" spans="1:26" ht="12" customHeight="1" x14ac:dyDescent="0.2">
      <c r="A208" s="6077"/>
      <c r="B208" s="6097"/>
      <c r="C208" s="44" t="s">
        <v>9081</v>
      </c>
      <c r="D208" s="86" t="s">
        <v>9545</v>
      </c>
      <c r="E208" s="1209">
        <v>-6</v>
      </c>
      <c r="F208" s="1210">
        <v>-6</v>
      </c>
      <c r="G208" s="1209">
        <v>-20</v>
      </c>
      <c r="H208" s="1209"/>
      <c r="I208" s="1209"/>
      <c r="J208" s="1209"/>
      <c r="K208" s="1209"/>
      <c r="L208" s="2105" t="str">
        <f t="shared" si="13"/>
        <v xml:space="preserve">Ataque AdicionalCombo: 3+ </v>
      </c>
      <c r="M208" s="237"/>
      <c r="N208" s="6103"/>
      <c r="O208" s="86" t="s">
        <v>9178</v>
      </c>
      <c r="P208" s="86" t="s">
        <v>9209</v>
      </c>
      <c r="Q208" s="80">
        <v>-10</v>
      </c>
      <c r="R208" s="80">
        <v>1</v>
      </c>
      <c r="S208" s="2105" t="str">
        <f t="shared" si="12"/>
        <v>Ataque EspecializadoParada</v>
      </c>
      <c r="T208" s="237"/>
      <c r="U208" s="6100"/>
      <c r="V208" s="86" t="s">
        <v>9184</v>
      </c>
      <c r="W208" s="86" t="str">
        <f t="shared" si="11"/>
        <v>'Tablas Técnicas'!$P$236:$P$240</v>
      </c>
      <c r="X208" s="2103" t="s">
        <v>1569</v>
      </c>
      <c r="Z208" s="237"/>
    </row>
    <row r="209" spans="1:26" ht="12" customHeight="1" x14ac:dyDescent="0.2">
      <c r="A209" s="6077"/>
      <c r="B209" s="6097"/>
      <c r="C209" s="44" t="s">
        <v>9295</v>
      </c>
      <c r="D209" s="86"/>
      <c r="E209" s="1209"/>
      <c r="F209" s="1210"/>
      <c r="G209" s="1209"/>
      <c r="H209" s="1209"/>
      <c r="I209" s="1209"/>
      <c r="J209" s="1209"/>
      <c r="K209" s="1209"/>
      <c r="L209" s="2105" t="str">
        <f t="shared" si="13"/>
        <v>&gt; ATAQUE ADICIONAL LIMITADO</v>
      </c>
      <c r="M209" s="237"/>
      <c r="N209" s="6103"/>
      <c r="O209" s="86" t="s">
        <v>9178</v>
      </c>
      <c r="P209" s="86" t="s">
        <v>9210</v>
      </c>
      <c r="Q209" s="80">
        <v>-10</v>
      </c>
      <c r="R209" s="80">
        <v>1</v>
      </c>
      <c r="S209" s="2105" t="str">
        <f t="shared" si="12"/>
        <v>Ataque EspecializadoEsquiva</v>
      </c>
      <c r="T209" s="237"/>
      <c r="U209" s="6100"/>
      <c r="V209" s="86" t="s">
        <v>7301</v>
      </c>
      <c r="W209" s="86" t="str">
        <f t="shared" si="11"/>
        <v>'Tablas Técnicas'!$P$242:$P$244</v>
      </c>
      <c r="X209" s="2103" t="s">
        <v>1235</v>
      </c>
      <c r="Z209" s="237"/>
    </row>
    <row r="210" spans="1:26" ht="12" customHeight="1" x14ac:dyDescent="0.2">
      <c r="A210" s="6077"/>
      <c r="B210" s="6097"/>
      <c r="C210" s="44" t="s">
        <v>9084</v>
      </c>
      <c r="D210" s="86" t="s">
        <v>2904</v>
      </c>
      <c r="E210" s="1209">
        <v>3</v>
      </c>
      <c r="F210" s="1210">
        <v>5</v>
      </c>
      <c r="G210" s="1209">
        <v>5</v>
      </c>
      <c r="H210" s="1209">
        <v>1</v>
      </c>
      <c r="I210" s="1209">
        <v>2</v>
      </c>
      <c r="J210" s="1209">
        <v>4</v>
      </c>
      <c r="K210" s="1209">
        <v>1</v>
      </c>
      <c r="L210" s="2105" t="str">
        <f t="shared" si="13"/>
        <v>Ataque Adicional Limitado+1</v>
      </c>
      <c r="M210" s="237"/>
      <c r="N210" s="6103"/>
      <c r="O210" s="86" t="s">
        <v>9178</v>
      </c>
      <c r="P210" s="86" t="s">
        <v>1690</v>
      </c>
      <c r="Q210" s="80">
        <v>-10</v>
      </c>
      <c r="R210" s="80">
        <v>1</v>
      </c>
      <c r="S210" s="2105" t="str">
        <f t="shared" si="12"/>
        <v>Ataque EspecializadoAcumulación</v>
      </c>
      <c r="T210" s="237"/>
      <c r="U210" s="6100"/>
      <c r="V210" s="86" t="s">
        <v>9186</v>
      </c>
      <c r="W210" s="86" t="str">
        <f t="shared" si="11"/>
        <v>'Tablas Técnicas'!$P$246:$P$246</v>
      </c>
      <c r="X210" s="2103" t="s">
        <v>3213</v>
      </c>
      <c r="Z210" s="237"/>
    </row>
    <row r="211" spans="1:26" ht="12" customHeight="1" x14ac:dyDescent="0.2">
      <c r="A211" s="6077"/>
      <c r="B211" s="6097"/>
      <c r="C211" s="44" t="s">
        <v>9084</v>
      </c>
      <c r="D211" s="86" t="s">
        <v>2865</v>
      </c>
      <c r="E211" s="1209">
        <v>6</v>
      </c>
      <c r="F211" s="1210">
        <v>9</v>
      </c>
      <c r="G211" s="1209">
        <v>10</v>
      </c>
      <c r="H211" s="1209">
        <v>2</v>
      </c>
      <c r="I211" s="1209">
        <v>4</v>
      </c>
      <c r="J211" s="1209">
        <v>7</v>
      </c>
      <c r="K211" s="1209">
        <v>1</v>
      </c>
      <c r="L211" s="2105" t="str">
        <f t="shared" si="13"/>
        <v>Ataque Adicional Limitado+2</v>
      </c>
      <c r="M211" s="237"/>
      <c r="N211" s="6103"/>
      <c r="O211" s="86" t="s">
        <v>9211</v>
      </c>
      <c r="P211" s="86"/>
      <c r="Q211" s="80"/>
      <c r="R211" s="80"/>
      <c r="S211" s="2105" t="str">
        <f t="shared" si="12"/>
        <v>&gt; ATADA A UN ARMA</v>
      </c>
      <c r="T211" s="237"/>
      <c r="U211" s="6100"/>
      <c r="V211" s="86" t="s">
        <v>9188</v>
      </c>
      <c r="W211" s="86" t="str">
        <f t="shared" si="11"/>
        <v>'Tablas Técnicas'!$P$248:$P$248</v>
      </c>
      <c r="X211" s="2103" t="s">
        <v>3213</v>
      </c>
      <c r="Z211" s="237"/>
    </row>
    <row r="212" spans="1:26" ht="12" customHeight="1" x14ac:dyDescent="0.2">
      <c r="A212" s="6077"/>
      <c r="B212" s="6097"/>
      <c r="C212" s="44" t="s">
        <v>9084</v>
      </c>
      <c r="D212" s="86" t="s">
        <v>2866</v>
      </c>
      <c r="E212" s="1209">
        <v>9</v>
      </c>
      <c r="F212" s="1210">
        <v>12</v>
      </c>
      <c r="G212" s="1209">
        <v>15</v>
      </c>
      <c r="H212" s="1209">
        <v>3</v>
      </c>
      <c r="I212" s="1209">
        <v>6</v>
      </c>
      <c r="J212" s="1209">
        <v>11</v>
      </c>
      <c r="K212" s="1209">
        <v>1</v>
      </c>
      <c r="L212" s="2105" t="str">
        <f t="shared" si="13"/>
        <v>Ataque Adicional Limitado+3</v>
      </c>
      <c r="M212" s="237"/>
      <c r="N212" s="6103"/>
      <c r="O212" s="86" t="s">
        <v>9180</v>
      </c>
      <c r="P212" s="86" t="s">
        <v>9212</v>
      </c>
      <c r="Q212" s="80">
        <v>-5</v>
      </c>
      <c r="R212" s="80">
        <v>1</v>
      </c>
      <c r="S212" s="2105" t="str">
        <f t="shared" si="12"/>
        <v>Atada A Un ArmaGenérica</v>
      </c>
      <c r="T212" s="237"/>
      <c r="U212" s="6100"/>
      <c r="V212" s="86" t="s">
        <v>9189</v>
      </c>
      <c r="W212" s="86" t="str">
        <f t="shared" si="11"/>
        <v>'Tablas Técnicas'!$P$250:$P$254</v>
      </c>
      <c r="X212" s="2103" t="s">
        <v>3213</v>
      </c>
      <c r="Z212" s="237"/>
    </row>
    <row r="213" spans="1:26" ht="12" customHeight="1" x14ac:dyDescent="0.2">
      <c r="A213" s="6077"/>
      <c r="B213" s="6097"/>
      <c r="C213" s="44" t="s">
        <v>9084</v>
      </c>
      <c r="D213" s="86" t="s">
        <v>3171</v>
      </c>
      <c r="E213" s="1209">
        <v>12</v>
      </c>
      <c r="F213" s="1210">
        <v>15</v>
      </c>
      <c r="G213" s="1209">
        <v>20</v>
      </c>
      <c r="H213" s="1209">
        <v>4</v>
      </c>
      <c r="I213" s="1209">
        <v>8</v>
      </c>
      <c r="J213" s="1209">
        <v>14</v>
      </c>
      <c r="K213" s="1209">
        <v>1</v>
      </c>
      <c r="L213" s="2105" t="str">
        <f t="shared" si="13"/>
        <v>Ataque Adicional Limitado+4</v>
      </c>
      <c r="M213" s="237"/>
      <c r="N213" s="6103"/>
      <c r="O213" s="86" t="s">
        <v>9180</v>
      </c>
      <c r="P213" s="86" t="s">
        <v>9213</v>
      </c>
      <c r="Q213" s="80">
        <v>-10</v>
      </c>
      <c r="R213" s="80">
        <v>1</v>
      </c>
      <c r="S213" s="2105" t="str">
        <f t="shared" si="12"/>
        <v>Atada A Un ArmaÚnica</v>
      </c>
      <c r="T213" s="237"/>
      <c r="U213" s="6100"/>
      <c r="V213" s="86" t="s">
        <v>3214</v>
      </c>
      <c r="W213" s="86" t="str">
        <f t="shared" si="11"/>
        <v>'Tablas Técnicas'!$P$256:$P$256</v>
      </c>
      <c r="X213" s="2103" t="s">
        <v>3213</v>
      </c>
      <c r="Z213" s="237"/>
    </row>
    <row r="214" spans="1:26" ht="12" customHeight="1" x14ac:dyDescent="0.2">
      <c r="A214" s="6077"/>
      <c r="B214" s="6097"/>
      <c r="C214" s="44" t="s">
        <v>9084</v>
      </c>
      <c r="D214" s="86" t="s">
        <v>7065</v>
      </c>
      <c r="E214" s="1209">
        <v>15</v>
      </c>
      <c r="F214" s="1210">
        <v>19</v>
      </c>
      <c r="G214" s="1209">
        <v>30</v>
      </c>
      <c r="H214" s="1209">
        <v>6</v>
      </c>
      <c r="I214" s="1209">
        <v>12</v>
      </c>
      <c r="J214" s="1209">
        <v>21</v>
      </c>
      <c r="K214" s="1209">
        <v>1</v>
      </c>
      <c r="L214" s="2105" t="str">
        <f t="shared" si="13"/>
        <v>Ataque Adicional Limitado+5</v>
      </c>
      <c r="M214" s="237"/>
      <c r="N214" s="6103"/>
      <c r="O214" s="86" t="s">
        <v>9214</v>
      </c>
      <c r="P214" s="86"/>
      <c r="Q214" s="80"/>
      <c r="R214" s="80"/>
      <c r="S214" s="2105" t="str">
        <f t="shared" si="12"/>
        <v>&gt; CIRCUNSTANCIA LÍMITE</v>
      </c>
      <c r="T214" s="237"/>
      <c r="U214" s="6100"/>
      <c r="V214" s="86" t="s">
        <v>9190</v>
      </c>
      <c r="W214" s="86" t="str">
        <f t="shared" si="11"/>
        <v>'Tablas Técnicas'!$P$258:$P$260</v>
      </c>
      <c r="X214" s="2103" t="s">
        <v>3213</v>
      </c>
      <c r="Z214" s="237"/>
    </row>
    <row r="215" spans="1:26" ht="12" customHeight="1" x14ac:dyDescent="0.2">
      <c r="A215" s="6077"/>
      <c r="B215" s="6097"/>
      <c r="C215" s="44" t="s">
        <v>9084</v>
      </c>
      <c r="D215" s="86" t="s">
        <v>9296</v>
      </c>
      <c r="E215" s="1209">
        <v>18</v>
      </c>
      <c r="F215" s="1210">
        <v>22</v>
      </c>
      <c r="G215" s="1209">
        <v>40</v>
      </c>
      <c r="H215" s="1209">
        <v>8</v>
      </c>
      <c r="I215" s="1209">
        <v>16</v>
      </c>
      <c r="J215" s="1209">
        <v>28</v>
      </c>
      <c r="K215" s="1209">
        <v>2</v>
      </c>
      <c r="L215" s="2105" t="str">
        <f t="shared" si="13"/>
        <v>Ataque Adicional Limitado+6</v>
      </c>
      <c r="M215" s="237"/>
      <c r="N215" s="6103"/>
      <c r="O215" s="86" t="s">
        <v>9182</v>
      </c>
      <c r="P215" s="86" t="s">
        <v>9216</v>
      </c>
      <c r="Q215" s="80">
        <v>-10</v>
      </c>
      <c r="R215" s="80">
        <v>1</v>
      </c>
      <c r="S215" s="2105" t="str">
        <f t="shared" si="12"/>
        <v>Circunstancia LímiteMitad de PV</v>
      </c>
      <c r="T215" s="237"/>
      <c r="U215" s="6100"/>
      <c r="V215" s="86" t="s">
        <v>9191</v>
      </c>
      <c r="W215" s="86" t="str">
        <f t="shared" si="11"/>
        <v>'Tablas Técnicas'!$P$262:$P$263</v>
      </c>
      <c r="X215" s="2103" t="s">
        <v>3213</v>
      </c>
      <c r="Z215" s="237"/>
    </row>
    <row r="216" spans="1:26" ht="12" customHeight="1" x14ac:dyDescent="0.2">
      <c r="A216" s="6077"/>
      <c r="B216" s="6097"/>
      <c r="C216" s="44" t="s">
        <v>9084</v>
      </c>
      <c r="D216" s="86" t="s">
        <v>7080</v>
      </c>
      <c r="E216" s="1209">
        <v>22</v>
      </c>
      <c r="F216" s="1210">
        <v>26</v>
      </c>
      <c r="G216" s="1209">
        <v>50</v>
      </c>
      <c r="H216" s="1209">
        <v>10</v>
      </c>
      <c r="I216" s="1209">
        <v>20</v>
      </c>
      <c r="J216" s="1209">
        <v>35</v>
      </c>
      <c r="K216" s="1209">
        <v>2</v>
      </c>
      <c r="L216" s="2105" t="str">
        <f t="shared" si="13"/>
        <v>Ataque Adicional Limitado+8</v>
      </c>
      <c r="M216" s="237"/>
      <c r="N216" s="6103"/>
      <c r="O216" s="86" t="s">
        <v>9182</v>
      </c>
      <c r="P216" s="86" t="s">
        <v>9218</v>
      </c>
      <c r="Q216" s="80">
        <v>-15</v>
      </c>
      <c r="R216" s="80">
        <v>1</v>
      </c>
      <c r="S216" s="2105" t="str">
        <f t="shared" si="12"/>
        <v>Circunstancia LímiteUna 1/4 de PV</v>
      </c>
      <c r="T216" s="237"/>
      <c r="U216" s="6100"/>
      <c r="V216" s="86" t="s">
        <v>9192</v>
      </c>
      <c r="W216" s="86" t="str">
        <f t="shared" si="11"/>
        <v>'Tablas Técnicas'!$P$265:$P$269</v>
      </c>
      <c r="X216" s="2103" t="s">
        <v>3213</v>
      </c>
      <c r="Z216" s="237"/>
    </row>
    <row r="217" spans="1:26" ht="12" customHeight="1" x14ac:dyDescent="0.2">
      <c r="A217" s="6077"/>
      <c r="B217" s="6097"/>
      <c r="C217" s="44" t="s">
        <v>9084</v>
      </c>
      <c r="D217" s="86" t="s">
        <v>7682</v>
      </c>
      <c r="E217" s="1209">
        <v>26</v>
      </c>
      <c r="F217" s="1210">
        <v>32</v>
      </c>
      <c r="G217" s="1209">
        <v>60</v>
      </c>
      <c r="H217" s="1209">
        <v>12</v>
      </c>
      <c r="I217" s="1209">
        <v>24</v>
      </c>
      <c r="J217" s="1209">
        <v>42</v>
      </c>
      <c r="K217" s="1209">
        <v>3</v>
      </c>
      <c r="L217" s="2105" t="str">
        <f t="shared" si="13"/>
        <v>Ataque Adicional Limitado+10</v>
      </c>
      <c r="M217" s="237"/>
      <c r="N217" s="6103"/>
      <c r="O217" s="86" t="s">
        <v>9182</v>
      </c>
      <c r="P217" s="86" t="s">
        <v>9219</v>
      </c>
      <c r="Q217" s="80">
        <v>-25</v>
      </c>
      <c r="R217" s="80">
        <v>2</v>
      </c>
      <c r="S217" s="2105" t="str">
        <f t="shared" si="12"/>
        <v>Circunstancia LímitePV Negativos</v>
      </c>
      <c r="T217" s="237"/>
      <c r="U217" s="6100"/>
      <c r="V217" s="86" t="s">
        <v>9193</v>
      </c>
      <c r="W217" s="86" t="str">
        <f t="shared" si="11"/>
        <v>'Tablas Técnicas'!$P$271:$P$278</v>
      </c>
      <c r="X217" s="2103" t="s">
        <v>3213</v>
      </c>
      <c r="Z217" s="237"/>
    </row>
    <row r="218" spans="1:26" ht="12" customHeight="1" x14ac:dyDescent="0.2">
      <c r="A218" s="6077"/>
      <c r="B218" s="6097"/>
      <c r="C218" s="44" t="s">
        <v>9084</v>
      </c>
      <c r="D218" s="86" t="s">
        <v>3167</v>
      </c>
      <c r="E218" s="1209">
        <v>10</v>
      </c>
      <c r="F218" s="1210">
        <v>10</v>
      </c>
      <c r="G218" s="1209">
        <v>30</v>
      </c>
      <c r="H218" s="1209">
        <v>5</v>
      </c>
      <c r="I218" s="1209">
        <v>10</v>
      </c>
      <c r="J218" s="1209">
        <v>18</v>
      </c>
      <c r="K218" s="1209"/>
      <c r="L218" s="2105" t="str">
        <f t="shared" si="13"/>
        <v>Ataque Adicional LimitadoAtaque Contínuo</v>
      </c>
      <c r="M218" s="237"/>
      <c r="N218" s="6103"/>
      <c r="O218" s="86" t="s">
        <v>9182</v>
      </c>
      <c r="P218" s="86" t="s">
        <v>9220</v>
      </c>
      <c r="Q218" s="80">
        <v>-10</v>
      </c>
      <c r="R218" s="80">
        <v>1</v>
      </c>
      <c r="S218" s="2105" t="str">
        <f t="shared" si="12"/>
        <v>Circunstancia LímiteRecibir Daño</v>
      </c>
      <c r="T218" s="237"/>
      <c r="U218" s="6100"/>
      <c r="V218" s="86" t="s">
        <v>3215</v>
      </c>
      <c r="W218" s="86" t="str">
        <f t="shared" si="11"/>
        <v>'Tablas Técnicas'!$P$280:$P$280</v>
      </c>
      <c r="X218" s="2103" t="s">
        <v>1235</v>
      </c>
      <c r="Z218" s="237"/>
    </row>
    <row r="219" spans="1:26" ht="12" customHeight="1" x14ac:dyDescent="0.2">
      <c r="A219" s="6077"/>
      <c r="B219" s="6097"/>
      <c r="C219" s="44" t="s">
        <v>9297</v>
      </c>
      <c r="D219" s="86"/>
      <c r="E219" s="1209"/>
      <c r="F219" s="1210"/>
      <c r="G219" s="1209"/>
      <c r="H219" s="1209"/>
      <c r="I219" s="1209"/>
      <c r="J219" s="1209"/>
      <c r="K219" s="1209"/>
      <c r="L219" s="2105" t="str">
        <f t="shared" si="13"/>
        <v>&gt; DEFENSAS ADICIONALES</v>
      </c>
      <c r="M219" s="237"/>
      <c r="N219" s="6103"/>
      <c r="O219" s="86" t="s">
        <v>9221</v>
      </c>
      <c r="P219" s="86"/>
      <c r="Q219" s="80"/>
      <c r="R219" s="80"/>
      <c r="S219" s="2105" t="str">
        <f t="shared" si="12"/>
        <v>&gt; CIRCUNSTANCIA DE COMBATE</v>
      </c>
      <c r="T219" s="237"/>
      <c r="U219" s="6100"/>
      <c r="V219" s="86" t="s">
        <v>3216</v>
      </c>
      <c r="W219" s="86" t="str">
        <f t="shared" si="11"/>
        <v>'Tablas Técnicas'!$P$282:$P$283</v>
      </c>
      <c r="X219" s="2103" t="s">
        <v>3213</v>
      </c>
      <c r="Z219" s="237"/>
    </row>
    <row r="220" spans="1:26" ht="12" customHeight="1" x14ac:dyDescent="0.2">
      <c r="A220" s="6077"/>
      <c r="B220" s="6097"/>
      <c r="C220" s="44" t="s">
        <v>9086</v>
      </c>
      <c r="D220" s="86" t="s">
        <v>2904</v>
      </c>
      <c r="E220" s="1209">
        <v>1</v>
      </c>
      <c r="F220" s="1210">
        <v>2</v>
      </c>
      <c r="G220" s="1209">
        <v>5</v>
      </c>
      <c r="H220" s="1209">
        <v>1</v>
      </c>
      <c r="I220" s="1209">
        <v>2</v>
      </c>
      <c r="J220" s="1209">
        <v>4</v>
      </c>
      <c r="K220" s="1209">
        <v>1</v>
      </c>
      <c r="L220" s="2105" t="str">
        <f t="shared" si="13"/>
        <v>Defensas Adicionales+1</v>
      </c>
      <c r="M220" s="237"/>
      <c r="N220" s="6103"/>
      <c r="O220" s="86" t="s">
        <v>9183</v>
      </c>
      <c r="P220" s="86"/>
      <c r="Q220" s="80">
        <v>-5</v>
      </c>
      <c r="R220" s="80">
        <v>1</v>
      </c>
      <c r="S220" s="2105" t="str">
        <f t="shared" si="12"/>
        <v>Circunstancia De Combate</v>
      </c>
      <c r="T220" s="237"/>
      <c r="U220" s="6100"/>
      <c r="V220" s="86" t="s">
        <v>9194</v>
      </c>
      <c r="W220" s="86" t="str">
        <f t="shared" si="11"/>
        <v>'Tablas Técnicas'!$P$285:$P$287</v>
      </c>
      <c r="X220" s="2103" t="s">
        <v>3213</v>
      </c>
      <c r="Z220" s="237"/>
    </row>
    <row r="221" spans="1:26" ht="12" customHeight="1" x14ac:dyDescent="0.2">
      <c r="A221" s="6077"/>
      <c r="B221" s="6097"/>
      <c r="C221" s="44" t="s">
        <v>9086</v>
      </c>
      <c r="D221" s="86" t="s">
        <v>2865</v>
      </c>
      <c r="E221" s="1209">
        <v>2</v>
      </c>
      <c r="F221" s="1210">
        <v>4</v>
      </c>
      <c r="G221" s="1209">
        <v>5</v>
      </c>
      <c r="H221" s="1209">
        <v>2</v>
      </c>
      <c r="I221" s="1209">
        <v>4</v>
      </c>
      <c r="J221" s="1209">
        <v>7</v>
      </c>
      <c r="K221" s="1209">
        <v>1</v>
      </c>
      <c r="L221" s="2105" t="str">
        <f t="shared" si="13"/>
        <v>Defensas Adicionales+2</v>
      </c>
      <c r="M221" s="237"/>
      <c r="N221" s="6103"/>
      <c r="O221" s="86" t="s">
        <v>9222</v>
      </c>
      <c r="P221" s="86"/>
      <c r="Q221" s="80"/>
      <c r="R221" s="80"/>
      <c r="S221" s="2105" t="str">
        <f t="shared" si="12"/>
        <v>&gt; COMPLEJA</v>
      </c>
      <c r="T221" s="237"/>
      <c r="U221" s="6100"/>
      <c r="V221" s="86" t="s">
        <v>9195</v>
      </c>
      <c r="W221" s="86" t="str">
        <f t="shared" si="11"/>
        <v>'Tablas Técnicas'!$P$289:$P$293</v>
      </c>
      <c r="X221" s="2103" t="s">
        <v>3213</v>
      </c>
      <c r="Z221" s="237"/>
    </row>
    <row r="222" spans="1:26" ht="12" customHeight="1" x14ac:dyDescent="0.2">
      <c r="A222" s="6077"/>
      <c r="B222" s="6097"/>
      <c r="C222" s="44" t="s">
        <v>9086</v>
      </c>
      <c r="D222" s="86" t="s">
        <v>2866</v>
      </c>
      <c r="E222" s="1209">
        <v>3</v>
      </c>
      <c r="F222" s="1210">
        <v>5</v>
      </c>
      <c r="G222" s="1209">
        <v>10</v>
      </c>
      <c r="H222" s="1209">
        <v>3</v>
      </c>
      <c r="I222" s="1209">
        <v>6</v>
      </c>
      <c r="J222" s="1209">
        <v>11</v>
      </c>
      <c r="K222" s="1209">
        <v>1</v>
      </c>
      <c r="L222" s="2105" t="str">
        <f t="shared" si="13"/>
        <v>Defensas Adicionales+3</v>
      </c>
      <c r="M222" s="237"/>
      <c r="N222" s="6103"/>
      <c r="O222" s="86" t="s">
        <v>2164</v>
      </c>
      <c r="P222" s="86"/>
      <c r="Q222" s="80">
        <v>-5</v>
      </c>
      <c r="R222" s="80">
        <v>2</v>
      </c>
      <c r="S222" s="2105" t="str">
        <f t="shared" si="12"/>
        <v>Compleja</v>
      </c>
      <c r="T222" s="237"/>
      <c r="U222" s="6100"/>
      <c r="V222" s="86" t="s">
        <v>8997</v>
      </c>
      <c r="W222" s="86"/>
      <c r="X222" s="2103"/>
      <c r="Z222" s="237"/>
    </row>
    <row r="223" spans="1:26" ht="12" customHeight="1" x14ac:dyDescent="0.2">
      <c r="A223" s="6077"/>
      <c r="B223" s="6097"/>
      <c r="C223" s="44" t="s">
        <v>9086</v>
      </c>
      <c r="D223" s="86" t="s">
        <v>3171</v>
      </c>
      <c r="E223" s="1209">
        <v>4</v>
      </c>
      <c r="F223" s="1210">
        <v>6</v>
      </c>
      <c r="G223" s="1209">
        <v>15</v>
      </c>
      <c r="H223" s="1209">
        <v>4</v>
      </c>
      <c r="I223" s="1209">
        <v>8</v>
      </c>
      <c r="J223" s="1209">
        <v>14</v>
      </c>
      <c r="K223" s="1209">
        <v>1</v>
      </c>
      <c r="L223" s="2105" t="str">
        <f t="shared" si="13"/>
        <v>Defensas Adicionales+4</v>
      </c>
      <c r="M223" s="237"/>
      <c r="N223" s="6103"/>
      <c r="O223" s="86" t="s">
        <v>9223</v>
      </c>
      <c r="P223" s="86"/>
      <c r="Q223" s="80"/>
      <c r="R223" s="80"/>
      <c r="S223" s="2105" t="str">
        <f t="shared" si="12"/>
        <v>&gt; CONDICIONES</v>
      </c>
      <c r="T223" s="237"/>
      <c r="U223" s="6100"/>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77"/>
      <c r="B224" s="6097"/>
      <c r="C224" s="44" t="s">
        <v>9086</v>
      </c>
      <c r="D224" s="86" t="s">
        <v>9296</v>
      </c>
      <c r="E224" s="1209">
        <v>5</v>
      </c>
      <c r="F224" s="1210">
        <v>8</v>
      </c>
      <c r="G224" s="1209">
        <v>20</v>
      </c>
      <c r="H224" s="1209">
        <v>6</v>
      </c>
      <c r="I224" s="1209">
        <v>12</v>
      </c>
      <c r="J224" s="1209">
        <v>21</v>
      </c>
      <c r="K224" s="1209">
        <v>1</v>
      </c>
      <c r="L224" s="2105" t="str">
        <f t="shared" si="13"/>
        <v>Defensas Adicionales+6</v>
      </c>
      <c r="M224" s="237"/>
      <c r="N224" s="6103"/>
      <c r="O224" s="86" t="s">
        <v>7720</v>
      </c>
      <c r="P224" s="86" t="s">
        <v>9224</v>
      </c>
      <c r="Q224" s="80">
        <v>-5</v>
      </c>
      <c r="R224" s="80">
        <v>1</v>
      </c>
      <c r="S224" s="2105" t="str">
        <f t="shared" si="12"/>
        <v>CondiciónDesenvainar</v>
      </c>
      <c r="T224" s="237"/>
      <c r="U224" s="6100"/>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77"/>
      <c r="B225" s="6097"/>
      <c r="C225" s="44" t="s">
        <v>9086</v>
      </c>
      <c r="D225" s="86" t="s">
        <v>7080</v>
      </c>
      <c r="E225" s="1209">
        <v>6</v>
      </c>
      <c r="F225" s="1210">
        <v>9</v>
      </c>
      <c r="G225" s="1209">
        <v>25</v>
      </c>
      <c r="H225" s="1209">
        <v>8</v>
      </c>
      <c r="I225" s="1209">
        <v>16</v>
      </c>
      <c r="J225" s="1209">
        <v>28</v>
      </c>
      <c r="K225" s="1209">
        <v>1</v>
      </c>
      <c r="L225" s="2105" t="str">
        <f t="shared" si="13"/>
        <v>Defensas Adicionales+8</v>
      </c>
      <c r="M225" s="237"/>
      <c r="N225" s="6103"/>
      <c r="O225" s="86" t="s">
        <v>7720</v>
      </c>
      <c r="P225" s="86" t="s">
        <v>9225</v>
      </c>
      <c r="Q225" s="80">
        <v>-5</v>
      </c>
      <c r="R225" s="80">
        <v>1</v>
      </c>
      <c r="S225" s="2105" t="str">
        <f t="shared" si="12"/>
        <v>CondiciónEn Vuelo</v>
      </c>
      <c r="T225" s="237"/>
      <c r="U225" s="6101"/>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77"/>
      <c r="B226" s="6097"/>
      <c r="C226" s="44" t="s">
        <v>9086</v>
      </c>
      <c r="D226" s="86" t="s">
        <v>7682</v>
      </c>
      <c r="E226" s="1209">
        <v>7</v>
      </c>
      <c r="F226" s="1210">
        <v>10</v>
      </c>
      <c r="G226" s="1209">
        <v>30</v>
      </c>
      <c r="H226" s="1209">
        <v>10</v>
      </c>
      <c r="I226" s="1209">
        <v>20</v>
      </c>
      <c r="J226" s="1209">
        <v>35</v>
      </c>
      <c r="K226" s="1209">
        <v>2</v>
      </c>
      <c r="L226" s="2105" t="str">
        <f t="shared" si="13"/>
        <v>Defensas Adicionales+10</v>
      </c>
      <c r="M226" s="237"/>
      <c r="N226" s="6103"/>
      <c r="O226" s="86" t="s">
        <v>7720</v>
      </c>
      <c r="P226" s="86" t="s">
        <v>9226</v>
      </c>
      <c r="Q226" s="80">
        <v>-5</v>
      </c>
      <c r="R226" s="80">
        <v>1</v>
      </c>
      <c r="S226" s="2105" t="str">
        <f t="shared" si="12"/>
        <v>CondiciónEn Carga</v>
      </c>
      <c r="T226" s="237"/>
      <c r="U226" s="237"/>
      <c r="Z226" s="237"/>
    </row>
    <row r="227" spans="1:26" ht="12" customHeight="1" x14ac:dyDescent="0.2">
      <c r="A227" s="6077"/>
      <c r="B227" s="6097"/>
      <c r="C227" s="44" t="s">
        <v>9086</v>
      </c>
      <c r="D227" s="86" t="s">
        <v>9298</v>
      </c>
      <c r="E227" s="1209">
        <v>8</v>
      </c>
      <c r="F227" s="1210">
        <v>11</v>
      </c>
      <c r="G227" s="1209">
        <v>35</v>
      </c>
      <c r="H227" s="1209">
        <v>12</v>
      </c>
      <c r="I227" s="1209">
        <v>24</v>
      </c>
      <c r="J227" s="1209">
        <v>42</v>
      </c>
      <c r="K227" s="1209">
        <v>3</v>
      </c>
      <c r="L227" s="2105" t="str">
        <f t="shared" si="13"/>
        <v>Defensas AdicionalesIlimitadas</v>
      </c>
      <c r="M227" s="237"/>
      <c r="N227" s="6103"/>
      <c r="O227" s="86" t="s">
        <v>7720</v>
      </c>
      <c r="P227" s="86" t="s">
        <v>9228</v>
      </c>
      <c r="Q227" s="80">
        <v>-5</v>
      </c>
      <c r="R227" s="80">
        <v>1</v>
      </c>
      <c r="S227" s="2105" t="str">
        <f t="shared" si="12"/>
        <v>CondiciónMontado</v>
      </c>
      <c r="T227" s="237"/>
      <c r="U227" s="237"/>
      <c r="Z227" s="237"/>
    </row>
    <row r="228" spans="1:26" ht="12" customHeight="1" x14ac:dyDescent="0.2">
      <c r="A228" s="6077"/>
      <c r="B228" s="6097"/>
      <c r="C228" s="44" t="s">
        <v>9086</v>
      </c>
      <c r="D228" s="86" t="s">
        <v>3168</v>
      </c>
      <c r="E228" s="1209">
        <v>6</v>
      </c>
      <c r="F228" s="1210">
        <v>6</v>
      </c>
      <c r="G228" s="1209">
        <v>20</v>
      </c>
      <c r="H228" s="1209">
        <v>2</v>
      </c>
      <c r="I228" s="1209">
        <v>4</v>
      </c>
      <c r="J228" s="1209">
        <v>7</v>
      </c>
      <c r="K228" s="1209"/>
      <c r="L228" s="2105" t="str">
        <f t="shared" si="13"/>
        <v>Defensas AdicionalesBono de Cansancio Añadido</v>
      </c>
      <c r="M228" s="237"/>
      <c r="N228" s="6103"/>
      <c r="O228" s="86" t="s">
        <v>7720</v>
      </c>
      <c r="P228" s="86" t="s">
        <v>9229</v>
      </c>
      <c r="Q228" s="80">
        <v>-10</v>
      </c>
      <c r="R228" s="80">
        <v>1</v>
      </c>
      <c r="S228" s="2105" t="str">
        <f t="shared" si="12"/>
        <v>CondiciónDiurno</v>
      </c>
      <c r="T228" s="237"/>
      <c r="U228" s="237"/>
      <c r="Z228" s="237"/>
    </row>
    <row r="229" spans="1:26" ht="12" customHeight="1" x14ac:dyDescent="0.2">
      <c r="A229" s="6077"/>
      <c r="B229" s="6097"/>
      <c r="C229" s="44" t="s">
        <v>9299</v>
      </c>
      <c r="D229" s="86"/>
      <c r="E229" s="1209"/>
      <c r="F229" s="1210"/>
      <c r="G229" s="1209"/>
      <c r="H229" s="1209"/>
      <c r="I229" s="1209"/>
      <c r="J229" s="1209"/>
      <c r="K229" s="1209"/>
      <c r="L229" s="2105" t="str">
        <f t="shared" si="13"/>
        <v>&gt; ACCIONES ADICIONALES</v>
      </c>
      <c r="M229" s="237"/>
      <c r="N229" s="6103"/>
      <c r="O229" s="86" t="s">
        <v>7720</v>
      </c>
      <c r="P229" s="86" t="s">
        <v>9230</v>
      </c>
      <c r="Q229" s="80">
        <v>-10</v>
      </c>
      <c r="R229" s="80">
        <v>1</v>
      </c>
      <c r="S229" s="2105" t="str">
        <f t="shared" si="12"/>
        <v>CondiciónNocturno</v>
      </c>
      <c r="T229" s="237"/>
      <c r="U229" s="237"/>
      <c r="Z229" s="237"/>
    </row>
    <row r="230" spans="1:26" ht="12" customHeight="1" x14ac:dyDescent="0.2">
      <c r="A230" s="6077"/>
      <c r="B230" s="6097"/>
      <c r="C230" s="44" t="s">
        <v>9089</v>
      </c>
      <c r="D230" s="86" t="s">
        <v>2904</v>
      </c>
      <c r="E230" s="1209">
        <v>1</v>
      </c>
      <c r="F230" s="1210">
        <v>2</v>
      </c>
      <c r="G230" s="1209">
        <v>5</v>
      </c>
      <c r="H230" s="1209">
        <v>1</v>
      </c>
      <c r="I230" s="1209">
        <v>2</v>
      </c>
      <c r="J230" s="1209">
        <v>4</v>
      </c>
      <c r="K230" s="1209">
        <v>1</v>
      </c>
      <c r="L230" s="2105" t="str">
        <f t="shared" si="13"/>
        <v>Acciones Adicionales+1</v>
      </c>
      <c r="M230" s="237"/>
      <c r="N230" s="6103"/>
      <c r="O230" s="86" t="s">
        <v>7720</v>
      </c>
      <c r="P230" s="86" t="s">
        <v>9231</v>
      </c>
      <c r="Q230" s="80">
        <v>-10</v>
      </c>
      <c r="R230" s="80">
        <v>1</v>
      </c>
      <c r="S230" s="2105" t="str">
        <f t="shared" si="12"/>
        <v>CondiciónTerreno Determinado</v>
      </c>
      <c r="T230" s="237"/>
      <c r="U230" s="237"/>
      <c r="Z230" s="237"/>
    </row>
    <row r="231" spans="1:26" ht="12" customHeight="1" x14ac:dyDescent="0.2">
      <c r="A231" s="6077"/>
      <c r="B231" s="6097"/>
      <c r="C231" s="44" t="s">
        <v>9089</v>
      </c>
      <c r="D231" s="86" t="s">
        <v>2865</v>
      </c>
      <c r="E231" s="1209">
        <v>2</v>
      </c>
      <c r="F231" s="1210">
        <v>4</v>
      </c>
      <c r="G231" s="1209">
        <v>5</v>
      </c>
      <c r="H231" s="1209">
        <v>2</v>
      </c>
      <c r="I231" s="1209">
        <v>4</v>
      </c>
      <c r="J231" s="1209">
        <v>7</v>
      </c>
      <c r="K231" s="1209">
        <v>1</v>
      </c>
      <c r="L231" s="2105" t="str">
        <f t="shared" si="13"/>
        <v>Acciones Adicionales+2</v>
      </c>
      <c r="M231" s="237"/>
      <c r="N231" s="6103"/>
      <c r="O231" s="86" t="s">
        <v>7720</v>
      </c>
      <c r="P231" s="86" t="s">
        <v>9232</v>
      </c>
      <c r="Q231" s="80">
        <v>-20</v>
      </c>
      <c r="R231" s="80">
        <v>2</v>
      </c>
      <c r="S231" s="2105" t="str">
        <f t="shared" si="12"/>
        <v>CondiciónUn Momento Concreto</v>
      </c>
      <c r="T231" s="237"/>
      <c r="U231" s="237"/>
      <c r="Z231" s="237"/>
    </row>
    <row r="232" spans="1:26" ht="12" customHeight="1" x14ac:dyDescent="0.2">
      <c r="A232" s="6077"/>
      <c r="B232" s="6097"/>
      <c r="C232" s="44" t="s">
        <v>9089</v>
      </c>
      <c r="D232" s="86" t="s">
        <v>2866</v>
      </c>
      <c r="E232" s="1209">
        <v>3</v>
      </c>
      <c r="F232" s="1210">
        <v>5</v>
      </c>
      <c r="G232" s="1209">
        <v>10</v>
      </c>
      <c r="H232" s="1209">
        <v>3</v>
      </c>
      <c r="I232" s="1209">
        <v>6</v>
      </c>
      <c r="J232" s="1209">
        <v>11</v>
      </c>
      <c r="K232" s="1209">
        <v>1</v>
      </c>
      <c r="L232" s="2105" t="str">
        <f t="shared" si="13"/>
        <v>Acciones Adicionales+3</v>
      </c>
      <c r="M232" s="237"/>
      <c r="N232" s="6103"/>
      <c r="O232" s="86" t="s">
        <v>9233</v>
      </c>
      <c r="P232" s="86"/>
      <c r="Q232" s="80"/>
      <c r="R232" s="80"/>
      <c r="S232" s="2105" t="str">
        <f t="shared" si="12"/>
        <v>&gt; DAÑO REDUCIDO</v>
      </c>
      <c r="T232" s="237"/>
      <c r="U232" s="237"/>
      <c r="Z232" s="237"/>
    </row>
    <row r="233" spans="1:26" ht="12" customHeight="1" x14ac:dyDescent="0.2">
      <c r="A233" s="6077"/>
      <c r="B233" s="6097"/>
      <c r="C233" s="44" t="s">
        <v>9089</v>
      </c>
      <c r="D233" s="86" t="s">
        <v>3171</v>
      </c>
      <c r="E233" s="1209">
        <v>4</v>
      </c>
      <c r="F233" s="1210">
        <v>6</v>
      </c>
      <c r="G233" s="1209">
        <v>15</v>
      </c>
      <c r="H233" s="1209">
        <v>4</v>
      </c>
      <c r="I233" s="1209">
        <v>8</v>
      </c>
      <c r="J233" s="1209">
        <v>14</v>
      </c>
      <c r="K233" s="1209">
        <v>1</v>
      </c>
      <c r="L233" s="2105" t="str">
        <f t="shared" si="13"/>
        <v>Acciones Adicionales+4</v>
      </c>
      <c r="M233" s="237"/>
      <c r="N233" s="6103"/>
      <c r="O233" s="86" t="s">
        <v>9011</v>
      </c>
      <c r="P233" s="86" t="s">
        <v>9012</v>
      </c>
      <c r="Q233" s="80">
        <v>-20</v>
      </c>
      <c r="R233" s="80">
        <v>1</v>
      </c>
      <c r="S233" s="2105" t="str">
        <f t="shared" si="12"/>
        <v>Daño ReducidoNingún Daño</v>
      </c>
      <c r="T233" s="237"/>
      <c r="U233" s="237"/>
      <c r="Z233" s="237"/>
    </row>
    <row r="234" spans="1:26" ht="12" customHeight="1" x14ac:dyDescent="0.2">
      <c r="A234" s="6077"/>
      <c r="B234" s="6097"/>
      <c r="C234" s="44" t="s">
        <v>9089</v>
      </c>
      <c r="D234" s="86" t="s">
        <v>7065</v>
      </c>
      <c r="E234" s="1209">
        <v>5</v>
      </c>
      <c r="F234" s="1210">
        <v>8</v>
      </c>
      <c r="G234" s="1209">
        <v>20</v>
      </c>
      <c r="H234" s="1209">
        <v>6</v>
      </c>
      <c r="I234" s="1209">
        <v>12</v>
      </c>
      <c r="J234" s="1209">
        <v>21</v>
      </c>
      <c r="K234" s="1209">
        <v>1</v>
      </c>
      <c r="L234" s="2105" t="str">
        <f t="shared" si="13"/>
        <v>Acciones Adicionales+5</v>
      </c>
      <c r="M234" s="237"/>
      <c r="N234" s="6103"/>
      <c r="O234" s="86" t="s">
        <v>9011</v>
      </c>
      <c r="P234" s="86" t="s">
        <v>9234</v>
      </c>
      <c r="Q234" s="80">
        <v>-10</v>
      </c>
      <c r="R234" s="80">
        <v>1</v>
      </c>
      <c r="S234" s="2105" t="str">
        <f t="shared" si="12"/>
        <v>Daño ReducidoMitad de Daño</v>
      </c>
      <c r="T234" s="237"/>
      <c r="U234" s="237"/>
      <c r="Z234" s="237"/>
    </row>
    <row r="235" spans="1:26" ht="12" customHeight="1" x14ac:dyDescent="0.2">
      <c r="A235" s="6077"/>
      <c r="B235" s="6097"/>
      <c r="C235" s="44" t="s">
        <v>9089</v>
      </c>
      <c r="D235" s="86" t="s">
        <v>9296</v>
      </c>
      <c r="E235" s="1209">
        <v>6</v>
      </c>
      <c r="F235" s="1210">
        <v>9</v>
      </c>
      <c r="G235" s="1209">
        <v>25</v>
      </c>
      <c r="H235" s="1209">
        <v>8</v>
      </c>
      <c r="I235" s="1209">
        <v>16</v>
      </c>
      <c r="J235" s="1209">
        <v>28</v>
      </c>
      <c r="K235" s="1209">
        <v>1</v>
      </c>
      <c r="L235" s="2105" t="str">
        <f t="shared" si="13"/>
        <v>Acciones Adicionales+6</v>
      </c>
      <c r="M235" s="237"/>
      <c r="N235" s="6103"/>
      <c r="O235" s="86" t="s">
        <v>9235</v>
      </c>
      <c r="P235" s="86"/>
      <c r="Q235" s="80"/>
      <c r="R235" s="80"/>
      <c r="S235" s="2105" t="str">
        <f t="shared" si="12"/>
        <v>&gt; DEFENSA ESPECIALIZADA</v>
      </c>
      <c r="T235" s="237"/>
      <c r="U235" s="237"/>
      <c r="Z235" s="237"/>
    </row>
    <row r="236" spans="1:26" ht="12" customHeight="1" x14ac:dyDescent="0.2">
      <c r="A236" s="6077"/>
      <c r="B236" s="6097"/>
      <c r="C236" s="44" t="s">
        <v>9089</v>
      </c>
      <c r="D236" s="86" t="s">
        <v>7080</v>
      </c>
      <c r="E236" s="1209">
        <v>7</v>
      </c>
      <c r="F236" s="1210">
        <v>10</v>
      </c>
      <c r="G236" s="1209">
        <v>30</v>
      </c>
      <c r="H236" s="1209">
        <v>10</v>
      </c>
      <c r="I236" s="1209">
        <v>20</v>
      </c>
      <c r="J236" s="1209">
        <v>35</v>
      </c>
      <c r="K236" s="1209">
        <v>2</v>
      </c>
      <c r="L236" s="2105" t="str">
        <f t="shared" si="13"/>
        <v>Acciones Adicionales+8</v>
      </c>
      <c r="M236" s="237"/>
      <c r="N236" s="6103"/>
      <c r="O236" s="86" t="s">
        <v>9184</v>
      </c>
      <c r="P236" s="86" t="s">
        <v>9237</v>
      </c>
      <c r="Q236" s="80">
        <v>-5</v>
      </c>
      <c r="R236" s="80">
        <v>1</v>
      </c>
      <c r="S236" s="2105" t="str">
        <f t="shared" si="12"/>
        <v>Defensa EspecializadaFísicos</v>
      </c>
      <c r="T236" s="237"/>
      <c r="U236" s="237"/>
      <c r="Z236" s="237"/>
    </row>
    <row r="237" spans="1:26" ht="12" customHeight="1" x14ac:dyDescent="0.2">
      <c r="A237" s="6077"/>
      <c r="B237" s="6097"/>
      <c r="C237" s="44" t="s">
        <v>9089</v>
      </c>
      <c r="D237" s="86" t="s">
        <v>7682</v>
      </c>
      <c r="E237" s="1209">
        <v>8</v>
      </c>
      <c r="F237" s="1210">
        <v>11</v>
      </c>
      <c r="G237" s="1209">
        <v>35</v>
      </c>
      <c r="H237" s="1209">
        <v>12</v>
      </c>
      <c r="I237" s="1209">
        <v>24</v>
      </c>
      <c r="J237" s="1209">
        <v>42</v>
      </c>
      <c r="K237" s="1209">
        <v>3</v>
      </c>
      <c r="L237" s="2105" t="str">
        <f t="shared" si="13"/>
        <v>Acciones Adicionales+10</v>
      </c>
      <c r="M237" s="237"/>
      <c r="N237" s="6103"/>
      <c r="O237" s="86" t="s">
        <v>9184</v>
      </c>
      <c r="P237" s="86" t="s">
        <v>2206</v>
      </c>
      <c r="Q237" s="80">
        <v>-10</v>
      </c>
      <c r="R237" s="80">
        <v>1</v>
      </c>
      <c r="S237" s="2105" t="str">
        <f t="shared" si="12"/>
        <v>Defensa EspecializadaProyectiles</v>
      </c>
      <c r="T237" s="237"/>
      <c r="U237" s="237"/>
      <c r="Z237" s="237"/>
    </row>
    <row r="238" spans="1:26" ht="12" customHeight="1" x14ac:dyDescent="0.2">
      <c r="A238" s="6077"/>
      <c r="B238" s="6097"/>
      <c r="C238" s="44" t="s">
        <v>9089</v>
      </c>
      <c r="D238" s="86" t="s">
        <v>3168</v>
      </c>
      <c r="E238" s="1209">
        <v>6</v>
      </c>
      <c r="F238" s="1210">
        <v>6</v>
      </c>
      <c r="G238" s="1209">
        <v>20</v>
      </c>
      <c r="H238" s="1209">
        <v>1</v>
      </c>
      <c r="I238" s="1209">
        <v>2</v>
      </c>
      <c r="J238" s="1209">
        <v>4</v>
      </c>
      <c r="K238" s="1209"/>
      <c r="L238" s="2105" t="str">
        <f t="shared" si="13"/>
        <v>Acciones AdicionalesBono de Cansancio Añadido</v>
      </c>
      <c r="M238" s="237"/>
      <c r="N238" s="6103"/>
      <c r="O238" s="86" t="s">
        <v>9184</v>
      </c>
      <c r="P238" s="86" t="s">
        <v>9240</v>
      </c>
      <c r="Q238" s="80">
        <v>-10</v>
      </c>
      <c r="R238" s="80">
        <v>1</v>
      </c>
      <c r="S238" s="2105" t="str">
        <f t="shared" si="12"/>
        <v>Defensa EspecializadaTécnicas Ki</v>
      </c>
      <c r="T238" s="237"/>
      <c r="U238" s="237"/>
      <c r="Z238" s="237"/>
    </row>
    <row r="239" spans="1:26" ht="12" customHeight="1" x14ac:dyDescent="0.2">
      <c r="A239" s="6077"/>
      <c r="B239" s="6097"/>
      <c r="C239" s="44" t="s">
        <v>2891</v>
      </c>
      <c r="D239" s="86"/>
      <c r="E239" s="1209"/>
      <c r="F239" s="1210"/>
      <c r="G239" s="1209"/>
      <c r="H239" s="1209"/>
      <c r="I239" s="1209"/>
      <c r="J239" s="1209"/>
      <c r="K239" s="1209"/>
      <c r="L239" s="2105" t="str">
        <f t="shared" si="13"/>
        <v>&gt;&gt;EFECTOS DE REACCIÓN</v>
      </c>
      <c r="M239" s="237"/>
      <c r="N239" s="6103"/>
      <c r="O239" s="86" t="s">
        <v>9184</v>
      </c>
      <c r="P239" s="86" t="s">
        <v>254</v>
      </c>
      <c r="Q239" s="80">
        <v>-15</v>
      </c>
      <c r="R239" s="80">
        <v>1</v>
      </c>
      <c r="S239" s="2105" t="str">
        <f t="shared" si="12"/>
        <v>Defensa EspecializadaConjuros</v>
      </c>
      <c r="T239" s="237"/>
      <c r="U239" s="237"/>
      <c r="Z239" s="237"/>
    </row>
    <row r="240" spans="1:26" ht="12" customHeight="1" x14ac:dyDescent="0.2">
      <c r="A240" s="6077"/>
      <c r="B240" s="6097"/>
      <c r="C240" s="44" t="s">
        <v>9300</v>
      </c>
      <c r="D240" s="86"/>
      <c r="E240" s="1209"/>
      <c r="F240" s="1210"/>
      <c r="G240" s="1209"/>
      <c r="H240" s="1209"/>
      <c r="I240" s="1209"/>
      <c r="J240" s="1209"/>
      <c r="K240" s="1209"/>
      <c r="L240" s="2105" t="str">
        <f t="shared" si="13"/>
        <v>&gt; INCREMENTAR TURNO</v>
      </c>
      <c r="M240" s="237"/>
      <c r="N240" s="6103"/>
      <c r="O240" s="86" t="s">
        <v>9184</v>
      </c>
      <c r="P240" s="86" t="s">
        <v>9241</v>
      </c>
      <c r="Q240" s="80">
        <v>-15</v>
      </c>
      <c r="R240" s="80">
        <v>1</v>
      </c>
      <c r="S240" s="2105" t="str">
        <f t="shared" si="12"/>
        <v>Defensa EspecializadaPsíquica</v>
      </c>
      <c r="T240" s="237"/>
      <c r="U240" s="237"/>
      <c r="Z240" s="237"/>
    </row>
    <row r="241" spans="1:26" ht="12" customHeight="1" x14ac:dyDescent="0.2">
      <c r="A241" s="6077"/>
      <c r="B241" s="6097"/>
      <c r="C241" s="44" t="s">
        <v>9093</v>
      </c>
      <c r="D241" s="86" t="s">
        <v>7826</v>
      </c>
      <c r="E241" s="1209">
        <v>1</v>
      </c>
      <c r="F241" s="1210">
        <v>2</v>
      </c>
      <c r="G241" s="1209">
        <v>5</v>
      </c>
      <c r="H241" s="1209">
        <v>1</v>
      </c>
      <c r="I241" s="1209">
        <v>2</v>
      </c>
      <c r="J241" s="1209">
        <v>4</v>
      </c>
      <c r="K241" s="1209">
        <v>1</v>
      </c>
      <c r="L241" s="2105" t="str">
        <f t="shared" si="13"/>
        <v>Incrementar Turno+25</v>
      </c>
      <c r="M241" s="237"/>
      <c r="N241" s="6103"/>
      <c r="O241" s="86" t="s">
        <v>9242</v>
      </c>
      <c r="P241" s="86"/>
      <c r="Q241" s="80"/>
      <c r="R241" s="80"/>
      <c r="S241" s="2105" t="str">
        <f t="shared" si="12"/>
        <v>&gt; EXTERMINADOR</v>
      </c>
      <c r="T241" s="237"/>
      <c r="U241" s="237"/>
      <c r="Z241" s="237"/>
    </row>
    <row r="242" spans="1:26" ht="12" customHeight="1" x14ac:dyDescent="0.2">
      <c r="A242" s="6077"/>
      <c r="B242" s="6097"/>
      <c r="C242" s="44" t="s">
        <v>9093</v>
      </c>
      <c r="D242" s="86" t="s">
        <v>7685</v>
      </c>
      <c r="E242" s="1209">
        <v>2</v>
      </c>
      <c r="F242" s="1210">
        <v>4</v>
      </c>
      <c r="G242" s="1209">
        <v>10</v>
      </c>
      <c r="H242" s="1209">
        <v>1</v>
      </c>
      <c r="I242" s="1209">
        <v>2</v>
      </c>
      <c r="J242" s="1209">
        <v>4</v>
      </c>
      <c r="K242" s="1209">
        <v>1</v>
      </c>
      <c r="L242" s="2105" t="str">
        <f t="shared" si="13"/>
        <v>Incrementar Turno+50</v>
      </c>
      <c r="M242" s="237"/>
      <c r="N242" s="6103"/>
      <c r="O242" s="86" t="s">
        <v>7301</v>
      </c>
      <c r="P242" s="86" t="s">
        <v>9243</v>
      </c>
      <c r="Q242" s="80">
        <v>-5</v>
      </c>
      <c r="R242" s="80">
        <v>1</v>
      </c>
      <c r="S242" s="2105" t="str">
        <f t="shared" si="12"/>
        <v>ExterminadorSeres Humanoides</v>
      </c>
      <c r="T242" s="237"/>
      <c r="U242" s="237"/>
      <c r="Z242" s="237"/>
    </row>
    <row r="243" spans="1:26" ht="12" customHeight="1" x14ac:dyDescent="0.2">
      <c r="A243" s="6077"/>
      <c r="B243" s="6097"/>
      <c r="C243" s="44" t="s">
        <v>9093</v>
      </c>
      <c r="D243" s="86" t="s">
        <v>9044</v>
      </c>
      <c r="E243" s="1209">
        <v>4</v>
      </c>
      <c r="F243" s="1210">
        <v>6</v>
      </c>
      <c r="G243" s="1209">
        <v>15</v>
      </c>
      <c r="H243" s="1209">
        <v>2</v>
      </c>
      <c r="I243" s="1209">
        <v>4</v>
      </c>
      <c r="J243" s="1209">
        <v>7</v>
      </c>
      <c r="K243" s="1209">
        <v>1</v>
      </c>
      <c r="L243" s="2105" t="str">
        <f t="shared" si="13"/>
        <v>Incrementar Turno+75</v>
      </c>
      <c r="M243" s="237"/>
      <c r="N243" s="6103"/>
      <c r="O243" s="86" t="s">
        <v>7301</v>
      </c>
      <c r="P243" s="86" t="s">
        <v>9244</v>
      </c>
      <c r="Q243" s="80">
        <v>-10</v>
      </c>
      <c r="R243" s="80">
        <v>1</v>
      </c>
      <c r="S243" s="2105" t="str">
        <f t="shared" si="12"/>
        <v>ExterminadorUna Clase de Ser</v>
      </c>
      <c r="T243" s="237"/>
      <c r="U243" s="237"/>
      <c r="Z243" s="237"/>
    </row>
    <row r="244" spans="1:26" ht="12" customHeight="1" x14ac:dyDescent="0.2">
      <c r="A244" s="6077"/>
      <c r="B244" s="6097"/>
      <c r="C244" s="44" t="s">
        <v>9093</v>
      </c>
      <c r="D244" s="86" t="s">
        <v>9051</v>
      </c>
      <c r="E244" s="1209">
        <v>6</v>
      </c>
      <c r="F244" s="1210">
        <v>9</v>
      </c>
      <c r="G244" s="1209">
        <v>20</v>
      </c>
      <c r="H244" s="1209">
        <v>3</v>
      </c>
      <c r="I244" s="1209">
        <v>6</v>
      </c>
      <c r="J244" s="1209">
        <v>11</v>
      </c>
      <c r="K244" s="1209">
        <v>1</v>
      </c>
      <c r="L244" s="2105" t="str">
        <f t="shared" si="13"/>
        <v>Incrementar Turno+100</v>
      </c>
      <c r="M244" s="237"/>
      <c r="N244" s="6103"/>
      <c r="O244" s="86" t="s">
        <v>7301</v>
      </c>
      <c r="P244" s="86" t="s">
        <v>9245</v>
      </c>
      <c r="Q244" s="80">
        <v>-30</v>
      </c>
      <c r="R244" s="80">
        <v>2</v>
      </c>
      <c r="S244" s="2105" t="str">
        <f t="shared" si="12"/>
        <v>ExterminadorUn Ser Determinado</v>
      </c>
      <c r="T244" s="237"/>
      <c r="U244" s="237"/>
      <c r="Z244" s="237"/>
    </row>
    <row r="245" spans="1:26" ht="12" customHeight="1" x14ac:dyDescent="0.2">
      <c r="A245" s="6077"/>
      <c r="B245" s="6097"/>
      <c r="C245" s="44" t="s">
        <v>9093</v>
      </c>
      <c r="D245" s="86" t="s">
        <v>9052</v>
      </c>
      <c r="E245" s="1209">
        <v>8</v>
      </c>
      <c r="F245" s="1210">
        <v>11</v>
      </c>
      <c r="G245" s="1209">
        <v>25</v>
      </c>
      <c r="H245" s="1209">
        <v>4</v>
      </c>
      <c r="I245" s="1209">
        <v>8</v>
      </c>
      <c r="J245" s="1209">
        <v>14</v>
      </c>
      <c r="K245" s="1209">
        <v>2</v>
      </c>
      <c r="L245" s="2105" t="str">
        <f t="shared" si="13"/>
        <v>Incrementar Turno+125</v>
      </c>
      <c r="M245" s="237"/>
      <c r="N245" s="6103"/>
      <c r="O245" s="86" t="s">
        <v>9246</v>
      </c>
      <c r="P245" s="86"/>
      <c r="Q245" s="80"/>
      <c r="R245" s="80"/>
      <c r="S245" s="2105" t="str">
        <f t="shared" si="12"/>
        <v>&gt; EXCESO DE ENERGÍA</v>
      </c>
      <c r="T245" s="237"/>
      <c r="U245" s="237"/>
      <c r="Z245" s="237"/>
    </row>
    <row r="246" spans="1:26" ht="12" customHeight="1" x14ac:dyDescent="0.2">
      <c r="A246" s="6077"/>
      <c r="B246" s="6097"/>
      <c r="C246" s="44" t="s">
        <v>9093</v>
      </c>
      <c r="D246" s="86" t="s">
        <v>9054</v>
      </c>
      <c r="E246" s="1209">
        <v>10</v>
      </c>
      <c r="F246" s="1210">
        <v>13</v>
      </c>
      <c r="G246" s="1209">
        <v>30</v>
      </c>
      <c r="H246" s="1209">
        <v>5</v>
      </c>
      <c r="I246" s="1209">
        <v>10</v>
      </c>
      <c r="J246" s="1209">
        <v>18</v>
      </c>
      <c r="K246" s="1209">
        <v>2</v>
      </c>
      <c r="L246" s="2105" t="str">
        <f t="shared" si="13"/>
        <v>Incrementar Turno+150</v>
      </c>
      <c r="M246" s="237"/>
      <c r="N246" s="6103"/>
      <c r="O246" s="86" t="s">
        <v>9186</v>
      </c>
      <c r="P246" s="86"/>
      <c r="Q246" s="80">
        <v>-15</v>
      </c>
      <c r="R246" s="80">
        <v>1</v>
      </c>
      <c r="S246" s="2105" t="str">
        <f t="shared" si="12"/>
        <v>Exceso De Energía</v>
      </c>
      <c r="T246" s="237"/>
      <c r="U246" s="237"/>
      <c r="Z246" s="237"/>
    </row>
    <row r="247" spans="1:26" ht="12" customHeight="1" x14ac:dyDescent="0.2">
      <c r="A247" s="6077"/>
      <c r="B247" s="6097"/>
      <c r="C247" s="44" t="s">
        <v>9093</v>
      </c>
      <c r="D247" s="86" t="s">
        <v>9057</v>
      </c>
      <c r="E247" s="1209">
        <v>12</v>
      </c>
      <c r="F247" s="1210">
        <v>15</v>
      </c>
      <c r="G247" s="1209">
        <v>35</v>
      </c>
      <c r="H247" s="1209">
        <v>6</v>
      </c>
      <c r="I247" s="1209">
        <v>12</v>
      </c>
      <c r="J247" s="1209">
        <v>21</v>
      </c>
      <c r="K247" s="1209">
        <v>3</v>
      </c>
      <c r="L247" s="2105" t="str">
        <f t="shared" si="13"/>
        <v>Incrementar Turno+175</v>
      </c>
      <c r="M247" s="237"/>
      <c r="N247" s="6103"/>
      <c r="O247" s="86" t="s">
        <v>9247</v>
      </c>
      <c r="P247" s="86"/>
      <c r="Q247" s="80"/>
      <c r="R247" s="80"/>
      <c r="S247" s="2105" t="str">
        <f t="shared" si="12"/>
        <v>&gt; PÉRDIDA DEL ARMA</v>
      </c>
      <c r="T247" s="237"/>
      <c r="U247" s="237"/>
      <c r="Z247" s="237"/>
    </row>
    <row r="248" spans="1:26" ht="12" customHeight="1" x14ac:dyDescent="0.2">
      <c r="A248" s="6077"/>
      <c r="B248" s="6097"/>
      <c r="C248" s="44" t="s">
        <v>9093</v>
      </c>
      <c r="D248" s="86" t="s">
        <v>9059</v>
      </c>
      <c r="E248" s="1209">
        <v>14</v>
      </c>
      <c r="F248" s="1210">
        <v>18</v>
      </c>
      <c r="G248" s="1209">
        <v>40</v>
      </c>
      <c r="H248" s="1209">
        <v>7</v>
      </c>
      <c r="I248" s="1209">
        <v>14</v>
      </c>
      <c r="J248" s="1209">
        <v>25</v>
      </c>
      <c r="K248" s="1209">
        <v>3</v>
      </c>
      <c r="L248" s="2105" t="str">
        <f t="shared" si="13"/>
        <v>Incrementar Turno+200</v>
      </c>
      <c r="M248" s="237"/>
      <c r="N248" s="6103"/>
      <c r="O248" s="86" t="s">
        <v>9188</v>
      </c>
      <c r="P248" s="86"/>
      <c r="Q248" s="80">
        <v>-10</v>
      </c>
      <c r="R248" s="80">
        <v>1</v>
      </c>
      <c r="S248" s="2105" t="str">
        <f t="shared" si="12"/>
        <v>Pérdida Del Arma</v>
      </c>
      <c r="T248" s="237"/>
      <c r="U248" s="237"/>
      <c r="Z248" s="237"/>
    </row>
    <row r="249" spans="1:26" ht="12" customHeight="1" x14ac:dyDescent="0.2">
      <c r="A249" s="6077"/>
      <c r="B249" s="6097"/>
      <c r="C249" s="44" t="s">
        <v>9301</v>
      </c>
      <c r="D249" s="86"/>
      <c r="E249" s="1209"/>
      <c r="F249" s="1210"/>
      <c r="G249" s="1209"/>
      <c r="H249" s="1209"/>
      <c r="I249" s="1209"/>
      <c r="J249" s="1209"/>
      <c r="K249" s="1209"/>
      <c r="L249" s="2105" t="str">
        <f t="shared" si="13"/>
        <v>&gt; RECUPERAR ACCIÓN</v>
      </c>
      <c r="M249" s="237"/>
      <c r="N249" s="6103"/>
      <c r="O249" s="86" t="s">
        <v>9248</v>
      </c>
      <c r="P249" s="86"/>
      <c r="Q249" s="80"/>
      <c r="R249" s="80"/>
      <c r="S249" s="2105" t="str">
        <f t="shared" si="12"/>
        <v>&gt; PENALIZADOR A TODA ACCIÓN</v>
      </c>
      <c r="T249" s="237"/>
      <c r="U249" s="237"/>
      <c r="Z249" s="237"/>
    </row>
    <row r="250" spans="1:26" ht="12" customHeight="1" x14ac:dyDescent="0.2">
      <c r="A250" s="6077"/>
      <c r="B250" s="6097"/>
      <c r="C250" s="44" t="s">
        <v>3170</v>
      </c>
      <c r="D250" s="86"/>
      <c r="E250" s="1209">
        <v>6</v>
      </c>
      <c r="F250" s="1210">
        <v>9</v>
      </c>
      <c r="G250" s="1209">
        <v>25</v>
      </c>
      <c r="H250" s="1209">
        <v>2</v>
      </c>
      <c r="I250" s="1209">
        <v>4</v>
      </c>
      <c r="J250" s="1209">
        <v>7</v>
      </c>
      <c r="K250" s="1209">
        <v>1</v>
      </c>
      <c r="L250" s="2105" t="str">
        <f t="shared" si="13"/>
        <v>Recuperar Acción</v>
      </c>
      <c r="M250" s="237"/>
      <c r="N250" s="6103"/>
      <c r="O250" s="86" t="s">
        <v>9189</v>
      </c>
      <c r="P250" s="86" t="s">
        <v>9128</v>
      </c>
      <c r="Q250" s="80">
        <v>-10</v>
      </c>
      <c r="R250" s="80">
        <v>1</v>
      </c>
      <c r="S250" s="2105" t="str">
        <f t="shared" si="12"/>
        <v>Penalizador A Toda Acción-50</v>
      </c>
      <c r="T250" s="237"/>
      <c r="U250" s="237"/>
      <c r="Z250" s="237"/>
    </row>
    <row r="251" spans="1:26" ht="12" customHeight="1" x14ac:dyDescent="0.2">
      <c r="A251" s="6077"/>
      <c r="B251" s="6097"/>
      <c r="C251" s="44" t="s">
        <v>9302</v>
      </c>
      <c r="D251" s="86"/>
      <c r="E251" s="1209"/>
      <c r="F251" s="1210"/>
      <c r="G251" s="1209"/>
      <c r="H251" s="1209"/>
      <c r="I251" s="1209"/>
      <c r="J251" s="1209"/>
      <c r="K251" s="1209"/>
      <c r="L251" s="2105" t="str">
        <f t="shared" si="13"/>
        <v>&gt; PREVISIÓN</v>
      </c>
      <c r="M251" s="237"/>
      <c r="N251" s="6103"/>
      <c r="O251" s="86" t="s">
        <v>9189</v>
      </c>
      <c r="P251" s="86" t="s">
        <v>9132</v>
      </c>
      <c r="Q251" s="80">
        <v>-15</v>
      </c>
      <c r="R251" s="80">
        <v>1</v>
      </c>
      <c r="S251" s="2105" t="str">
        <f t="shared" si="12"/>
        <v>Penalizador A Toda Acción-75</v>
      </c>
      <c r="T251" s="237"/>
      <c r="U251" s="237"/>
      <c r="Z251" s="237"/>
    </row>
    <row r="252" spans="1:26" ht="12" customHeight="1" x14ac:dyDescent="0.2">
      <c r="A252" s="6077"/>
      <c r="B252" s="6097"/>
      <c r="C252" s="44" t="s">
        <v>2898</v>
      </c>
      <c r="D252" s="86" t="s">
        <v>9303</v>
      </c>
      <c r="E252" s="1209">
        <v>3</v>
      </c>
      <c r="F252" s="1210">
        <v>5</v>
      </c>
      <c r="G252" s="1209">
        <v>10</v>
      </c>
      <c r="H252" s="1209">
        <v>1</v>
      </c>
      <c r="I252" s="1209">
        <v>2</v>
      </c>
      <c r="J252" s="1209">
        <v>4</v>
      </c>
      <c r="K252" s="1209">
        <v>1</v>
      </c>
      <c r="L252" s="2105" t="str">
        <f t="shared" si="13"/>
        <v>PrevisiónA Mitad</v>
      </c>
      <c r="M252" s="237"/>
      <c r="N252" s="6103"/>
      <c r="O252" s="86" t="s">
        <v>9189</v>
      </c>
      <c r="P252" s="86" t="s">
        <v>9135</v>
      </c>
      <c r="Q252" s="80">
        <v>-20</v>
      </c>
      <c r="R252" s="80">
        <v>2</v>
      </c>
      <c r="S252" s="2105" t="str">
        <f>O252&amp;P252</f>
        <v>Penalizador A Toda Acción-100</v>
      </c>
      <c r="T252" s="237"/>
      <c r="U252" s="237"/>
      <c r="Z252" s="237"/>
    </row>
    <row r="253" spans="1:26" ht="12" customHeight="1" x14ac:dyDescent="0.2">
      <c r="A253" s="6077"/>
      <c r="B253" s="6097"/>
      <c r="C253" s="44" t="s">
        <v>2898</v>
      </c>
      <c r="D253" s="86" t="s">
        <v>7548</v>
      </c>
      <c r="E253" s="1209">
        <v>6</v>
      </c>
      <c r="F253" s="1210">
        <v>9</v>
      </c>
      <c r="G253" s="1209">
        <v>25</v>
      </c>
      <c r="H253" s="1209">
        <v>3</v>
      </c>
      <c r="I253" s="1209">
        <v>6</v>
      </c>
      <c r="J253" s="1209">
        <v>11</v>
      </c>
      <c r="K253" s="1209">
        <v>1</v>
      </c>
      <c r="L253" s="2105" t="str">
        <f t="shared" si="13"/>
        <v>PrevisiónCompleto</v>
      </c>
      <c r="M253" s="237"/>
      <c r="N253" s="6103"/>
      <c r="O253" s="86" t="s">
        <v>9189</v>
      </c>
      <c r="P253" s="86" t="s">
        <v>9249</v>
      </c>
      <c r="Q253" s="80">
        <v>-25</v>
      </c>
      <c r="R253" s="80">
        <v>2</v>
      </c>
      <c r="S253" s="2105" t="str">
        <f t="shared" si="12"/>
        <v>Penalizador A Toda Acción-125</v>
      </c>
      <c r="T253" s="237"/>
      <c r="U253" s="237"/>
      <c r="Z253" s="237"/>
    </row>
    <row r="254" spans="1:26" ht="12" customHeight="1" x14ac:dyDescent="0.2">
      <c r="A254" s="6077"/>
      <c r="B254" s="6097"/>
      <c r="C254" s="44" t="s">
        <v>2901</v>
      </c>
      <c r="D254" s="86"/>
      <c r="E254" s="1209"/>
      <c r="F254" s="1210"/>
      <c r="G254" s="1209"/>
      <c r="H254" s="1209"/>
      <c r="I254" s="1209"/>
      <c r="J254" s="1209"/>
      <c r="K254" s="1209"/>
      <c r="L254" s="2105" t="str">
        <f t="shared" si="13"/>
        <v>&gt;&gt;EFECTOS ESPACIALES</v>
      </c>
      <c r="M254" s="237"/>
      <c r="N254" s="6103"/>
      <c r="O254" s="86" t="s">
        <v>9189</v>
      </c>
      <c r="P254" s="86" t="s">
        <v>9251</v>
      </c>
      <c r="Q254" s="80">
        <v>-30</v>
      </c>
      <c r="R254" s="80">
        <v>3</v>
      </c>
      <c r="S254" s="2105" t="str">
        <f t="shared" si="12"/>
        <v>Penalizador A Toda Acción-150</v>
      </c>
      <c r="T254" s="237"/>
      <c r="U254" s="237"/>
      <c r="Z254" s="237"/>
    </row>
    <row r="255" spans="1:26" ht="12" customHeight="1" x14ac:dyDescent="0.2">
      <c r="A255" s="6077"/>
      <c r="B255" s="6097"/>
      <c r="C255" s="44" t="s">
        <v>9304</v>
      </c>
      <c r="D255" s="86"/>
      <c r="E255" s="1209"/>
      <c r="F255" s="1210"/>
      <c r="G255" s="1209"/>
      <c r="H255" s="1209"/>
      <c r="I255" s="1209"/>
      <c r="J255" s="1209"/>
      <c r="K255" s="1209"/>
      <c r="L255" s="2105" t="str">
        <f t="shared" si="13"/>
        <v>&gt; ATAQUE A DISTANCIA</v>
      </c>
      <c r="M255" s="237"/>
      <c r="N255" s="6103"/>
      <c r="O255" s="86" t="s">
        <v>9253</v>
      </c>
      <c r="P255" s="86"/>
      <c r="Q255" s="80"/>
      <c r="R255" s="80"/>
      <c r="S255" s="2105" t="str">
        <f t="shared" si="12"/>
        <v>&gt; PREDETERMINACIÓN</v>
      </c>
      <c r="T255" s="237"/>
      <c r="U255" s="237"/>
      <c r="Z255" s="237"/>
    </row>
    <row r="256" spans="1:26" ht="12" customHeight="1" x14ac:dyDescent="0.2">
      <c r="A256" s="6077"/>
      <c r="B256" s="6097"/>
      <c r="C256" s="44" t="s">
        <v>9305</v>
      </c>
      <c r="D256" s="86" t="s">
        <v>4929</v>
      </c>
      <c r="E256" s="1209">
        <v>1</v>
      </c>
      <c r="F256" s="1210">
        <v>2</v>
      </c>
      <c r="G256" s="1209">
        <v>5</v>
      </c>
      <c r="H256" s="1209">
        <v>1</v>
      </c>
      <c r="I256" s="1209">
        <v>2</v>
      </c>
      <c r="J256" s="1209">
        <v>4</v>
      </c>
      <c r="K256" s="1209">
        <v>1</v>
      </c>
      <c r="L256" s="2105" t="str">
        <f t="shared" si="13"/>
        <v>Ataque A Distancia5 metros</v>
      </c>
      <c r="M256" s="237"/>
      <c r="N256" s="6103"/>
      <c r="O256" s="86" t="s">
        <v>3214</v>
      </c>
      <c r="P256" s="86"/>
      <c r="Q256" s="80">
        <v>-20</v>
      </c>
      <c r="R256" s="80">
        <v>2</v>
      </c>
      <c r="S256" s="2105" t="str">
        <f t="shared" si="12"/>
        <v>Predeterminación</v>
      </c>
      <c r="T256" s="237"/>
      <c r="U256" s="237"/>
      <c r="Z256" s="237"/>
    </row>
    <row r="257" spans="1:26" ht="12" customHeight="1" x14ac:dyDescent="0.2">
      <c r="A257" s="6077"/>
      <c r="B257" s="6097"/>
      <c r="C257" s="44" t="s">
        <v>9305</v>
      </c>
      <c r="D257" s="86" t="s">
        <v>9306</v>
      </c>
      <c r="E257" s="1209">
        <v>2</v>
      </c>
      <c r="F257" s="1210">
        <v>4</v>
      </c>
      <c r="G257" s="1209">
        <v>10</v>
      </c>
      <c r="H257" s="1209">
        <v>1</v>
      </c>
      <c r="I257" s="1209">
        <v>2</v>
      </c>
      <c r="J257" s="1209">
        <v>4</v>
      </c>
      <c r="K257" s="1209">
        <v>1</v>
      </c>
      <c r="L257" s="2105" t="str">
        <f t="shared" si="13"/>
        <v>Ataque A Distancia10 metros</v>
      </c>
      <c r="M257" s="237"/>
      <c r="N257" s="6103"/>
      <c r="O257" s="86" t="s">
        <v>9254</v>
      </c>
      <c r="P257" s="86"/>
      <c r="Q257" s="80"/>
      <c r="R257" s="80"/>
      <c r="S257" s="2105" t="str">
        <f t="shared" si="12"/>
        <v>&gt; PREPARACIÓN PREVIA</v>
      </c>
      <c r="T257" s="237"/>
      <c r="U257" s="237"/>
      <c r="Z257" s="237"/>
    </row>
    <row r="258" spans="1:26" ht="12" customHeight="1" x14ac:dyDescent="0.2">
      <c r="A258" s="6077"/>
      <c r="B258" s="6097"/>
      <c r="C258" s="44" t="s">
        <v>9305</v>
      </c>
      <c r="D258" s="86" t="s">
        <v>9017</v>
      </c>
      <c r="E258" s="1209">
        <v>3</v>
      </c>
      <c r="F258" s="1210">
        <v>5</v>
      </c>
      <c r="G258" s="1209">
        <v>10</v>
      </c>
      <c r="H258" s="1209">
        <v>2</v>
      </c>
      <c r="I258" s="1209">
        <v>4</v>
      </c>
      <c r="J258" s="1209">
        <v>7</v>
      </c>
      <c r="K258" s="1209">
        <v>1</v>
      </c>
      <c r="L258" s="2105" t="str">
        <f t="shared" si="13"/>
        <v>Ataque A Distancia20 metros</v>
      </c>
      <c r="M258" s="237"/>
      <c r="N258" s="6103"/>
      <c r="O258" s="86" t="s">
        <v>9190</v>
      </c>
      <c r="P258" s="86" t="s">
        <v>1738</v>
      </c>
      <c r="Q258" s="80">
        <v>-10</v>
      </c>
      <c r="R258" s="80">
        <v>1</v>
      </c>
      <c r="S258" s="2105" t="str">
        <f t="shared" si="12"/>
        <v>Preparación Previa1 minuto</v>
      </c>
      <c r="T258" s="237"/>
      <c r="U258" s="237"/>
      <c r="Z258" s="237"/>
    </row>
    <row r="259" spans="1:26" ht="12" customHeight="1" x14ac:dyDescent="0.2">
      <c r="A259" s="6077"/>
      <c r="B259" s="6097"/>
      <c r="C259" s="44" t="s">
        <v>9305</v>
      </c>
      <c r="D259" s="86" t="s">
        <v>4931</v>
      </c>
      <c r="E259" s="1209">
        <v>4</v>
      </c>
      <c r="F259" s="1210">
        <v>6</v>
      </c>
      <c r="G259" s="1209">
        <v>15</v>
      </c>
      <c r="H259" s="1209">
        <v>3</v>
      </c>
      <c r="I259" s="1209">
        <v>6</v>
      </c>
      <c r="J259" s="1209">
        <v>11</v>
      </c>
      <c r="K259" s="1209">
        <v>1</v>
      </c>
      <c r="L259" s="2105" t="str">
        <f t="shared" si="13"/>
        <v>Ataque A Distancia50 metros</v>
      </c>
      <c r="M259" s="237"/>
      <c r="N259" s="6103"/>
      <c r="O259" s="86" t="s">
        <v>9190</v>
      </c>
      <c r="P259" s="86" t="s">
        <v>1740</v>
      </c>
      <c r="Q259" s="80">
        <v>-15</v>
      </c>
      <c r="R259" s="80">
        <v>1</v>
      </c>
      <c r="S259" s="2105" t="str">
        <f t="shared" si="12"/>
        <v>Preparación Previa1 hora</v>
      </c>
      <c r="T259" s="237"/>
      <c r="U259" s="237"/>
      <c r="Z259" s="237"/>
    </row>
    <row r="260" spans="1:26" ht="12" customHeight="1" x14ac:dyDescent="0.2">
      <c r="A260" s="6077"/>
      <c r="B260" s="6097"/>
      <c r="C260" s="44" t="s">
        <v>9305</v>
      </c>
      <c r="D260" s="86" t="s">
        <v>4967</v>
      </c>
      <c r="E260" s="1209">
        <v>5</v>
      </c>
      <c r="F260" s="1210">
        <v>8</v>
      </c>
      <c r="G260" s="1209">
        <v>20</v>
      </c>
      <c r="H260" s="1209">
        <v>4</v>
      </c>
      <c r="I260" s="1209">
        <v>8</v>
      </c>
      <c r="J260" s="1209">
        <v>14</v>
      </c>
      <c r="K260" s="1209">
        <v>1</v>
      </c>
      <c r="L260" s="2105" t="str">
        <f t="shared" si="13"/>
        <v>Ataque A Distancia100 metros</v>
      </c>
      <c r="M260" s="237"/>
      <c r="N260" s="6103"/>
      <c r="O260" s="86" t="s">
        <v>9190</v>
      </c>
      <c r="P260" s="86" t="s">
        <v>1743</v>
      </c>
      <c r="Q260" s="80">
        <v>-25</v>
      </c>
      <c r="R260" s="80">
        <v>2</v>
      </c>
      <c r="S260" s="2105" t="str">
        <f t="shared" si="12"/>
        <v>Preparación Previa1 día</v>
      </c>
      <c r="T260" s="237"/>
      <c r="U260" s="237"/>
      <c r="Z260" s="237"/>
    </row>
    <row r="261" spans="1:26" ht="12" customHeight="1" x14ac:dyDescent="0.2">
      <c r="A261" s="6077"/>
      <c r="B261" s="6097"/>
      <c r="C261" s="44" t="s">
        <v>9305</v>
      </c>
      <c r="D261" s="86" t="s">
        <v>5399</v>
      </c>
      <c r="E261" s="1209">
        <v>6</v>
      </c>
      <c r="F261" s="1210">
        <v>9</v>
      </c>
      <c r="G261" s="1209">
        <v>25</v>
      </c>
      <c r="H261" s="1209">
        <v>5</v>
      </c>
      <c r="I261" s="1209">
        <v>10</v>
      </c>
      <c r="J261" s="1209">
        <v>18</v>
      </c>
      <c r="K261" s="1209">
        <v>2</v>
      </c>
      <c r="L261" s="2105" t="str">
        <f t="shared" si="13"/>
        <v>Ataque A Distancia250 metros</v>
      </c>
      <c r="M261" s="237"/>
      <c r="N261" s="6103"/>
      <c r="O261" s="86" t="s">
        <v>9255</v>
      </c>
      <c r="P261" s="86"/>
      <c r="Q261" s="80"/>
      <c r="R261" s="80"/>
      <c r="S261" s="2105" t="str">
        <f t="shared" si="12"/>
        <v>&gt; REQUERIMIENTOS ELEMENTALES</v>
      </c>
      <c r="T261" s="237"/>
      <c r="U261" s="237"/>
      <c r="Z261" s="237"/>
    </row>
    <row r="262" spans="1:26" ht="12" customHeight="1" x14ac:dyDescent="0.2">
      <c r="A262" s="6077"/>
      <c r="B262" s="6097"/>
      <c r="C262" s="44" t="s">
        <v>9305</v>
      </c>
      <c r="D262" s="86" t="s">
        <v>5283</v>
      </c>
      <c r="E262" s="1209">
        <v>8</v>
      </c>
      <c r="F262" s="1210">
        <v>11</v>
      </c>
      <c r="G262" s="1209">
        <v>30</v>
      </c>
      <c r="H262" s="1209">
        <v>6</v>
      </c>
      <c r="I262" s="1209">
        <v>12</v>
      </c>
      <c r="J262" s="1209">
        <v>21</v>
      </c>
      <c r="K262" s="1209">
        <v>2</v>
      </c>
      <c r="L262" s="2105" t="str">
        <f t="shared" si="13"/>
        <v>Ataque A Distancia500 metros</v>
      </c>
      <c r="M262" s="237"/>
      <c r="N262" s="6103"/>
      <c r="O262" s="86" t="s">
        <v>9191</v>
      </c>
      <c r="P262" s="86" t="s">
        <v>9257</v>
      </c>
      <c r="Q262" s="80">
        <v>-5</v>
      </c>
      <c r="R262" s="80">
        <v>1</v>
      </c>
      <c r="S262" s="2105" t="str">
        <f t="shared" si="12"/>
        <v>Requerimientos ElementalesIntensidad Menor</v>
      </c>
      <c r="T262" s="237"/>
      <c r="U262" s="237"/>
      <c r="Z262" s="237"/>
    </row>
    <row r="263" spans="1:26" ht="12" customHeight="1" x14ac:dyDescent="0.2">
      <c r="A263" s="6077"/>
      <c r="B263" s="6097"/>
      <c r="C263" s="44" t="s">
        <v>9305</v>
      </c>
      <c r="D263" s="86" t="s">
        <v>5284</v>
      </c>
      <c r="E263" s="1209">
        <v>10</v>
      </c>
      <c r="F263" s="1210">
        <v>13</v>
      </c>
      <c r="G263" s="1209">
        <v>35</v>
      </c>
      <c r="H263" s="1209">
        <v>8</v>
      </c>
      <c r="I263" s="1209">
        <v>16</v>
      </c>
      <c r="J263" s="1209">
        <v>28</v>
      </c>
      <c r="K263" s="1209">
        <v>2</v>
      </c>
      <c r="L263" s="2105" t="str">
        <f t="shared" si="13"/>
        <v>Ataque A Distancia1 kilómetro</v>
      </c>
      <c r="M263" s="237"/>
      <c r="N263" s="6103"/>
      <c r="O263" s="86" t="s">
        <v>9191</v>
      </c>
      <c r="P263" s="86" t="s">
        <v>9260</v>
      </c>
      <c r="Q263" s="80">
        <v>-10</v>
      </c>
      <c r="R263" s="80">
        <v>1</v>
      </c>
      <c r="S263" s="2105" t="str">
        <f t="shared" si="12"/>
        <v>Requerimientos ElementalesIntensidad Mayor</v>
      </c>
      <c r="T263" s="237"/>
      <c r="U263" s="237"/>
      <c r="Z263" s="237"/>
    </row>
    <row r="264" spans="1:26" ht="12" customHeight="1" x14ac:dyDescent="0.2">
      <c r="A264" s="6077"/>
      <c r="B264" s="6097"/>
      <c r="C264" s="44" t="s">
        <v>9305</v>
      </c>
      <c r="D264" s="86" t="s">
        <v>9307</v>
      </c>
      <c r="E264" s="1209">
        <v>14</v>
      </c>
      <c r="F264" s="1210">
        <v>18</v>
      </c>
      <c r="G264" s="1209">
        <v>40</v>
      </c>
      <c r="H264" s="1209">
        <v>10</v>
      </c>
      <c r="I264" s="1209">
        <v>20</v>
      </c>
      <c r="J264" s="1209">
        <v>35</v>
      </c>
      <c r="K264" s="1209">
        <v>3</v>
      </c>
      <c r="L264" s="2105" t="str">
        <f t="shared" si="13"/>
        <v>Ataque A Distancia5 kilómetros</v>
      </c>
      <c r="M264" s="237"/>
      <c r="N264" s="6103"/>
      <c r="O264" s="86" t="s">
        <v>9262</v>
      </c>
      <c r="P264" s="86"/>
      <c r="Q264" s="80"/>
      <c r="R264" s="80"/>
      <c r="S264" s="2105" t="str">
        <f t="shared" si="12"/>
        <v>&gt; SACRIFICIO</v>
      </c>
      <c r="T264" s="237"/>
      <c r="U264" s="237"/>
      <c r="Z264" s="237"/>
    </row>
    <row r="265" spans="1:26" ht="12" customHeight="1" x14ac:dyDescent="0.2">
      <c r="A265" s="6077"/>
      <c r="B265" s="6097"/>
      <c r="C265" s="44" t="s">
        <v>9305</v>
      </c>
      <c r="D265" s="86" t="s">
        <v>5334</v>
      </c>
      <c r="E265" s="1209">
        <v>18</v>
      </c>
      <c r="F265" s="1210">
        <v>22</v>
      </c>
      <c r="G265" s="1209">
        <v>45</v>
      </c>
      <c r="H265" s="1209">
        <v>12</v>
      </c>
      <c r="I265" s="1209">
        <v>24</v>
      </c>
      <c r="J265" s="1209">
        <v>42</v>
      </c>
      <c r="K265" s="1209">
        <v>3</v>
      </c>
      <c r="L265" s="2105" t="str">
        <f t="shared" si="13"/>
        <v>Ataque A Distancia10 kilómetros</v>
      </c>
      <c r="M265" s="237"/>
      <c r="N265" s="6103"/>
      <c r="O265" s="86" t="s">
        <v>9192</v>
      </c>
      <c r="P265" s="86" t="s">
        <v>9264</v>
      </c>
      <c r="Q265" s="80">
        <v>-5</v>
      </c>
      <c r="R265" s="80">
        <v>1</v>
      </c>
      <c r="S265" s="2105" t="str">
        <f t="shared" ref="S265:S271" si="14">O265&amp;P265</f>
        <v>Sacrificio-25 PV</v>
      </c>
      <c r="T265" s="237"/>
      <c r="U265" s="237"/>
      <c r="Z265" s="237"/>
    </row>
    <row r="266" spans="1:26" ht="12" customHeight="1" x14ac:dyDescent="0.2">
      <c r="A266" s="6077"/>
      <c r="B266" s="6097"/>
      <c r="C266" s="44" t="s">
        <v>9305</v>
      </c>
      <c r="D266" s="86" t="s">
        <v>5335</v>
      </c>
      <c r="E266" s="1209">
        <v>22</v>
      </c>
      <c r="F266" s="1210">
        <v>26</v>
      </c>
      <c r="G266" s="1209">
        <v>50</v>
      </c>
      <c r="H266" s="1209">
        <v>14</v>
      </c>
      <c r="I266" s="1209">
        <v>28</v>
      </c>
      <c r="J266" s="1209">
        <v>49</v>
      </c>
      <c r="K266" s="1209">
        <v>3</v>
      </c>
      <c r="L266" s="2105" t="str">
        <f t="shared" si="13"/>
        <v>Ataque A Distancia100 kilómetros</v>
      </c>
      <c r="M266" s="237"/>
      <c r="N266" s="6103"/>
      <c r="O266" s="86" t="s">
        <v>9192</v>
      </c>
      <c r="P266" s="86" t="s">
        <v>9266</v>
      </c>
      <c r="Q266" s="80">
        <v>-10</v>
      </c>
      <c r="R266" s="80">
        <v>1</v>
      </c>
      <c r="S266" s="2105" t="str">
        <f t="shared" si="14"/>
        <v>Sacrificio-50 PV</v>
      </c>
      <c r="T266" s="237"/>
      <c r="U266" s="237"/>
      <c r="Z266" s="237"/>
    </row>
    <row r="267" spans="1:26" ht="12" customHeight="1" x14ac:dyDescent="0.2">
      <c r="A267" s="6077"/>
      <c r="B267" s="6097"/>
      <c r="C267" s="44" t="s">
        <v>9305</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3"/>
      <c r="O267" s="86" t="s">
        <v>9192</v>
      </c>
      <c r="P267" s="86" t="s">
        <v>9268</v>
      </c>
      <c r="Q267" s="80">
        <v>-15</v>
      </c>
      <c r="R267" s="80">
        <v>2</v>
      </c>
      <c r="S267" s="2105" t="str">
        <f t="shared" si="14"/>
        <v>Sacrificio-75 PV</v>
      </c>
      <c r="T267" s="237"/>
      <c r="U267" s="237"/>
      <c r="Z267" s="237"/>
    </row>
    <row r="268" spans="1:26" ht="12" customHeight="1" x14ac:dyDescent="0.2">
      <c r="A268" s="6077"/>
      <c r="B268" s="6097"/>
      <c r="C268" s="44" t="s">
        <v>9305</v>
      </c>
      <c r="D268" s="86" t="s">
        <v>3172</v>
      </c>
      <c r="E268" s="1209">
        <v>8</v>
      </c>
      <c r="F268" s="1210">
        <v>8</v>
      </c>
      <c r="G268" s="1209">
        <v>20</v>
      </c>
      <c r="H268" s="1209">
        <v>1</v>
      </c>
      <c r="I268" s="1209">
        <v>2</v>
      </c>
      <c r="J268" s="1209">
        <v>4</v>
      </c>
      <c r="K268" s="1209"/>
      <c r="L268" s="2105" t="str">
        <f t="shared" si="15"/>
        <v>Ataque A DistanciaEstela de Destrucción</v>
      </c>
      <c r="M268" s="237"/>
      <c r="N268" s="6103"/>
      <c r="O268" s="86" t="s">
        <v>9192</v>
      </c>
      <c r="P268" s="86" t="s">
        <v>9269</v>
      </c>
      <c r="Q268" s="80">
        <v>-20</v>
      </c>
      <c r="R268" s="80">
        <v>2</v>
      </c>
      <c r="S268" s="2105" t="str">
        <f t="shared" si="14"/>
        <v>Sacrificio-100 PV</v>
      </c>
      <c r="T268" s="237"/>
      <c r="U268" s="237"/>
      <c r="Z268" s="237"/>
    </row>
    <row r="269" spans="1:26" ht="12" customHeight="1" x14ac:dyDescent="0.2">
      <c r="A269" s="6077"/>
      <c r="B269" s="6097"/>
      <c r="C269" s="44" t="s">
        <v>9308</v>
      </c>
      <c r="D269" s="86"/>
      <c r="E269" s="1209"/>
      <c r="F269" s="1210"/>
      <c r="G269" s="1209"/>
      <c r="H269" s="1209"/>
      <c r="I269" s="1209"/>
      <c r="J269" s="1209"/>
      <c r="K269" s="1209"/>
      <c r="L269" s="2105" t="str">
        <f t="shared" si="15"/>
        <v>&gt; ATAQUE A DISTANCIA REAL</v>
      </c>
      <c r="M269" s="237"/>
      <c r="N269" s="6103"/>
      <c r="O269" s="86" t="s">
        <v>9192</v>
      </c>
      <c r="P269" s="86" t="s">
        <v>7548</v>
      </c>
      <c r="Q269" s="80">
        <v>-25</v>
      </c>
      <c r="R269" s="80">
        <v>3</v>
      </c>
      <c r="S269" s="2105" t="str">
        <f t="shared" si="14"/>
        <v>SacrificioCompleto</v>
      </c>
      <c r="T269" s="237"/>
      <c r="U269" s="237"/>
      <c r="Z269" s="237"/>
    </row>
    <row r="270" spans="1:26" ht="12" customHeight="1" x14ac:dyDescent="0.2">
      <c r="A270" s="6077"/>
      <c r="B270" s="6097"/>
      <c r="C270" s="44" t="s">
        <v>9309</v>
      </c>
      <c r="D270" s="86" t="s">
        <v>4929</v>
      </c>
      <c r="E270" s="1209">
        <v>2</v>
      </c>
      <c r="F270" s="1210">
        <v>4</v>
      </c>
      <c r="G270" s="1209">
        <v>10</v>
      </c>
      <c r="H270" s="1209">
        <v>2</v>
      </c>
      <c r="I270" s="1209">
        <v>4</v>
      </c>
      <c r="J270" s="1209">
        <v>7</v>
      </c>
      <c r="K270" s="1209">
        <v>1</v>
      </c>
      <c r="L270" s="2105" t="str">
        <f t="shared" si="15"/>
        <v>Ataque A Distancia Real5 metros</v>
      </c>
      <c r="M270" s="237"/>
      <c r="N270" s="6103"/>
      <c r="O270" s="86" t="s">
        <v>9271</v>
      </c>
      <c r="P270" s="86"/>
      <c r="Q270" s="80"/>
      <c r="R270" s="80"/>
      <c r="S270" s="2105" t="str">
        <f t="shared" si="14"/>
        <v>&gt; SACRIFICIO DE CARACTERÍSTICAS</v>
      </c>
      <c r="T270" s="237"/>
      <c r="U270" s="237"/>
      <c r="Z270" s="237"/>
    </row>
    <row r="271" spans="1:26" ht="12" customHeight="1" x14ac:dyDescent="0.2">
      <c r="A271" s="6077"/>
      <c r="B271" s="6097"/>
      <c r="C271" s="44" t="s">
        <v>9309</v>
      </c>
      <c r="D271" s="86" t="s">
        <v>9306</v>
      </c>
      <c r="E271" s="1209">
        <v>4</v>
      </c>
      <c r="F271" s="1210">
        <v>6</v>
      </c>
      <c r="G271" s="1209">
        <v>15</v>
      </c>
      <c r="H271" s="1209">
        <v>3</v>
      </c>
      <c r="I271" s="1209">
        <v>6</v>
      </c>
      <c r="J271" s="1209">
        <v>11</v>
      </c>
      <c r="K271" s="1209">
        <v>1</v>
      </c>
      <c r="L271" s="2105" t="str">
        <f t="shared" si="15"/>
        <v>Ataque A Distancia Real10 metros</v>
      </c>
      <c r="M271" s="237"/>
      <c r="N271" s="6103"/>
      <c r="O271" s="86" t="s">
        <v>9193</v>
      </c>
      <c r="P271" s="86" t="s">
        <v>1376</v>
      </c>
      <c r="Q271" s="80">
        <v>-30</v>
      </c>
      <c r="R271" s="80">
        <v>1</v>
      </c>
      <c r="S271" s="2105" t="str">
        <f t="shared" si="14"/>
        <v>Sacrificio De CaracterísticasAGI</v>
      </c>
      <c r="T271" s="237"/>
      <c r="U271" s="237"/>
      <c r="Z271" s="237"/>
    </row>
    <row r="272" spans="1:26" ht="12" customHeight="1" x14ac:dyDescent="0.2">
      <c r="A272" s="6077"/>
      <c r="B272" s="6097"/>
      <c r="C272" s="44" t="s">
        <v>9309</v>
      </c>
      <c r="D272" s="86" t="s">
        <v>9017</v>
      </c>
      <c r="E272" s="1209">
        <v>6</v>
      </c>
      <c r="F272" s="1210">
        <v>9</v>
      </c>
      <c r="G272" s="1209">
        <v>20</v>
      </c>
      <c r="H272" s="1209">
        <v>4</v>
      </c>
      <c r="I272" s="1209">
        <v>8</v>
      </c>
      <c r="J272" s="1209">
        <v>14</v>
      </c>
      <c r="K272" s="1209">
        <v>1</v>
      </c>
      <c r="L272" s="2105" t="str">
        <f t="shared" si="15"/>
        <v>Ataque A Distancia Real20 metros</v>
      </c>
      <c r="M272" s="237"/>
      <c r="N272" s="6103"/>
      <c r="O272" s="86" t="s">
        <v>9193</v>
      </c>
      <c r="P272" s="86" t="s">
        <v>1501</v>
      </c>
      <c r="Q272" s="80">
        <v>-30</v>
      </c>
      <c r="R272" s="80">
        <v>1</v>
      </c>
      <c r="S272" s="2105" t="str">
        <f t="shared" ref="S272:S278" si="16">O272&amp;P272</f>
        <v>Sacrificio De CaracterísticasCON</v>
      </c>
      <c r="T272" s="237"/>
      <c r="U272" s="237"/>
      <c r="Z272" s="237"/>
    </row>
    <row r="273" spans="1:26" ht="12" customHeight="1" x14ac:dyDescent="0.2">
      <c r="A273" s="6077"/>
      <c r="B273" s="6097"/>
      <c r="C273" s="44" t="s">
        <v>9309</v>
      </c>
      <c r="D273" s="86" t="s">
        <v>4931</v>
      </c>
      <c r="E273" s="1209">
        <v>8</v>
      </c>
      <c r="F273" s="1210">
        <v>11</v>
      </c>
      <c r="G273" s="1209">
        <v>25</v>
      </c>
      <c r="H273" s="1209">
        <v>5</v>
      </c>
      <c r="I273" s="1209">
        <v>10</v>
      </c>
      <c r="J273" s="1209">
        <v>18</v>
      </c>
      <c r="K273" s="1209">
        <v>1</v>
      </c>
      <c r="L273" s="2105" t="str">
        <f t="shared" si="15"/>
        <v>Ataque A Distancia Real50 metros</v>
      </c>
      <c r="M273" s="237"/>
      <c r="N273" s="6103"/>
      <c r="O273" s="86" t="s">
        <v>9193</v>
      </c>
      <c r="P273" s="86" t="s">
        <v>1381</v>
      </c>
      <c r="Q273" s="80">
        <v>-30</v>
      </c>
      <c r="R273" s="80">
        <v>1</v>
      </c>
      <c r="S273" s="2105" t="str">
        <f t="shared" si="16"/>
        <v>Sacrificio De CaracterísticasDES</v>
      </c>
      <c r="T273" s="237"/>
      <c r="U273" s="237"/>
      <c r="Z273" s="237"/>
    </row>
    <row r="274" spans="1:26" ht="12" customHeight="1" x14ac:dyDescent="0.2">
      <c r="A274" s="6077"/>
      <c r="B274" s="6097"/>
      <c r="C274" s="44" t="s">
        <v>9309</v>
      </c>
      <c r="D274" s="86" t="s">
        <v>4967</v>
      </c>
      <c r="E274" s="1209">
        <v>10</v>
      </c>
      <c r="F274" s="1210">
        <v>13</v>
      </c>
      <c r="G274" s="1209">
        <v>35</v>
      </c>
      <c r="H274" s="1209">
        <v>6</v>
      </c>
      <c r="I274" s="1209">
        <v>12</v>
      </c>
      <c r="J274" s="1209">
        <v>21</v>
      </c>
      <c r="K274" s="1209">
        <v>2</v>
      </c>
      <c r="L274" s="2105" t="str">
        <f t="shared" si="15"/>
        <v>Ataque A Distancia Real100 metros</v>
      </c>
      <c r="M274" s="237"/>
      <c r="N274" s="6103"/>
      <c r="O274" s="86" t="s">
        <v>9193</v>
      </c>
      <c r="P274" s="86" t="s">
        <v>1386</v>
      </c>
      <c r="Q274" s="80">
        <v>-30</v>
      </c>
      <c r="R274" s="80">
        <v>1</v>
      </c>
      <c r="S274" s="2105" t="str">
        <f t="shared" si="16"/>
        <v>Sacrificio De CaracterísticasFUE</v>
      </c>
      <c r="T274" s="237"/>
      <c r="U274" s="237"/>
      <c r="Z274" s="237"/>
    </row>
    <row r="275" spans="1:26" ht="12" customHeight="1" x14ac:dyDescent="0.2">
      <c r="A275" s="6077"/>
      <c r="B275" s="6097"/>
      <c r="C275" s="44" t="s">
        <v>9309</v>
      </c>
      <c r="D275" s="86" t="s">
        <v>5399</v>
      </c>
      <c r="E275" s="1209">
        <v>12</v>
      </c>
      <c r="F275" s="1210">
        <v>15</v>
      </c>
      <c r="G275" s="1209">
        <v>45</v>
      </c>
      <c r="H275" s="1209">
        <v>8</v>
      </c>
      <c r="I275" s="1209">
        <v>16</v>
      </c>
      <c r="J275" s="1209">
        <v>28</v>
      </c>
      <c r="K275" s="1209">
        <v>2</v>
      </c>
      <c r="L275" s="2105" t="str">
        <f t="shared" si="15"/>
        <v>Ataque A Distancia Real250 metros</v>
      </c>
      <c r="M275" s="237"/>
      <c r="N275" s="6103"/>
      <c r="O275" s="86" t="s">
        <v>9193</v>
      </c>
      <c r="P275" s="86" t="s">
        <v>1389</v>
      </c>
      <c r="Q275" s="80">
        <v>-30</v>
      </c>
      <c r="R275" s="80">
        <v>1</v>
      </c>
      <c r="S275" s="2105" t="str">
        <f t="shared" si="16"/>
        <v>Sacrificio De CaracterísticasINT</v>
      </c>
      <c r="T275" s="237"/>
      <c r="U275" s="237"/>
      <c r="Z275" s="237"/>
    </row>
    <row r="276" spans="1:26" ht="12" customHeight="1" x14ac:dyDescent="0.2">
      <c r="A276" s="6077"/>
      <c r="B276" s="6097"/>
      <c r="C276" s="44" t="s">
        <v>9309</v>
      </c>
      <c r="D276" s="86" t="s">
        <v>5283</v>
      </c>
      <c r="E276" s="1209">
        <v>16</v>
      </c>
      <c r="F276" s="1210">
        <v>20</v>
      </c>
      <c r="G276" s="1209">
        <v>55</v>
      </c>
      <c r="H276" s="1209">
        <v>10</v>
      </c>
      <c r="I276" s="1209">
        <v>20</v>
      </c>
      <c r="J276" s="1209">
        <v>35</v>
      </c>
      <c r="K276" s="1209">
        <v>2</v>
      </c>
      <c r="L276" s="2105" t="str">
        <f t="shared" si="15"/>
        <v>Ataque A Distancia Real500 metros</v>
      </c>
      <c r="M276" s="237"/>
      <c r="N276" s="6103"/>
      <c r="O276" s="86" t="s">
        <v>9193</v>
      </c>
      <c r="P276" s="86" t="s">
        <v>1392</v>
      </c>
      <c r="Q276" s="80">
        <v>-30</v>
      </c>
      <c r="R276" s="80">
        <v>1</v>
      </c>
      <c r="S276" s="2105" t="str">
        <f t="shared" si="16"/>
        <v>Sacrificio De CaracterísticasPER</v>
      </c>
      <c r="T276" s="237"/>
      <c r="U276" s="237"/>
      <c r="Z276" s="237"/>
    </row>
    <row r="277" spans="1:26" ht="12" customHeight="1" x14ac:dyDescent="0.2">
      <c r="A277" s="6077"/>
      <c r="B277" s="6097"/>
      <c r="C277" s="44" t="s">
        <v>9309</v>
      </c>
      <c r="D277" s="86" t="s">
        <v>5284</v>
      </c>
      <c r="E277" s="1209">
        <v>20</v>
      </c>
      <c r="F277" s="1210">
        <v>24</v>
      </c>
      <c r="G277" s="1209">
        <v>70</v>
      </c>
      <c r="H277" s="1209">
        <v>12</v>
      </c>
      <c r="I277" s="1209">
        <v>24</v>
      </c>
      <c r="J277" s="1209">
        <v>42</v>
      </c>
      <c r="K277" s="1209">
        <v>3</v>
      </c>
      <c r="L277" s="2105" t="str">
        <f t="shared" si="15"/>
        <v>Ataque A Distancia Real1 kilómetro</v>
      </c>
      <c r="M277" s="237"/>
      <c r="N277" s="6103"/>
      <c r="O277" s="86" t="s">
        <v>9193</v>
      </c>
      <c r="P277" s="86" t="s">
        <v>1394</v>
      </c>
      <c r="Q277" s="80">
        <v>-30</v>
      </c>
      <c r="R277" s="80">
        <v>1</v>
      </c>
      <c r="S277" s="2105" t="str">
        <f t="shared" si="16"/>
        <v>Sacrificio De CaracterísticasPOD</v>
      </c>
      <c r="T277" s="237"/>
      <c r="U277" s="237"/>
      <c r="Z277" s="237"/>
    </row>
    <row r="278" spans="1:26" ht="12" customHeight="1" x14ac:dyDescent="0.2">
      <c r="A278" s="6077"/>
      <c r="B278" s="6097"/>
      <c r="C278" s="44" t="s">
        <v>9310</v>
      </c>
      <c r="D278" s="86"/>
      <c r="E278" s="1209"/>
      <c r="F278" s="1210"/>
      <c r="G278" s="1209"/>
      <c r="H278" s="1209"/>
      <c r="I278" s="1209"/>
      <c r="J278" s="1209"/>
      <c r="K278" s="1209"/>
      <c r="L278" s="2105" t="str">
        <f t="shared" si="15"/>
        <v>&gt; ATAQUE CON ÁREA</v>
      </c>
      <c r="M278" s="237"/>
      <c r="N278" s="6103"/>
      <c r="O278" s="86" t="s">
        <v>9193</v>
      </c>
      <c r="P278" s="86" t="s">
        <v>1395</v>
      </c>
      <c r="Q278" s="80">
        <v>-30</v>
      </c>
      <c r="R278" s="80">
        <v>1</v>
      </c>
      <c r="S278" s="2105" t="str">
        <f t="shared" si="16"/>
        <v>Sacrificio De CaracterísticasVOL</v>
      </c>
      <c r="T278" s="237"/>
      <c r="U278" s="237"/>
      <c r="Z278" s="237"/>
    </row>
    <row r="279" spans="1:26" ht="12" customHeight="1" x14ac:dyDescent="0.2">
      <c r="A279" s="6077"/>
      <c r="B279" s="6097"/>
      <c r="C279" s="44" t="s">
        <v>9311</v>
      </c>
      <c r="D279" s="86" t="s">
        <v>9312</v>
      </c>
      <c r="E279" s="1209">
        <v>1</v>
      </c>
      <c r="F279" s="1210">
        <v>2</v>
      </c>
      <c r="G279" s="1209">
        <v>5</v>
      </c>
      <c r="H279" s="1209">
        <v>1</v>
      </c>
      <c r="I279" s="1209">
        <v>2</v>
      </c>
      <c r="J279" s="1209">
        <v>4</v>
      </c>
      <c r="K279" s="1209">
        <v>1</v>
      </c>
      <c r="L279" s="2105" t="str">
        <f t="shared" si="15"/>
        <v>Ataque Con Área1 metro de radio</v>
      </c>
      <c r="M279" s="237"/>
      <c r="N279" s="6103"/>
      <c r="O279" s="86" t="s">
        <v>9274</v>
      </c>
      <c r="P279" s="86"/>
      <c r="Q279" s="80"/>
      <c r="R279" s="80"/>
      <c r="S279" s="2105" t="str">
        <f t="shared" ref="S279:S299" si="17">O279&amp;P279</f>
        <v>&gt; SIN DEFENSA</v>
      </c>
      <c r="T279" s="237"/>
      <c r="U279" s="237"/>
      <c r="Z279" s="237"/>
    </row>
    <row r="280" spans="1:26" ht="12" customHeight="1" x14ac:dyDescent="0.2">
      <c r="A280" s="6077"/>
      <c r="B280" s="6097"/>
      <c r="C280" s="44" t="s">
        <v>9311</v>
      </c>
      <c r="D280" s="86" t="s">
        <v>3430</v>
      </c>
      <c r="E280" s="1209">
        <v>2</v>
      </c>
      <c r="F280" s="1210">
        <v>4</v>
      </c>
      <c r="G280" s="1209">
        <v>10</v>
      </c>
      <c r="H280" s="1209">
        <v>1</v>
      </c>
      <c r="I280" s="1209">
        <v>2</v>
      </c>
      <c r="J280" s="1209">
        <v>4</v>
      </c>
      <c r="K280" s="1209">
        <v>1</v>
      </c>
      <c r="L280" s="2105" t="str">
        <f t="shared" si="15"/>
        <v>Ataque Con Área5 metros de radio</v>
      </c>
      <c r="M280" s="237"/>
      <c r="N280" s="6103"/>
      <c r="O280" s="86" t="s">
        <v>3215</v>
      </c>
      <c r="P280" s="86"/>
      <c r="Q280" s="80">
        <v>-15</v>
      </c>
      <c r="R280" s="80">
        <v>1</v>
      </c>
      <c r="S280" s="2105" t="str">
        <f t="shared" si="17"/>
        <v>Sin Defensa</v>
      </c>
      <c r="T280" s="237"/>
      <c r="U280" s="237"/>
      <c r="Z280" s="237"/>
    </row>
    <row r="281" spans="1:26" ht="12" customHeight="1" x14ac:dyDescent="0.2">
      <c r="A281" s="6077"/>
      <c r="B281" s="6097"/>
      <c r="C281" s="44" t="s">
        <v>9311</v>
      </c>
      <c r="D281" s="86" t="s">
        <v>4315</v>
      </c>
      <c r="E281" s="1209">
        <v>3</v>
      </c>
      <c r="F281" s="1210">
        <v>5</v>
      </c>
      <c r="G281" s="1209">
        <v>15</v>
      </c>
      <c r="H281" s="1209">
        <v>2</v>
      </c>
      <c r="I281" s="1209">
        <v>4</v>
      </c>
      <c r="J281" s="1209">
        <v>7</v>
      </c>
      <c r="K281" s="1209">
        <v>1</v>
      </c>
      <c r="L281" s="2105" t="str">
        <f t="shared" si="15"/>
        <v>Ataque Con Área10 metros de radio</v>
      </c>
      <c r="M281" s="237"/>
      <c r="N281" s="6103"/>
      <c r="O281" s="86" t="s">
        <v>9276</v>
      </c>
      <c r="P281" s="86"/>
      <c r="Q281" s="80"/>
      <c r="R281" s="80"/>
      <c r="S281" s="2105" t="str">
        <f t="shared" si="17"/>
        <v>&gt; SOBRECARGA</v>
      </c>
      <c r="T281" s="237"/>
      <c r="U281" s="237"/>
      <c r="Z281" s="237"/>
    </row>
    <row r="282" spans="1:26" ht="12" customHeight="1" x14ac:dyDescent="0.2">
      <c r="A282" s="6077"/>
      <c r="B282" s="6097"/>
      <c r="C282" s="44" t="s">
        <v>9311</v>
      </c>
      <c r="D282" s="86" t="s">
        <v>3431</v>
      </c>
      <c r="E282" s="1209">
        <v>4</v>
      </c>
      <c r="F282" s="1210">
        <v>6</v>
      </c>
      <c r="G282" s="1209">
        <v>20</v>
      </c>
      <c r="H282" s="1209">
        <v>3</v>
      </c>
      <c r="I282" s="1209">
        <v>6</v>
      </c>
      <c r="J282" s="1209">
        <v>11</v>
      </c>
      <c r="K282" s="1209">
        <v>1</v>
      </c>
      <c r="L282" s="2105" t="str">
        <f t="shared" si="15"/>
        <v>Ataque Con Área25 metros de radio</v>
      </c>
      <c r="M282" s="237"/>
      <c r="N282" s="6103"/>
      <c r="O282" s="86" t="s">
        <v>3216</v>
      </c>
      <c r="P282" s="86" t="s">
        <v>9278</v>
      </c>
      <c r="Q282" s="80">
        <v>-5</v>
      </c>
      <c r="R282" s="80">
        <v>1</v>
      </c>
      <c r="S282" s="2105" t="str">
        <f t="shared" si="17"/>
        <v>SobrecargaEspera de 5 asaltos</v>
      </c>
      <c r="T282" s="237"/>
      <c r="U282" s="237"/>
      <c r="Z282" s="237"/>
    </row>
    <row r="283" spans="1:26" ht="12" customHeight="1" x14ac:dyDescent="0.2">
      <c r="A283" s="6077"/>
      <c r="B283" s="6097"/>
      <c r="C283" s="44" t="s">
        <v>9311</v>
      </c>
      <c r="D283" s="86" t="s">
        <v>3544</v>
      </c>
      <c r="E283" s="1209">
        <v>6</v>
      </c>
      <c r="F283" s="1210">
        <v>9</v>
      </c>
      <c r="G283" s="1209">
        <v>25</v>
      </c>
      <c r="H283" s="1209">
        <v>4</v>
      </c>
      <c r="I283" s="1209">
        <v>8</v>
      </c>
      <c r="J283" s="1209">
        <v>14</v>
      </c>
      <c r="K283" s="1209">
        <v>2</v>
      </c>
      <c r="L283" s="2105" t="str">
        <f t="shared" si="15"/>
        <v>Ataque Con Área50 metros de radio</v>
      </c>
      <c r="M283" s="237"/>
      <c r="N283" s="6103"/>
      <c r="O283" s="86" t="s">
        <v>3216</v>
      </c>
      <c r="P283" s="86" t="s">
        <v>9280</v>
      </c>
      <c r="Q283" s="80">
        <v>-10</v>
      </c>
      <c r="R283" s="80">
        <v>1</v>
      </c>
      <c r="S283" s="2105" t="str">
        <f t="shared" si="17"/>
        <v>SobrecargaEspera de 20 asaltos</v>
      </c>
      <c r="T283" s="237"/>
      <c r="U283" s="237"/>
      <c r="Z283" s="237"/>
    </row>
    <row r="284" spans="1:26" ht="12" customHeight="1" x14ac:dyDescent="0.2">
      <c r="A284" s="6077"/>
      <c r="B284" s="6097"/>
      <c r="C284" s="44" t="s">
        <v>9311</v>
      </c>
      <c r="D284" s="86" t="s">
        <v>3432</v>
      </c>
      <c r="E284" s="1209">
        <v>8</v>
      </c>
      <c r="F284" s="1210">
        <v>11</v>
      </c>
      <c r="G284" s="1209">
        <v>30</v>
      </c>
      <c r="H284" s="1209">
        <v>5</v>
      </c>
      <c r="I284" s="1209">
        <v>10</v>
      </c>
      <c r="J284" s="1209">
        <v>18</v>
      </c>
      <c r="K284" s="1209">
        <v>2</v>
      </c>
      <c r="L284" s="2105" t="str">
        <f t="shared" si="15"/>
        <v>Ataque Con Área100 metros de radio</v>
      </c>
      <c r="M284" s="237"/>
      <c r="N284" s="6103"/>
      <c r="O284" s="86" t="s">
        <v>9282</v>
      </c>
      <c r="P284" s="86"/>
      <c r="Q284" s="80"/>
      <c r="R284" s="80"/>
      <c r="S284" s="2105" t="str">
        <f t="shared" si="17"/>
        <v>&gt; TÉCNICA MANTENIDA</v>
      </c>
      <c r="T284" s="237"/>
      <c r="U284" s="237"/>
      <c r="Z284" s="237"/>
    </row>
    <row r="285" spans="1:26" ht="12" customHeight="1" x14ac:dyDescent="0.2">
      <c r="A285" s="6077"/>
      <c r="B285" s="6097"/>
      <c r="C285" s="44" t="s">
        <v>9311</v>
      </c>
      <c r="D285" s="86" t="s">
        <v>3433</v>
      </c>
      <c r="E285" s="1209">
        <v>10</v>
      </c>
      <c r="F285" s="1210">
        <v>13</v>
      </c>
      <c r="G285" s="1209">
        <v>40</v>
      </c>
      <c r="H285" s="1209">
        <v>6</v>
      </c>
      <c r="I285" s="1209">
        <v>12</v>
      </c>
      <c r="J285" s="1209">
        <v>21</v>
      </c>
      <c r="K285" s="1209">
        <v>2</v>
      </c>
      <c r="L285" s="2105" t="str">
        <f t="shared" si="15"/>
        <v>Ataque Con Área500 metros de radio</v>
      </c>
      <c r="M285" s="237"/>
      <c r="N285" s="6103"/>
      <c r="O285" s="86" t="s">
        <v>9194</v>
      </c>
      <c r="P285" s="86" t="s">
        <v>9284</v>
      </c>
      <c r="Q285" s="80">
        <v>-5</v>
      </c>
      <c r="R285" s="80">
        <v>1</v>
      </c>
      <c r="S285" s="2105" t="str">
        <f t="shared" si="17"/>
        <v>Técnica MantenidaNv 1</v>
      </c>
      <c r="T285" s="237"/>
      <c r="U285" s="237"/>
      <c r="Z285" s="237"/>
    </row>
    <row r="286" spans="1:26" ht="12" customHeight="1" x14ac:dyDescent="0.2">
      <c r="A286" s="6077"/>
      <c r="B286" s="6097"/>
      <c r="C286" s="44" t="s">
        <v>9311</v>
      </c>
      <c r="D286" s="86" t="s">
        <v>3545</v>
      </c>
      <c r="E286" s="1209">
        <v>12</v>
      </c>
      <c r="F286" s="1210">
        <v>15</v>
      </c>
      <c r="G286" s="1209">
        <v>50</v>
      </c>
      <c r="H286" s="1209">
        <v>8</v>
      </c>
      <c r="I286" s="1209">
        <v>16</v>
      </c>
      <c r="J286" s="1209">
        <v>28</v>
      </c>
      <c r="K286" s="1209">
        <v>3</v>
      </c>
      <c r="L286" s="2105" t="str">
        <f t="shared" si="15"/>
        <v>Ataque Con Área1 kilómetro de radio</v>
      </c>
      <c r="M286" s="237"/>
      <c r="N286" s="6103"/>
      <c r="O286" s="86" t="s">
        <v>9194</v>
      </c>
      <c r="P286" s="86" t="s">
        <v>9286</v>
      </c>
      <c r="Q286" s="80">
        <v>-10</v>
      </c>
      <c r="R286" s="80">
        <v>2</v>
      </c>
      <c r="S286" s="2105" t="str">
        <f t="shared" si="17"/>
        <v>Técnica MantenidaNv 2</v>
      </c>
      <c r="T286" s="237"/>
      <c r="U286" s="237"/>
      <c r="Z286" s="237"/>
    </row>
    <row r="287" spans="1:26" ht="12" customHeight="1" x14ac:dyDescent="0.2">
      <c r="A287" s="6077"/>
      <c r="B287" s="6097"/>
      <c r="C287" s="44" t="s">
        <v>9311</v>
      </c>
      <c r="D287" s="86" t="s">
        <v>9313</v>
      </c>
      <c r="E287" s="1209">
        <v>16</v>
      </c>
      <c r="F287" s="1210">
        <v>20</v>
      </c>
      <c r="G287" s="1209">
        <v>60</v>
      </c>
      <c r="H287" s="1209">
        <v>10</v>
      </c>
      <c r="I287" s="1209">
        <v>20</v>
      </c>
      <c r="J287" s="1209">
        <v>35</v>
      </c>
      <c r="K287" s="1209">
        <v>3</v>
      </c>
      <c r="L287" s="2105" t="str">
        <f t="shared" si="15"/>
        <v>Ataque Con Área5 kilómetros de radio</v>
      </c>
      <c r="M287" s="237"/>
      <c r="N287" s="6103"/>
      <c r="O287" s="86" t="s">
        <v>9194</v>
      </c>
      <c r="P287" s="86" t="s">
        <v>9287</v>
      </c>
      <c r="Q287" s="80">
        <v>-15</v>
      </c>
      <c r="R287" s="80">
        <v>3</v>
      </c>
      <c r="S287" s="2105" t="str">
        <f t="shared" si="17"/>
        <v>Técnica MantenidaNv 3</v>
      </c>
      <c r="T287" s="237"/>
      <c r="U287" s="237"/>
      <c r="Z287" s="237"/>
    </row>
    <row r="288" spans="1:26" ht="12" customHeight="1" x14ac:dyDescent="0.2">
      <c r="A288" s="6077"/>
      <c r="B288" s="6097"/>
      <c r="C288" s="44" t="s">
        <v>9311</v>
      </c>
      <c r="D288" s="86" t="s">
        <v>3173</v>
      </c>
      <c r="E288" s="1209">
        <v>2</v>
      </c>
      <c r="F288" s="1210">
        <v>2</v>
      </c>
      <c r="G288" s="1209">
        <v>10</v>
      </c>
      <c r="H288" s="1209">
        <v>1</v>
      </c>
      <c r="I288" s="1209">
        <v>2</v>
      </c>
      <c r="J288" s="1209">
        <v>4</v>
      </c>
      <c r="K288" s="1209"/>
      <c r="L288" s="2105" t="str">
        <f t="shared" si="15"/>
        <v>Ataque Con ÁreaElección de Blanco</v>
      </c>
      <c r="M288" s="237"/>
      <c r="N288" s="6103"/>
      <c r="O288" s="86" t="s">
        <v>9288</v>
      </c>
      <c r="P288" s="86"/>
      <c r="Q288" s="80"/>
      <c r="R288" s="80"/>
      <c r="S288" s="2105" t="str">
        <f t="shared" si="17"/>
        <v>&gt; USOS LIMITADOS</v>
      </c>
      <c r="T288" s="237"/>
      <c r="U288" s="237"/>
      <c r="Z288" s="237"/>
    </row>
    <row r="289" spans="1:26" ht="12" customHeight="1" x14ac:dyDescent="0.2">
      <c r="A289" s="6077"/>
      <c r="B289" s="6097"/>
      <c r="C289" s="44" t="s">
        <v>9314</v>
      </c>
      <c r="D289" s="86"/>
      <c r="E289" s="1209"/>
      <c r="F289" s="1210"/>
      <c r="G289" s="1209"/>
      <c r="H289" s="1209"/>
      <c r="I289" s="1209"/>
      <c r="J289" s="1209"/>
      <c r="K289" s="1209"/>
      <c r="L289" s="2105" t="str">
        <f t="shared" si="15"/>
        <v>&gt; ATAQUE CON ÁREA REAL</v>
      </c>
      <c r="M289" s="237"/>
      <c r="N289" s="6103"/>
      <c r="O289" s="86" t="s">
        <v>9195</v>
      </c>
      <c r="P289" s="86" t="s">
        <v>9289</v>
      </c>
      <c r="Q289" s="80">
        <v>-10</v>
      </c>
      <c r="R289" s="80">
        <v>1</v>
      </c>
      <c r="S289" s="2105" t="str">
        <f t="shared" si="17"/>
        <v>Usos Limitados20 Usos</v>
      </c>
      <c r="T289" s="237"/>
      <c r="U289" s="237"/>
      <c r="Z289" s="237"/>
    </row>
    <row r="290" spans="1:26" ht="12" customHeight="1" x14ac:dyDescent="0.2">
      <c r="A290" s="6077"/>
      <c r="B290" s="6097"/>
      <c r="C290" s="44" t="s">
        <v>9315</v>
      </c>
      <c r="D290" s="86" t="s">
        <v>9312</v>
      </c>
      <c r="E290" s="1209">
        <v>2</v>
      </c>
      <c r="F290" s="1210">
        <v>4</v>
      </c>
      <c r="G290" s="1209">
        <v>10</v>
      </c>
      <c r="H290" s="1209">
        <v>2</v>
      </c>
      <c r="I290" s="1209">
        <v>4</v>
      </c>
      <c r="J290" s="1209">
        <v>4</v>
      </c>
      <c r="K290" s="1209">
        <v>1</v>
      </c>
      <c r="L290" s="2105" t="str">
        <f t="shared" si="15"/>
        <v>Ataque Con Área Real1 metro de radio</v>
      </c>
      <c r="M290" s="237"/>
      <c r="N290" s="6103"/>
      <c r="O290" s="86" t="s">
        <v>9195</v>
      </c>
      <c r="P290" s="86" t="s">
        <v>9290</v>
      </c>
      <c r="Q290" s="80">
        <v>-20</v>
      </c>
      <c r="R290" s="80">
        <v>1</v>
      </c>
      <c r="S290" s="2105" t="str">
        <f t="shared" si="17"/>
        <v>Usos Limitados10 Usos</v>
      </c>
      <c r="T290" s="237"/>
      <c r="U290" s="237"/>
      <c r="Z290" s="237"/>
    </row>
    <row r="291" spans="1:26" ht="12" customHeight="1" x14ac:dyDescent="0.2">
      <c r="A291" s="6077"/>
      <c r="B291" s="6097"/>
      <c r="C291" s="44" t="s">
        <v>9315</v>
      </c>
      <c r="D291" s="86" t="s">
        <v>3430</v>
      </c>
      <c r="E291" s="1209">
        <v>4</v>
      </c>
      <c r="F291" s="1210">
        <v>6</v>
      </c>
      <c r="G291" s="1209">
        <v>15</v>
      </c>
      <c r="H291" s="1209">
        <v>3</v>
      </c>
      <c r="I291" s="1209">
        <v>6</v>
      </c>
      <c r="J291" s="1209">
        <v>6</v>
      </c>
      <c r="K291" s="1209">
        <v>1</v>
      </c>
      <c r="L291" s="2105" t="str">
        <f t="shared" si="15"/>
        <v>Ataque Con Área Real5 metros de radio</v>
      </c>
      <c r="M291" s="237"/>
      <c r="N291" s="6103"/>
      <c r="O291" s="86" t="s">
        <v>9195</v>
      </c>
      <c r="P291" s="86" t="s">
        <v>9291</v>
      </c>
      <c r="Q291" s="80">
        <v>-25</v>
      </c>
      <c r="R291" s="80">
        <v>2</v>
      </c>
      <c r="S291" s="2105" t="str">
        <f t="shared" si="17"/>
        <v>Usos Limitados5 Usos</v>
      </c>
      <c r="T291" s="237"/>
      <c r="U291" s="237"/>
      <c r="Z291" s="237"/>
    </row>
    <row r="292" spans="1:26" ht="12" customHeight="1" x14ac:dyDescent="0.2">
      <c r="A292" s="6077"/>
      <c r="B292" s="6097"/>
      <c r="C292" s="44" t="s">
        <v>9315</v>
      </c>
      <c r="D292" s="86" t="s">
        <v>4315</v>
      </c>
      <c r="E292" s="1209">
        <v>6</v>
      </c>
      <c r="F292" s="1210">
        <v>9</v>
      </c>
      <c r="G292" s="1209">
        <v>20</v>
      </c>
      <c r="H292" s="1209">
        <v>4</v>
      </c>
      <c r="I292" s="1209">
        <v>8</v>
      </c>
      <c r="J292" s="1209">
        <v>8</v>
      </c>
      <c r="K292" s="1209">
        <v>1</v>
      </c>
      <c r="L292" s="2105" t="str">
        <f t="shared" si="15"/>
        <v>Ataque Con Área Real10 metros de radio</v>
      </c>
      <c r="M292" s="237"/>
      <c r="N292" s="6103"/>
      <c r="O292" s="86" t="s">
        <v>9195</v>
      </c>
      <c r="P292" s="86" t="s">
        <v>9292</v>
      </c>
      <c r="Q292" s="80">
        <v>-30</v>
      </c>
      <c r="R292" s="80">
        <v>2</v>
      </c>
      <c r="S292" s="2105" t="str">
        <f t="shared" si="17"/>
        <v>Usos Limitados3 Usos</v>
      </c>
      <c r="T292" s="237"/>
      <c r="U292" s="237"/>
      <c r="Z292" s="237"/>
    </row>
    <row r="293" spans="1:26" ht="12" customHeight="1" x14ac:dyDescent="0.2">
      <c r="A293" s="6077"/>
      <c r="B293" s="6097"/>
      <c r="C293" s="44" t="s">
        <v>9315</v>
      </c>
      <c r="D293" s="86" t="s">
        <v>3431</v>
      </c>
      <c r="E293" s="1209">
        <v>8</v>
      </c>
      <c r="F293" s="1210">
        <v>11</v>
      </c>
      <c r="G293" s="1209">
        <v>30</v>
      </c>
      <c r="H293" s="1209">
        <v>5</v>
      </c>
      <c r="I293" s="1209">
        <v>10</v>
      </c>
      <c r="J293" s="1209">
        <v>10</v>
      </c>
      <c r="K293" s="1209">
        <v>2</v>
      </c>
      <c r="L293" s="2105" t="str">
        <f t="shared" si="15"/>
        <v>Ataque Con Área Real25 metros de radio</v>
      </c>
      <c r="M293" s="237"/>
      <c r="N293" s="6103"/>
      <c r="O293" s="86" t="s">
        <v>9195</v>
      </c>
      <c r="P293" s="86" t="s">
        <v>9294</v>
      </c>
      <c r="Q293" s="80">
        <v>-40</v>
      </c>
      <c r="R293" s="80">
        <v>3</v>
      </c>
      <c r="S293" s="2105" t="str">
        <f t="shared" si="17"/>
        <v>Usos Limitados1 Uso</v>
      </c>
      <c r="T293" s="237"/>
      <c r="U293" s="237"/>
      <c r="Z293" s="237"/>
    </row>
    <row r="294" spans="1:26" ht="12" customHeight="1" x14ac:dyDescent="0.2">
      <c r="A294" s="6077"/>
      <c r="B294" s="6097"/>
      <c r="C294" s="44" t="s">
        <v>9315</v>
      </c>
      <c r="D294" s="86" t="s">
        <v>3544</v>
      </c>
      <c r="E294" s="1209">
        <v>12</v>
      </c>
      <c r="F294" s="1210">
        <v>15</v>
      </c>
      <c r="G294" s="1209">
        <v>45</v>
      </c>
      <c r="H294" s="1209">
        <v>6</v>
      </c>
      <c r="I294" s="1209">
        <v>12</v>
      </c>
      <c r="J294" s="1209">
        <v>12</v>
      </c>
      <c r="K294" s="1209">
        <v>2</v>
      </c>
      <c r="L294" s="2105" t="str">
        <f t="shared" si="15"/>
        <v>Ataque Con Área Real50 metros de radio</v>
      </c>
      <c r="M294" s="237"/>
      <c r="N294" s="6103"/>
      <c r="O294" s="86" t="str">
        <f>"&gt; "&amp;UPPER($V$223)</f>
        <v>&gt; DESVENTAJA PERSONALIZADA #1</v>
      </c>
      <c r="P294" s="86"/>
      <c r="Q294" s="80"/>
      <c r="R294" s="80"/>
      <c r="S294" s="2105" t="str">
        <f t="shared" si="17"/>
        <v>&gt; DESVENTAJA PERSONALIZADA #1</v>
      </c>
      <c r="Z294" s="237"/>
    </row>
    <row r="295" spans="1:26" ht="12" customHeight="1" x14ac:dyDescent="0.2">
      <c r="A295" s="6077"/>
      <c r="B295" s="6097"/>
      <c r="C295" s="44" t="s">
        <v>9315</v>
      </c>
      <c r="D295" s="86" t="s">
        <v>3432</v>
      </c>
      <c r="E295" s="1209">
        <v>16</v>
      </c>
      <c r="F295" s="1210">
        <v>20</v>
      </c>
      <c r="G295" s="1209">
        <v>65</v>
      </c>
      <c r="H295" s="1209">
        <v>8</v>
      </c>
      <c r="I295" s="1209">
        <v>16</v>
      </c>
      <c r="J295" s="1209">
        <v>16</v>
      </c>
      <c r="K295" s="1209">
        <v>3</v>
      </c>
      <c r="L295" s="2105" t="str">
        <f t="shared" si="15"/>
        <v>Ataque Con Área Real100 metros de radio</v>
      </c>
      <c r="M295" s="237"/>
      <c r="N295" s="6103"/>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77"/>
      <c r="B296" s="6097"/>
      <c r="C296" s="44" t="s">
        <v>9315</v>
      </c>
      <c r="D296" s="86" t="s">
        <v>3173</v>
      </c>
      <c r="E296" s="1209">
        <v>2</v>
      </c>
      <c r="F296" s="1210">
        <v>2</v>
      </c>
      <c r="G296" s="1209">
        <v>10</v>
      </c>
      <c r="H296" s="1209">
        <v>1</v>
      </c>
      <c r="I296" s="1209">
        <v>2</v>
      </c>
      <c r="J296" s="1209">
        <v>4</v>
      </c>
      <c r="K296" s="1209"/>
      <c r="L296" s="2105" t="str">
        <f t="shared" si="15"/>
        <v>Ataque Con Área RealElección de Blanco</v>
      </c>
      <c r="M296" s="237"/>
      <c r="N296" s="6103"/>
      <c r="O296" s="86" t="str">
        <f>"&gt; "&amp;UPPER($V$224)</f>
        <v>&gt; DESVENTAJA PERSONALIZADA #2</v>
      </c>
      <c r="P296" s="86"/>
      <c r="Q296" s="80"/>
      <c r="R296" s="80"/>
      <c r="S296" s="2105" t="str">
        <f t="shared" si="17"/>
        <v>&gt; DESVENTAJA PERSONALIZADA #2</v>
      </c>
      <c r="Z296" s="237"/>
    </row>
    <row r="297" spans="1:26" ht="12" customHeight="1" x14ac:dyDescent="0.2">
      <c r="A297" s="6077"/>
      <c r="B297" s="6097"/>
      <c r="C297" s="44" t="s">
        <v>9316</v>
      </c>
      <c r="D297" s="86"/>
      <c r="E297" s="1209"/>
      <c r="F297" s="1210"/>
      <c r="G297" s="1209"/>
      <c r="H297" s="1209"/>
      <c r="I297" s="1209"/>
      <c r="J297" s="1209"/>
      <c r="K297" s="1209"/>
      <c r="L297" s="2105" t="str">
        <f t="shared" si="15"/>
        <v>&gt; PARADA EN ÁREA</v>
      </c>
      <c r="M297" s="237"/>
      <c r="N297" s="6103"/>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77"/>
      <c r="B298" s="6097"/>
      <c r="C298" s="44" t="s">
        <v>9317</v>
      </c>
      <c r="D298" s="86" t="s">
        <v>9312</v>
      </c>
      <c r="E298" s="1209">
        <v>1</v>
      </c>
      <c r="F298" s="1210">
        <v>2</v>
      </c>
      <c r="G298" s="1209">
        <v>5</v>
      </c>
      <c r="H298" s="1209">
        <v>1</v>
      </c>
      <c r="I298" s="1209">
        <v>2</v>
      </c>
      <c r="J298" s="1209">
        <v>4</v>
      </c>
      <c r="K298" s="1209">
        <v>1</v>
      </c>
      <c r="L298" s="2105" t="str">
        <f t="shared" si="15"/>
        <v>Parada En Área1 metro de radio</v>
      </c>
      <c r="M298" s="237"/>
      <c r="N298" s="6103"/>
      <c r="O298" s="86" t="str">
        <f>"&gt; "&amp;UPPER($V$225)</f>
        <v>&gt; DESVENTAJA PERSONALIZADA #3</v>
      </c>
      <c r="P298" s="86"/>
      <c r="Q298" s="80"/>
      <c r="R298" s="80"/>
      <c r="S298" s="2105" t="str">
        <f t="shared" si="17"/>
        <v>&gt; DESVENTAJA PERSONALIZADA #3</v>
      </c>
      <c r="Z298" s="237"/>
    </row>
    <row r="299" spans="1:26" ht="12" customHeight="1" thickBot="1" x14ac:dyDescent="0.25">
      <c r="A299" s="6077"/>
      <c r="B299" s="6097"/>
      <c r="C299" s="44" t="s">
        <v>9317</v>
      </c>
      <c r="D299" s="86" t="s">
        <v>3430</v>
      </c>
      <c r="E299" s="1209">
        <v>2</v>
      </c>
      <c r="F299" s="1210">
        <v>4</v>
      </c>
      <c r="G299" s="1209">
        <v>5</v>
      </c>
      <c r="H299" s="1209">
        <v>2</v>
      </c>
      <c r="I299" s="1209">
        <v>4</v>
      </c>
      <c r="J299" s="1209">
        <v>7</v>
      </c>
      <c r="K299" s="1209">
        <v>1</v>
      </c>
      <c r="L299" s="2105" t="str">
        <f t="shared" si="15"/>
        <v>Parada En Área5 metros de radio</v>
      </c>
      <c r="M299" s="237"/>
      <c r="N299" s="6104"/>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77"/>
      <c r="B300" s="6097"/>
      <c r="C300" s="44" t="s">
        <v>9317</v>
      </c>
      <c r="D300" s="86" t="s">
        <v>4315</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77"/>
      <c r="B301" s="6097"/>
      <c r="C301" s="44" t="s">
        <v>9317</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77"/>
      <c r="B302" s="6097"/>
      <c r="C302" s="44" t="s">
        <v>9317</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77"/>
      <c r="B303" s="6097"/>
      <c r="C303" s="44" t="s">
        <v>9317</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77"/>
      <c r="B304" s="6097"/>
      <c r="C304" s="44" t="s">
        <v>9317</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77"/>
      <c r="B305" s="6097"/>
      <c r="C305" s="44" t="s">
        <v>9317</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77"/>
      <c r="B306" s="6097"/>
      <c r="C306" s="44" t="s">
        <v>9318</v>
      </c>
      <c r="D306" s="86"/>
      <c r="E306" s="1209"/>
      <c r="F306" s="1210"/>
      <c r="G306" s="1209"/>
      <c r="H306" s="1209"/>
      <c r="I306" s="1209"/>
      <c r="J306" s="1209"/>
      <c r="K306" s="1209"/>
      <c r="L306" s="2105" t="str">
        <f t="shared" si="15"/>
        <v>&gt; TRANSPORTE AUTOMÁTICO</v>
      </c>
      <c r="M306" s="237"/>
      <c r="Z306" s="237"/>
    </row>
    <row r="307" spans="1:26" ht="12" customHeight="1" x14ac:dyDescent="0.2">
      <c r="A307" s="6077"/>
      <c r="B307" s="6097"/>
      <c r="C307" s="44" t="s">
        <v>9112</v>
      </c>
      <c r="D307" s="86" t="s">
        <v>9306</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77"/>
      <c r="B308" s="6097"/>
      <c r="C308" s="44" t="s">
        <v>9112</v>
      </c>
      <c r="D308" s="86" t="s">
        <v>9017</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77"/>
      <c r="B309" s="6097"/>
      <c r="C309" s="44" t="s">
        <v>9112</v>
      </c>
      <c r="D309" s="86" t="s">
        <v>4931</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77"/>
      <c r="B310" s="6097"/>
      <c r="C310" s="44" t="s">
        <v>9112</v>
      </c>
      <c r="D310" s="86" t="s">
        <v>4967</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77"/>
      <c r="B311" s="6097"/>
      <c r="C311" s="44" t="s">
        <v>9112</v>
      </c>
      <c r="D311" s="86" t="s">
        <v>5399</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77"/>
      <c r="B312" s="6097"/>
      <c r="C312" s="44" t="s">
        <v>9112</v>
      </c>
      <c r="D312" s="86" t="s">
        <v>5283</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77"/>
      <c r="B313" s="6097"/>
      <c r="C313" s="44" t="s">
        <v>9112</v>
      </c>
      <c r="D313" s="86" t="s">
        <v>5284</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77"/>
      <c r="B314" s="6097"/>
      <c r="C314" s="44" t="s">
        <v>9112</v>
      </c>
      <c r="D314" s="86" t="s">
        <v>9307</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77"/>
      <c r="B315" s="6097"/>
      <c r="C315" s="44" t="s">
        <v>9112</v>
      </c>
      <c r="D315" s="86" t="s">
        <v>5334</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77"/>
      <c r="B316" s="6097"/>
      <c r="C316" s="44" t="s">
        <v>9112</v>
      </c>
      <c r="D316" s="86" t="s">
        <v>5335</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77"/>
      <c r="B317" s="6097"/>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77"/>
      <c r="B318" s="6097"/>
      <c r="C318" s="44" t="s">
        <v>9319</v>
      </c>
      <c r="D318" s="86"/>
      <c r="E318" s="1209"/>
      <c r="F318" s="1210"/>
      <c r="G318" s="1209"/>
      <c r="H318" s="1209"/>
      <c r="I318" s="1209"/>
      <c r="J318" s="1209"/>
      <c r="K318" s="1209"/>
      <c r="L318" s="2105" t="str">
        <f t="shared" si="15"/>
        <v>&gt; AUMENTAR ROTURA</v>
      </c>
      <c r="M318" s="237"/>
      <c r="Z318" s="237"/>
    </row>
    <row r="319" spans="1:26" ht="12" customHeight="1" x14ac:dyDescent="0.2">
      <c r="A319" s="6077"/>
      <c r="B319" s="6097"/>
      <c r="C319" s="44" t="s">
        <v>9114</v>
      </c>
      <c r="D319" s="86" t="s">
        <v>7065</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77"/>
      <c r="B320" s="6097"/>
      <c r="C320" s="44" t="s">
        <v>9114</v>
      </c>
      <c r="D320" s="86" t="s">
        <v>7682</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77"/>
      <c r="B321" s="6097"/>
      <c r="C321" s="44" t="s">
        <v>9114</v>
      </c>
      <c r="D321" s="86" t="s">
        <v>7825</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77"/>
      <c r="B322" s="6097"/>
      <c r="C322" s="44" t="s">
        <v>9114</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77"/>
      <c r="B323" s="6097"/>
      <c r="C323" s="44" t="s">
        <v>9114</v>
      </c>
      <c r="D323" s="86" t="s">
        <v>7826</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77"/>
      <c r="B324" s="6097"/>
      <c r="C324" s="44" t="s">
        <v>9114</v>
      </c>
      <c r="D324" s="86" t="s">
        <v>7683</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77"/>
      <c r="B325" s="6097"/>
      <c r="C325" s="44" t="s">
        <v>9114</v>
      </c>
      <c r="D325" s="86" t="s">
        <v>9320</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77"/>
      <c r="B326" s="6097"/>
      <c r="C326" s="44" t="s">
        <v>9114</v>
      </c>
      <c r="D326" s="86" t="s">
        <v>7684</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77"/>
      <c r="B327" s="6097"/>
      <c r="C327" s="44" t="s">
        <v>9321</v>
      </c>
      <c r="D327" s="86"/>
      <c r="E327" s="1209"/>
      <c r="F327" s="1210"/>
      <c r="G327" s="1209"/>
      <c r="H327" s="1209"/>
      <c r="I327" s="1209"/>
      <c r="J327" s="1209"/>
      <c r="K327" s="1209"/>
      <c r="L327" s="2105" t="str">
        <f t="shared" si="15"/>
        <v>&gt; AUMENTAR ENTEREZA</v>
      </c>
      <c r="M327" s="237"/>
      <c r="Z327" s="237"/>
    </row>
    <row r="328" spans="1:26" ht="12" customHeight="1" x14ac:dyDescent="0.2">
      <c r="A328" s="6077"/>
      <c r="B328" s="6097"/>
      <c r="C328" s="44" t="s">
        <v>9116</v>
      </c>
      <c r="D328" s="86" t="s">
        <v>7682</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77"/>
      <c r="B329" s="6097"/>
      <c r="C329" s="44" t="s">
        <v>9116</v>
      </c>
      <c r="D329" s="86" t="s">
        <v>7825</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77"/>
      <c r="B330" s="6097"/>
      <c r="C330" s="44" t="s">
        <v>9116</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77"/>
      <c r="B331" s="6097"/>
      <c r="C331" s="44" t="s">
        <v>9116</v>
      </c>
      <c r="D331" s="86" t="s">
        <v>7826</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77"/>
      <c r="B332" s="6097"/>
      <c r="C332" s="44" t="s">
        <v>9116</v>
      </c>
      <c r="D332" s="86" t="s">
        <v>7683</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77"/>
      <c r="B333" s="6097"/>
      <c r="C333" s="44" t="s">
        <v>9116</v>
      </c>
      <c r="D333" s="86" t="s">
        <v>9320</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77"/>
      <c r="B334" s="6097"/>
      <c r="C334" s="44" t="s">
        <v>9116</v>
      </c>
      <c r="D334" s="86" t="s">
        <v>7684</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77"/>
      <c r="B335" s="6097"/>
      <c r="C335" s="44" t="s">
        <v>9322</v>
      </c>
      <c r="D335" s="86"/>
      <c r="E335" s="1209"/>
      <c r="F335" s="1210"/>
      <c r="G335" s="1209"/>
      <c r="H335" s="1209"/>
      <c r="I335" s="1209"/>
      <c r="J335" s="1209"/>
      <c r="K335" s="1209"/>
      <c r="L335" s="2105" t="str">
        <f t="shared" si="18"/>
        <v>&gt; DESTRUIR ARMADURA</v>
      </c>
      <c r="M335" s="237"/>
      <c r="Z335" s="237"/>
    </row>
    <row r="336" spans="1:26" ht="12" customHeight="1" x14ac:dyDescent="0.2">
      <c r="A336" s="6077"/>
      <c r="B336" s="6097"/>
      <c r="C336" s="44" t="s">
        <v>9119</v>
      </c>
      <c r="D336" s="86" t="s">
        <v>9323</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77"/>
      <c r="B337" s="6097"/>
      <c r="C337" s="44" t="s">
        <v>9119</v>
      </c>
      <c r="D337" s="86" t="s">
        <v>9324</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77"/>
      <c r="B338" s="6097"/>
      <c r="C338" s="44" t="s">
        <v>9119</v>
      </c>
      <c r="D338" s="86" t="s">
        <v>9325</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77"/>
      <c r="B339" s="6097"/>
      <c r="C339" s="44" t="s">
        <v>9119</v>
      </c>
      <c r="D339" s="86" t="s">
        <v>9326</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77"/>
      <c r="B340" s="6097"/>
      <c r="C340" s="44" t="s">
        <v>9119</v>
      </c>
      <c r="D340" s="86" t="s">
        <v>9327</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77"/>
      <c r="B341" s="6097"/>
      <c r="C341" s="44" t="s">
        <v>9119</v>
      </c>
      <c r="D341" s="86" t="s">
        <v>9328</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77"/>
      <c r="B342" s="6097"/>
      <c r="C342" s="44" t="s">
        <v>9119</v>
      </c>
      <c r="D342" s="86" t="s">
        <v>9329</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77"/>
      <c r="B343" s="6097"/>
      <c r="C343" s="44" t="s">
        <v>9119</v>
      </c>
      <c r="D343" s="86" t="s">
        <v>9330</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77"/>
      <c r="B344" s="6097"/>
      <c r="C344" s="44" t="s">
        <v>9119</v>
      </c>
      <c r="D344" s="86" t="s">
        <v>9331</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77"/>
      <c r="B345" s="6097"/>
      <c r="C345" s="44" t="s">
        <v>9332</v>
      </c>
      <c r="D345" s="86"/>
      <c r="E345" s="1209"/>
      <c r="F345" s="1210"/>
      <c r="G345" s="1209"/>
      <c r="H345" s="1209"/>
      <c r="I345" s="1209"/>
      <c r="J345" s="1209"/>
      <c r="K345" s="1209"/>
      <c r="L345" s="2105" t="str">
        <f t="shared" si="18"/>
        <v>&gt; ARMADURA</v>
      </c>
      <c r="M345" s="237"/>
      <c r="Z345" s="237"/>
    </row>
    <row r="346" spans="1:26" ht="12" customHeight="1" x14ac:dyDescent="0.2">
      <c r="A346" s="6077"/>
      <c r="B346" s="6097"/>
      <c r="C346" s="44" t="s">
        <v>1552</v>
      </c>
      <c r="D346" s="86" t="s">
        <v>5866</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77"/>
      <c r="B347" s="6097"/>
      <c r="C347" s="44" t="s">
        <v>1552</v>
      </c>
      <c r="D347" s="86" t="s">
        <v>4347</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77"/>
      <c r="B348" s="6097"/>
      <c r="C348" s="44" t="s">
        <v>1552</v>
      </c>
      <c r="D348" s="86" t="s">
        <v>7735</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77"/>
      <c r="B349" s="6097"/>
      <c r="C349" s="44" t="s">
        <v>1552</v>
      </c>
      <c r="D349" s="86" t="s">
        <v>4348</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77"/>
      <c r="B350" s="6097"/>
      <c r="C350" s="44" t="s">
        <v>1552</v>
      </c>
      <c r="D350" s="86" t="s">
        <v>7736</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77"/>
      <c r="B351" s="6097"/>
      <c r="C351" s="44" t="s">
        <v>1552</v>
      </c>
      <c r="D351" s="86" t="s">
        <v>4349</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77"/>
      <c r="B352" s="6097"/>
      <c r="C352" s="44" t="s">
        <v>1552</v>
      </c>
      <c r="D352" s="86" t="s">
        <v>7737</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77"/>
      <c r="B353" s="6097"/>
      <c r="C353" s="44" t="s">
        <v>1552</v>
      </c>
      <c r="D353" s="86" t="s">
        <v>4350</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77"/>
      <c r="B354" s="6097"/>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77"/>
      <c r="B355" s="6097"/>
      <c r="C355" s="44" t="s">
        <v>1552</v>
      </c>
      <c r="D355" s="86" t="s">
        <v>9333</v>
      </c>
      <c r="E355" s="1209">
        <v>-1</v>
      </c>
      <c r="F355" s="1210">
        <v>-1</v>
      </c>
      <c r="G355" s="1209">
        <v>-5</v>
      </c>
      <c r="H355" s="1209"/>
      <c r="I355" s="1209"/>
      <c r="J355" s="1209"/>
      <c r="K355" s="1209"/>
      <c r="L355" s="2105" t="str">
        <f t="shared" si="18"/>
        <v>ArmaduraFísica</v>
      </c>
      <c r="M355" s="237"/>
      <c r="Z355" s="237"/>
    </row>
    <row r="356" spans="1:26" ht="12" customHeight="1" x14ac:dyDescent="0.2">
      <c r="A356" s="6077"/>
      <c r="B356" s="6097"/>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77"/>
      <c r="B357" s="6097"/>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77"/>
      <c r="B358" s="6097"/>
      <c r="C358" s="44" t="s">
        <v>9334</v>
      </c>
      <c r="D358" s="86"/>
      <c r="E358" s="1209"/>
      <c r="F358" s="1210"/>
      <c r="G358" s="1209"/>
      <c r="H358" s="1209"/>
      <c r="I358" s="1209"/>
      <c r="J358" s="1209"/>
      <c r="K358" s="1209"/>
      <c r="L358" s="2105" t="str">
        <f t="shared" si="18"/>
        <v>&gt; INCREMENTO DE MOVIMIENTO</v>
      </c>
      <c r="M358" s="237"/>
      <c r="Z358" s="237"/>
    </row>
    <row r="359" spans="1:26" ht="12" customHeight="1" x14ac:dyDescent="0.2">
      <c r="A359" s="6077"/>
      <c r="B359" s="6097"/>
      <c r="C359" s="44" t="s">
        <v>9335</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77"/>
      <c r="B360" s="6097"/>
      <c r="C360" s="44" t="s">
        <v>9335</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77"/>
      <c r="B361" s="6097"/>
      <c r="C361" s="44" t="s">
        <v>9335</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77"/>
      <c r="B362" s="6097"/>
      <c r="C362" s="44" t="s">
        <v>9335</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77"/>
      <c r="B363" s="6097"/>
      <c r="C363" s="44" t="s">
        <v>9335</v>
      </c>
      <c r="D363" s="86" t="s">
        <v>7065</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77"/>
      <c r="B364" s="6097"/>
      <c r="C364" s="44" t="s">
        <v>9336</v>
      </c>
      <c r="D364" s="86"/>
      <c r="E364" s="1209"/>
      <c r="F364" s="1210"/>
      <c r="G364" s="1209"/>
      <c r="H364" s="1209"/>
      <c r="I364" s="1209"/>
      <c r="J364" s="1209"/>
      <c r="K364" s="1209"/>
      <c r="L364" s="2105" t="str">
        <f t="shared" si="18"/>
        <v>&gt; INCREMENTO DE HABILIDAD</v>
      </c>
      <c r="M364" s="237"/>
      <c r="Z364" s="237"/>
    </row>
    <row r="365" spans="1:26" ht="12" customHeight="1" x14ac:dyDescent="0.2">
      <c r="A365" s="6077"/>
      <c r="B365" s="6097"/>
      <c r="C365" s="44" t="s">
        <v>9337</v>
      </c>
      <c r="D365" s="86" t="s">
        <v>7826</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77"/>
      <c r="B366" s="6097"/>
      <c r="C366" s="44" t="s">
        <v>9337</v>
      </c>
      <c r="D366" s="86" t="s">
        <v>7685</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77"/>
      <c r="B367" s="6097"/>
      <c r="C367" s="44" t="s">
        <v>9337</v>
      </c>
      <c r="D367" s="86" t="s">
        <v>9044</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77"/>
      <c r="B368" s="6097"/>
      <c r="C368" s="44" t="s">
        <v>9337</v>
      </c>
      <c r="D368" s="86" t="s">
        <v>9051</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77"/>
      <c r="B369" s="6097"/>
      <c r="C369" s="44" t="s">
        <v>9337</v>
      </c>
      <c r="D369" s="86" t="s">
        <v>9052</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77"/>
      <c r="B370" s="6097"/>
      <c r="C370" s="44" t="s">
        <v>9337</v>
      </c>
      <c r="D370" s="86" t="s">
        <v>9054</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77"/>
      <c r="B371" s="6097"/>
      <c r="C371" s="44" t="s">
        <v>9338</v>
      </c>
      <c r="D371" s="86"/>
      <c r="E371" s="1209"/>
      <c r="F371" s="1210"/>
      <c r="G371" s="1209"/>
      <c r="H371" s="1209"/>
      <c r="I371" s="1209"/>
      <c r="J371" s="1209"/>
      <c r="K371" s="1209"/>
      <c r="L371" s="2105" t="str">
        <f t="shared" si="18"/>
        <v>&gt; CAPACIDAD INCREMENTADA AGI</v>
      </c>
      <c r="M371" s="237"/>
      <c r="Z371" s="237"/>
    </row>
    <row r="372" spans="1:26" ht="12" customHeight="1" x14ac:dyDescent="0.2">
      <c r="A372" s="6077"/>
      <c r="B372" s="6097"/>
      <c r="C372" s="44" t="s">
        <v>9133</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77"/>
      <c r="B373" s="6097"/>
      <c r="C373" s="44" t="s">
        <v>9133</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77"/>
      <c r="B374" s="6097"/>
      <c r="C374" s="44" t="s">
        <v>9133</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77"/>
      <c r="B375" s="6097"/>
      <c r="C375" s="44" t="s">
        <v>9133</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77"/>
      <c r="B376" s="6097"/>
      <c r="C376" s="44" t="s">
        <v>9133</v>
      </c>
      <c r="D376" s="2255" t="s">
        <v>7065</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77"/>
      <c r="B377" s="6097"/>
      <c r="C377" s="44" t="s">
        <v>9133</v>
      </c>
      <c r="D377" s="2255" t="s">
        <v>9296</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77"/>
      <c r="B378" s="6097"/>
      <c r="C378" s="44" t="s">
        <v>9133</v>
      </c>
      <c r="D378" s="2255" t="s">
        <v>9546</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77"/>
      <c r="B379" s="6097"/>
      <c r="C379" s="44" t="s">
        <v>9133</v>
      </c>
      <c r="D379" s="2255" t="s">
        <v>7080</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77"/>
      <c r="B380" s="6097"/>
      <c r="C380" s="44" t="s">
        <v>9339</v>
      </c>
      <c r="D380" s="86"/>
      <c r="E380" s="1209"/>
      <c r="F380" s="1210"/>
      <c r="G380" s="1209"/>
      <c r="H380" s="1209"/>
      <c r="I380" s="1209"/>
      <c r="J380" s="1209"/>
      <c r="K380" s="1209"/>
      <c r="L380" s="2105" t="str">
        <f t="shared" si="18"/>
        <v>&gt; CAPACIDAD INCREMENTADA FUE</v>
      </c>
      <c r="M380" s="237"/>
      <c r="Z380" s="237"/>
    </row>
    <row r="381" spans="1:26" ht="12" customHeight="1" x14ac:dyDescent="0.2">
      <c r="A381" s="6077"/>
      <c r="B381" s="6097"/>
      <c r="C381" s="44" t="s">
        <v>9340</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77"/>
      <c r="B382" s="6097"/>
      <c r="C382" s="44" t="s">
        <v>9340</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77"/>
      <c r="B383" s="6097"/>
      <c r="C383" s="44" t="s">
        <v>9340</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77"/>
      <c r="B384" s="6097"/>
      <c r="C384" s="44" t="s">
        <v>9340</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77"/>
      <c r="B385" s="6097"/>
      <c r="C385" s="44" t="s">
        <v>9340</v>
      </c>
      <c r="D385" s="86" t="s">
        <v>7065</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77"/>
      <c r="B386" s="6097"/>
      <c r="C386" s="44" t="s">
        <v>9340</v>
      </c>
      <c r="D386" s="86" t="s">
        <v>9296</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77"/>
      <c r="B387" s="6097"/>
      <c r="C387" s="44" t="s">
        <v>9340</v>
      </c>
      <c r="D387" s="86" t="s">
        <v>9546</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77"/>
      <c r="B388" s="6097"/>
      <c r="C388" s="44" t="s">
        <v>9340</v>
      </c>
      <c r="D388" s="86" t="s">
        <v>7080</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77"/>
      <c r="B389" s="6097"/>
      <c r="C389" s="44" t="s">
        <v>9341</v>
      </c>
      <c r="D389" s="86"/>
      <c r="E389" s="1209"/>
      <c r="F389" s="1210"/>
      <c r="G389" s="1209"/>
      <c r="H389" s="1209"/>
      <c r="I389" s="1209"/>
      <c r="J389" s="1209"/>
      <c r="K389" s="1209"/>
      <c r="L389" s="2105" t="str">
        <f t="shared" si="18"/>
        <v>&gt; CAPACIDAD INCREMENTADA DES</v>
      </c>
      <c r="M389" s="237"/>
      <c r="Z389" s="237"/>
    </row>
    <row r="390" spans="1:26" ht="12" customHeight="1" x14ac:dyDescent="0.2">
      <c r="A390" s="6077"/>
      <c r="B390" s="6097"/>
      <c r="C390" s="44" t="s">
        <v>9342</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77"/>
      <c r="B391" s="6097"/>
      <c r="C391" s="44" t="s">
        <v>9342</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77"/>
      <c r="B392" s="6097"/>
      <c r="C392" s="44" t="s">
        <v>9342</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77"/>
      <c r="B393" s="6097"/>
      <c r="C393" s="44" t="s">
        <v>9342</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77"/>
      <c r="B394" s="6097"/>
      <c r="C394" s="44" t="s">
        <v>9342</v>
      </c>
      <c r="D394" s="86" t="s">
        <v>7065</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77"/>
      <c r="B395" s="6097"/>
      <c r="C395" s="44" t="s">
        <v>9342</v>
      </c>
      <c r="D395" s="86" t="s">
        <v>9296</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77"/>
      <c r="B396" s="6097"/>
      <c r="C396" s="44" t="s">
        <v>9342</v>
      </c>
      <c r="D396" s="86" t="s">
        <v>9546</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77"/>
      <c r="B397" s="6097"/>
      <c r="C397" s="44" t="s">
        <v>9342</v>
      </c>
      <c r="D397" s="86" t="s">
        <v>7080</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77"/>
      <c r="B398" s="6097"/>
      <c r="C398" s="44" t="s">
        <v>9343</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77"/>
      <c r="B399" s="6097"/>
      <c r="C399" s="44" t="s">
        <v>9344</v>
      </c>
      <c r="D399" s="86" t="s">
        <v>9345</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77"/>
      <c r="B400" s="6097"/>
      <c r="C400" s="44" t="s">
        <v>9344</v>
      </c>
      <c r="D400" s="86" t="s">
        <v>9346</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77"/>
      <c r="B401" s="6097"/>
      <c r="C401" s="44" t="s">
        <v>9344</v>
      </c>
      <c r="D401" s="86" t="s">
        <v>9347</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77"/>
      <c r="B402" s="6097"/>
      <c r="C402" s="44" t="s">
        <v>9344</v>
      </c>
      <c r="D402" s="86" t="s">
        <v>9348</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77"/>
      <c r="B403" s="6097"/>
      <c r="C403" s="44" t="s">
        <v>9344</v>
      </c>
      <c r="D403" s="86" t="s">
        <v>9349</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77"/>
      <c r="B404" s="6097"/>
      <c r="C404" s="44" t="s">
        <v>9344</v>
      </c>
      <c r="D404" s="86" t="s">
        <v>9350</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77"/>
      <c r="B405" s="6097"/>
      <c r="C405" s="44" t="s">
        <v>9344</v>
      </c>
      <c r="D405" s="86" t="s">
        <v>9351</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77"/>
      <c r="B406" s="6097"/>
      <c r="C406" s="44" t="s">
        <v>9344</v>
      </c>
      <c r="D406" s="86" t="s">
        <v>9352</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77"/>
      <c r="B407" s="6097"/>
      <c r="C407" s="44" t="s">
        <v>9344</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77"/>
      <c r="B408" s="6097"/>
      <c r="C408" s="44" t="s">
        <v>9344</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77"/>
      <c r="B409" s="6097"/>
      <c r="C409" s="44" t="s">
        <v>9353</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77"/>
      <c r="B410" s="6097"/>
      <c r="C410" s="44" t="s">
        <v>9354</v>
      </c>
      <c r="D410" s="86" t="s">
        <v>7694</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77"/>
      <c r="B411" s="6097"/>
      <c r="C411" s="44" t="s">
        <v>9354</v>
      </c>
      <c r="D411" s="86" t="s">
        <v>7695</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77"/>
      <c r="B412" s="6097"/>
      <c r="C412" s="44" t="s">
        <v>9354</v>
      </c>
      <c r="D412" s="86" t="s">
        <v>7696</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77"/>
      <c r="B413" s="6097"/>
      <c r="C413" s="44" t="s">
        <v>9354</v>
      </c>
      <c r="D413" s="86" t="s">
        <v>7697</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77"/>
      <c r="B414" s="6097"/>
      <c r="C414" s="44" t="s">
        <v>9354</v>
      </c>
      <c r="D414" s="86" t="s">
        <v>7698</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77"/>
      <c r="B415" s="6097"/>
      <c r="C415" s="44" t="s">
        <v>9354</v>
      </c>
      <c r="D415" s="86" t="s">
        <v>9355</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77"/>
      <c r="B416" s="6097"/>
      <c r="C416" s="44" t="s">
        <v>9354</v>
      </c>
      <c r="D416" s="86" t="s">
        <v>9356</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77"/>
      <c r="B417" s="6097"/>
      <c r="C417" s="44" t="s">
        <v>9354</v>
      </c>
      <c r="D417" s="86" t="s">
        <v>9357</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77"/>
      <c r="B418" s="6097"/>
      <c r="C418" s="44" t="s">
        <v>9358</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77"/>
      <c r="B419" s="6097"/>
      <c r="C419" s="44" t="s">
        <v>9359</v>
      </c>
      <c r="D419" s="86" t="s">
        <v>7689</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77"/>
      <c r="B420" s="6097"/>
      <c r="C420" s="44" t="s">
        <v>9359</v>
      </c>
      <c r="D420" s="86" t="s">
        <v>7690</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77"/>
      <c r="B421" s="6097"/>
      <c r="C421" s="44" t="s">
        <v>9359</v>
      </c>
      <c r="D421" s="86" t="s">
        <v>7691</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77"/>
      <c r="B422" s="6097"/>
      <c r="C422" s="44" t="s">
        <v>9359</v>
      </c>
      <c r="D422" s="86" t="s">
        <v>7692</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77"/>
      <c r="B423" s="6097"/>
      <c r="C423" s="44" t="s">
        <v>9359</v>
      </c>
      <c r="D423" s="86" t="s">
        <v>7693</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77"/>
      <c r="B424" s="6097"/>
      <c r="C424" s="44" t="s">
        <v>9359</v>
      </c>
      <c r="D424" s="86" t="s">
        <v>9360</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77"/>
      <c r="B425" s="6097"/>
      <c r="C425" s="44" t="s">
        <v>9359</v>
      </c>
      <c r="D425" s="86" t="s">
        <v>9361</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77"/>
      <c r="B426" s="6097"/>
      <c r="C426" s="44" t="s">
        <v>9359</v>
      </c>
      <c r="D426" s="86" t="s">
        <v>9362</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77"/>
      <c r="B427" s="6097"/>
      <c r="C427" s="44" t="s">
        <v>9363</v>
      </c>
      <c r="D427" s="86"/>
      <c r="E427" s="1209"/>
      <c r="F427" s="1210"/>
      <c r="G427" s="1209"/>
      <c r="H427" s="1209"/>
      <c r="I427" s="1209"/>
      <c r="J427" s="1209"/>
      <c r="K427" s="1209"/>
      <c r="L427" s="2105" t="str">
        <f t="shared" si="19"/>
        <v>&gt; HABILIDADES PERCEPTIVAS</v>
      </c>
      <c r="M427" s="237"/>
      <c r="Z427" s="237"/>
    </row>
    <row r="428" spans="1:26" ht="12" customHeight="1" x14ac:dyDescent="0.2">
      <c r="A428" s="6077"/>
      <c r="B428" s="6097"/>
      <c r="C428" s="44" t="s">
        <v>9148</v>
      </c>
      <c r="D428" s="86" t="s">
        <v>9364</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77"/>
      <c r="B429" s="6097"/>
      <c r="C429" s="44" t="s">
        <v>9148</v>
      </c>
      <c r="D429" s="86" t="s">
        <v>9365</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77"/>
      <c r="B430" s="6097"/>
      <c r="C430" s="44" t="s">
        <v>9148</v>
      </c>
      <c r="D430" s="86" t="s">
        <v>9366</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77"/>
      <c r="B431" s="6097"/>
      <c r="C431" s="44" t="s">
        <v>9148</v>
      </c>
      <c r="D431" s="86" t="s">
        <v>9367</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77"/>
      <c r="B432" s="6097"/>
      <c r="C432" s="44" t="s">
        <v>9148</v>
      </c>
      <c r="D432" s="86" t="s">
        <v>9368</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77"/>
      <c r="B433" s="6097"/>
      <c r="C433" s="44" t="s">
        <v>9148</v>
      </c>
      <c r="D433" s="86" t="s">
        <v>9369</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77"/>
      <c r="B434" s="6097"/>
      <c r="C434" s="44" t="s">
        <v>9148</v>
      </c>
      <c r="D434" s="86" t="s">
        <v>9370</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77"/>
      <c r="B435" s="6097"/>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77"/>
      <c r="B436" s="6097"/>
      <c r="C436" s="44" t="s">
        <v>9371</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77"/>
      <c r="B437" s="6097"/>
      <c r="C437" s="44" t="s">
        <v>9372</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77"/>
      <c r="B438" s="6097"/>
      <c r="C438" s="44" t="s">
        <v>9373</v>
      </c>
      <c r="D438" s="86"/>
      <c r="E438" s="1209"/>
      <c r="F438" s="1210"/>
      <c r="G438" s="1209"/>
      <c r="H438" s="1209"/>
      <c r="I438" s="1209"/>
      <c r="J438" s="1209"/>
      <c r="K438" s="1209"/>
      <c r="L438" s="2105" t="str">
        <f t="shared" si="19"/>
        <v>&gt; ATAQUE ELEMENTAL</v>
      </c>
      <c r="M438" s="237"/>
      <c r="Z438" s="237"/>
    </row>
    <row r="439" spans="1:26" ht="12" customHeight="1" x14ac:dyDescent="0.2">
      <c r="A439" s="6077"/>
      <c r="B439" s="6097"/>
      <c r="C439" s="44" t="s">
        <v>9152</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77"/>
      <c r="B440" s="6097"/>
      <c r="C440" s="44" t="s">
        <v>9152</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77"/>
      <c r="B441" s="6097"/>
      <c r="C441" s="44" t="s">
        <v>9152</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77"/>
      <c r="B442" s="6097"/>
      <c r="C442" s="44" t="s">
        <v>9152</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77"/>
      <c r="B443" s="6097"/>
      <c r="C443" s="44" t="s">
        <v>9152</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77"/>
      <c r="B444" s="6097"/>
      <c r="C444" s="44" t="s">
        <v>9152</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77"/>
      <c r="B445" s="6097"/>
      <c r="C445" s="44" t="s">
        <v>9374</v>
      </c>
      <c r="D445" s="86"/>
      <c r="E445" s="1209"/>
      <c r="F445" s="1210"/>
      <c r="G445" s="1209"/>
      <c r="H445" s="1209"/>
      <c r="I445" s="1209"/>
      <c r="J445" s="1209"/>
      <c r="K445" s="1209"/>
      <c r="L445" s="2105" t="str">
        <f t="shared" si="19"/>
        <v>&gt; ARMAS FÍSICAS DE KI</v>
      </c>
      <c r="M445" s="237"/>
      <c r="Z445" s="237"/>
    </row>
    <row r="446" spans="1:26" ht="12" customHeight="1" x14ac:dyDescent="0.2">
      <c r="A446" s="6077"/>
      <c r="B446" s="6097"/>
      <c r="C446" s="44" t="s">
        <v>9375</v>
      </c>
      <c r="D446" s="86" t="s">
        <v>7064</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77"/>
      <c r="B447" s="6097"/>
      <c r="C447" s="44" t="s">
        <v>9375</v>
      </c>
      <c r="D447" s="86" t="s">
        <v>7065</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77"/>
      <c r="B448" s="6097"/>
      <c r="C448" s="44" t="s">
        <v>9375</v>
      </c>
      <c r="D448" s="86" t="s">
        <v>7682</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77"/>
      <c r="B449" s="6097"/>
      <c r="C449" s="44" t="s">
        <v>9375</v>
      </c>
      <c r="D449" s="86" t="s">
        <v>7825</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77"/>
      <c r="B450" s="6097"/>
      <c r="C450" s="44" t="s">
        <v>9375</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77"/>
      <c r="B451" s="6097"/>
      <c r="C451" s="44" t="s">
        <v>9375</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77"/>
      <c r="B452" s="6097"/>
      <c r="C452" s="44" t="s">
        <v>9375</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77"/>
      <c r="B453" s="6097"/>
      <c r="C453" s="44" t="s">
        <v>9375</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77"/>
      <c r="B454" s="6097"/>
      <c r="C454" s="44" t="s">
        <v>9375</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77"/>
      <c r="B455" s="6097"/>
      <c r="C455" s="44" t="s">
        <v>9375</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77"/>
      <c r="B456" s="6097"/>
      <c r="C456" s="44" t="s">
        <v>9376</v>
      </c>
      <c r="D456" s="86"/>
      <c r="E456" s="1209"/>
      <c r="F456" s="1210"/>
      <c r="G456" s="1209"/>
      <c r="H456" s="1209"/>
      <c r="I456" s="1209"/>
      <c r="J456" s="1209"/>
      <c r="K456" s="1209"/>
      <c r="L456" s="2105" t="str">
        <f t="shared" si="19"/>
        <v>&gt; ATAQUE SOBRENATURAL</v>
      </c>
      <c r="M456" s="237"/>
      <c r="Z456" s="237"/>
    </row>
    <row r="457" spans="1:26" ht="12" customHeight="1" x14ac:dyDescent="0.2">
      <c r="A457" s="6077"/>
      <c r="B457" s="6097"/>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77"/>
      <c r="B458" s="6097"/>
      <c r="C458" s="44" t="s">
        <v>9377</v>
      </c>
      <c r="D458" s="86"/>
      <c r="E458" s="1209"/>
      <c r="F458" s="1210"/>
      <c r="G458" s="1209"/>
      <c r="H458" s="1209"/>
      <c r="I458" s="1209"/>
      <c r="J458" s="1209"/>
      <c r="K458" s="1209"/>
      <c r="L458" s="2105" t="str">
        <f t="shared" si="19"/>
        <v>&gt; ABSORCIÓN DE KI</v>
      </c>
      <c r="M458" s="237"/>
      <c r="Z458" s="237"/>
    </row>
    <row r="459" spans="1:26" ht="12" customHeight="1" x14ac:dyDescent="0.2">
      <c r="A459" s="6077"/>
      <c r="B459" s="6097"/>
      <c r="C459" s="44" t="s">
        <v>9378</v>
      </c>
      <c r="D459" s="86" t="s">
        <v>9379</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77"/>
      <c r="B460" s="6097"/>
      <c r="C460" s="44" t="s">
        <v>9378</v>
      </c>
      <c r="D460" s="86" t="s">
        <v>9380</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77"/>
      <c r="B461" s="6097"/>
      <c r="C461" s="44" t="s">
        <v>9378</v>
      </c>
      <c r="D461" s="86" t="s">
        <v>9381</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77"/>
      <c r="B462" s="6097"/>
      <c r="C462" s="44" t="s">
        <v>9378</v>
      </c>
      <c r="D462" s="86" t="s">
        <v>9382</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77"/>
      <c r="B463" s="6097"/>
      <c r="C463" s="44" t="s">
        <v>9378</v>
      </c>
      <c r="D463" s="86" t="s">
        <v>9383</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77"/>
      <c r="B464" s="6097"/>
      <c r="C464" s="44" t="s">
        <v>9378</v>
      </c>
      <c r="D464" s="86" t="s">
        <v>5325</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77"/>
      <c r="B465" s="6097"/>
      <c r="C465" s="44" t="s">
        <v>9384</v>
      </c>
      <c r="D465" s="86"/>
      <c r="E465" s="1209"/>
      <c r="F465" s="1210"/>
      <c r="G465" s="1209"/>
      <c r="H465" s="1209"/>
      <c r="I465" s="1209"/>
      <c r="J465" s="1209"/>
      <c r="K465" s="1209"/>
      <c r="L465" s="2105" t="str">
        <f t="shared" si="20"/>
        <v>&gt; APRESAMIENTO</v>
      </c>
      <c r="M465" s="237"/>
      <c r="Z465" s="237"/>
    </row>
    <row r="466" spans="1:26" ht="12" customHeight="1" x14ac:dyDescent="0.2">
      <c r="A466" s="6077"/>
      <c r="B466" s="6097"/>
      <c r="C466" s="44" t="s">
        <v>2957</v>
      </c>
      <c r="D466" s="86" t="s">
        <v>9444</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77"/>
      <c r="B467" s="6097"/>
      <c r="C467" s="44" t="s">
        <v>2957</v>
      </c>
      <c r="D467" s="86" t="s">
        <v>9445</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77"/>
      <c r="B468" s="6097"/>
      <c r="C468" s="44" t="s">
        <v>2957</v>
      </c>
      <c r="D468" s="86" t="s">
        <v>9446</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77"/>
      <c r="B469" s="6097"/>
      <c r="C469" s="44" t="s">
        <v>2957</v>
      </c>
      <c r="D469" s="86" t="s">
        <v>9447</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77"/>
      <c r="B470" s="6097"/>
      <c r="C470" s="44" t="s">
        <v>2957</v>
      </c>
      <c r="D470" s="86" t="s">
        <v>9448</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77"/>
      <c r="B471" s="6097"/>
      <c r="C471" s="44" t="s">
        <v>2957</v>
      </c>
      <c r="D471" s="86" t="s">
        <v>9449</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77"/>
      <c r="B472" s="6097"/>
      <c r="C472" s="44" t="s">
        <v>2957</v>
      </c>
      <c r="D472" s="86" t="s">
        <v>9450</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77"/>
      <c r="B473" s="6097"/>
      <c r="C473" s="44" t="s">
        <v>2957</v>
      </c>
      <c r="D473" s="86" t="s">
        <v>9451</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77"/>
      <c r="B474" s="6097"/>
      <c r="C474" s="44" t="s">
        <v>2957</v>
      </c>
      <c r="D474" s="86" t="s">
        <v>9452</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77"/>
      <c r="B475" s="6097"/>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77"/>
      <c r="B476" s="6097"/>
      <c r="C476" s="44" t="s">
        <v>9385</v>
      </c>
      <c r="D476" s="86"/>
      <c r="E476" s="1209"/>
      <c r="F476" s="1210"/>
      <c r="G476" s="1209"/>
      <c r="H476" s="1209"/>
      <c r="I476" s="1209"/>
      <c r="J476" s="1209"/>
      <c r="K476" s="1209"/>
      <c r="L476" s="2105" t="str">
        <f t="shared" si="20"/>
        <v>&gt; CHOQUE FÍSICO</v>
      </c>
      <c r="M476" s="237"/>
      <c r="Z476" s="237"/>
    </row>
    <row r="477" spans="1:26" ht="12" customHeight="1" x14ac:dyDescent="0.2">
      <c r="A477" s="6077"/>
      <c r="B477" s="6097"/>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77"/>
      <c r="B478" s="6097"/>
      <c r="C478" s="44" t="s">
        <v>9386</v>
      </c>
      <c r="D478" s="86"/>
      <c r="E478" s="1209"/>
      <c r="F478" s="1210"/>
      <c r="G478" s="1209"/>
      <c r="H478" s="1209"/>
      <c r="I478" s="1209"/>
      <c r="J478" s="1209"/>
      <c r="K478" s="1209"/>
      <c r="L478" s="2105" t="str">
        <f t="shared" si="20"/>
        <v>&gt; ACUMULACIÓN</v>
      </c>
      <c r="M478" s="237"/>
      <c r="Z478" s="237"/>
    </row>
    <row r="479" spans="1:26" ht="12" customHeight="1" x14ac:dyDescent="0.2">
      <c r="A479" s="6077"/>
      <c r="B479" s="6097"/>
      <c r="C479" s="44" t="s">
        <v>1690</v>
      </c>
      <c r="D479" s="86" t="s">
        <v>9387</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77"/>
      <c r="B480" s="6097"/>
      <c r="C480" s="44" t="s">
        <v>1690</v>
      </c>
      <c r="D480" s="86" t="s">
        <v>9388</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77"/>
      <c r="B481" s="6097"/>
      <c r="C481" s="44" t="s">
        <v>1690</v>
      </c>
      <c r="D481" s="86" t="s">
        <v>9389</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77"/>
      <c r="B482" s="6097"/>
      <c r="C482" s="44" t="s">
        <v>1690</v>
      </c>
      <c r="D482" s="86" t="s">
        <v>9390</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77"/>
      <c r="B483" s="6097"/>
      <c r="C483" s="44" t="s">
        <v>1690</v>
      </c>
      <c r="D483" s="86" t="s">
        <v>9391</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77"/>
      <c r="B484" s="6097"/>
      <c r="C484" s="44" t="s">
        <v>1690</v>
      </c>
      <c r="D484" s="86" t="s">
        <v>9392</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77"/>
      <c r="B485" s="6097"/>
      <c r="C485" s="44" t="s">
        <v>1690</v>
      </c>
      <c r="D485" s="86" t="s">
        <v>9393</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77"/>
      <c r="B486" s="6097"/>
      <c r="C486" s="44" t="s">
        <v>1690</v>
      </c>
      <c r="D486" s="86" t="s">
        <v>9394</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77"/>
      <c r="B487" s="6097"/>
      <c r="C487" s="44" t="s">
        <v>1690</v>
      </c>
      <c r="D487" s="86" t="s">
        <v>9395</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77"/>
      <c r="B488" s="6097"/>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77"/>
      <c r="B489" s="6097"/>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77"/>
      <c r="B490" s="6097"/>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77"/>
      <c r="B491" s="6097"/>
      <c r="C491" s="44" t="s">
        <v>9396</v>
      </c>
      <c r="D491" s="86"/>
      <c r="E491" s="1209"/>
      <c r="F491" s="1210"/>
      <c r="G491" s="1209"/>
      <c r="H491" s="1209"/>
      <c r="I491" s="1209"/>
      <c r="J491" s="1209"/>
      <c r="K491" s="1209"/>
      <c r="L491" s="2105" t="str">
        <f t="shared" si="21"/>
        <v>&gt; ESPEJISMO</v>
      </c>
      <c r="M491" s="237"/>
      <c r="Z491" s="237"/>
    </row>
    <row r="492" spans="1:26" ht="12" customHeight="1" x14ac:dyDescent="0.2">
      <c r="A492" s="6077"/>
      <c r="B492" s="6097"/>
      <c r="C492" s="44" t="s">
        <v>2964</v>
      </c>
      <c r="D492" s="86" t="s">
        <v>9397</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77"/>
      <c r="B493" s="6097"/>
      <c r="C493" s="44" t="s">
        <v>2964</v>
      </c>
      <c r="D493" s="86" t="s">
        <v>9398</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77"/>
      <c r="B494" s="6097"/>
      <c r="C494" s="44" t="s">
        <v>2964</v>
      </c>
      <c r="D494" s="86" t="s">
        <v>9399</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77"/>
      <c r="B495" s="6097"/>
      <c r="C495" s="44" t="s">
        <v>2964</v>
      </c>
      <c r="D495" s="86" t="s">
        <v>9400</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77"/>
      <c r="B496" s="6097"/>
      <c r="C496" s="44" t="s">
        <v>2964</v>
      </c>
      <c r="D496" s="86" t="s">
        <v>9401</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77"/>
      <c r="B497" s="6097"/>
      <c r="C497" s="44" t="s">
        <v>2964</v>
      </c>
      <c r="D497" s="86" t="s">
        <v>9402</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77"/>
      <c r="B498" s="6097"/>
      <c r="C498" s="44" t="s">
        <v>2964</v>
      </c>
      <c r="D498" s="86" t="s">
        <v>9403</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77"/>
      <c r="B499" s="6097"/>
      <c r="C499" s="44" t="s">
        <v>2964</v>
      </c>
      <c r="D499" s="86" t="s">
        <v>9404</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77"/>
      <c r="B500" s="6097"/>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77"/>
      <c r="B501" s="6097"/>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77"/>
      <c r="B502" s="6097"/>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77"/>
      <c r="B503" s="6097"/>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77"/>
      <c r="B504" s="6097"/>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77"/>
      <c r="B505" s="6097"/>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77"/>
      <c r="B506" s="6097"/>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77"/>
      <c r="B507" s="6097"/>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77"/>
      <c r="B508" s="6097"/>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77"/>
      <c r="B509" s="6097"/>
      <c r="C509" s="44" t="s">
        <v>2964</v>
      </c>
      <c r="D509" s="86" t="s">
        <v>9540</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77"/>
      <c r="B510" s="6097"/>
      <c r="C510" s="44" t="s">
        <v>2964</v>
      </c>
      <c r="D510" s="86" t="s">
        <v>9541</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77"/>
      <c r="B511" s="6097"/>
      <c r="C511" s="44" t="s">
        <v>2964</v>
      </c>
      <c r="D511" s="86" t="s">
        <v>9542</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77"/>
      <c r="B512" s="6097"/>
      <c r="C512" s="44" t="s">
        <v>9405</v>
      </c>
      <c r="D512" s="86"/>
      <c r="E512" s="1209"/>
      <c r="F512" s="1210"/>
      <c r="G512" s="1209"/>
      <c r="H512" s="1209"/>
      <c r="I512" s="1209"/>
      <c r="J512" s="1209"/>
      <c r="K512" s="1209"/>
      <c r="L512" s="2105" t="str">
        <f t="shared" si="21"/>
        <v>&gt; ESCUDO DE ENERGÍA</v>
      </c>
      <c r="M512" s="237"/>
      <c r="Z512" s="237"/>
    </row>
    <row r="513" spans="1:26" ht="12" customHeight="1" x14ac:dyDescent="0.2">
      <c r="A513" s="6077"/>
      <c r="B513" s="6097"/>
      <c r="C513" s="44" t="s">
        <v>9406</v>
      </c>
      <c r="D513" s="86" t="s">
        <v>9387</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77"/>
      <c r="B514" s="6097"/>
      <c r="C514" s="44" t="s">
        <v>9406</v>
      </c>
      <c r="D514" s="86" t="s">
        <v>9388</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77"/>
      <c r="B515" s="6097"/>
      <c r="C515" s="44" t="s">
        <v>9406</v>
      </c>
      <c r="D515" s="86" t="s">
        <v>9389</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77"/>
      <c r="B516" s="6097"/>
      <c r="C516" s="44" t="s">
        <v>9406</v>
      </c>
      <c r="D516" s="86" t="s">
        <v>9390</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77"/>
      <c r="B517" s="6097"/>
      <c r="C517" s="44" t="s">
        <v>9406</v>
      </c>
      <c r="D517" s="86" t="s">
        <v>9407</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77"/>
      <c r="B518" s="6097"/>
      <c r="C518" s="44" t="s">
        <v>9406</v>
      </c>
      <c r="D518" s="86" t="s">
        <v>9392</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77"/>
      <c r="B519" s="6097"/>
      <c r="C519" s="44" t="s">
        <v>9406</v>
      </c>
      <c r="D519" s="86" t="s">
        <v>9393</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77"/>
      <c r="B520" s="6097"/>
      <c r="C520" s="44" t="s">
        <v>9406</v>
      </c>
      <c r="D520" s="86" t="s">
        <v>9408</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77"/>
      <c r="B521" s="6097"/>
      <c r="C521" s="44" t="s">
        <v>9406</v>
      </c>
      <c r="D521" s="86" t="s">
        <v>9395</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77"/>
      <c r="B522" s="6097"/>
      <c r="C522" s="44" t="s">
        <v>9406</v>
      </c>
      <c r="D522" s="86" t="s">
        <v>9409</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77"/>
      <c r="B523" s="6097"/>
      <c r="C523" s="44" t="s">
        <v>9406</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77"/>
      <c r="B524" s="6097"/>
      <c r="C524" s="44" t="s">
        <v>9406</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77"/>
      <c r="B525" s="6097"/>
      <c r="C525" s="44" t="s">
        <v>9406</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77"/>
      <c r="B526" s="6097"/>
      <c r="C526" s="44" t="s">
        <v>9410</v>
      </c>
      <c r="D526" s="86"/>
      <c r="E526" s="1209"/>
      <c r="F526" s="1210"/>
      <c r="G526" s="1209"/>
      <c r="H526" s="1209"/>
      <c r="I526" s="1209"/>
      <c r="J526" s="1209"/>
      <c r="K526" s="1209"/>
      <c r="L526" s="2105" t="str">
        <f t="shared" si="22"/>
        <v>&gt; ESTADOS SOBRENATURALES</v>
      </c>
      <c r="M526" s="237"/>
      <c r="Z526" s="237"/>
    </row>
    <row r="527" spans="1:26" ht="12" customHeight="1" x14ac:dyDescent="0.2">
      <c r="A527" s="6077"/>
      <c r="B527" s="6097"/>
      <c r="C527" s="44" t="s">
        <v>9164</v>
      </c>
      <c r="D527" s="86" t="s">
        <v>9411</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77"/>
      <c r="B528" s="6097"/>
      <c r="C528" s="44" t="s">
        <v>9164</v>
      </c>
      <c r="D528" s="86" t="s">
        <v>9412</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77"/>
      <c r="B529" s="6097"/>
      <c r="C529" s="44" t="s">
        <v>9164</v>
      </c>
      <c r="D529" s="86" t="s">
        <v>9413</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77"/>
      <c r="B530" s="6097"/>
      <c r="C530" s="44" t="s">
        <v>9164</v>
      </c>
      <c r="D530" s="86" t="s">
        <v>9414</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77"/>
      <c r="B531" s="6097"/>
      <c r="C531" s="44" t="s">
        <v>9164</v>
      </c>
      <c r="D531" s="86" t="s">
        <v>9415</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77"/>
      <c r="B532" s="6097"/>
      <c r="C532" s="44" t="s">
        <v>9164</v>
      </c>
      <c r="D532" s="86" t="s">
        <v>9416</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77"/>
      <c r="B533" s="6097"/>
      <c r="C533" s="44" t="s">
        <v>9164</v>
      </c>
      <c r="D533" s="86" t="s">
        <v>9417</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77"/>
      <c r="B534" s="6097"/>
      <c r="C534" s="44" t="s">
        <v>9164</v>
      </c>
      <c r="D534" s="86" t="s">
        <v>9418</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77"/>
      <c r="B535" s="6097"/>
      <c r="C535" s="44" t="s">
        <v>9164</v>
      </c>
      <c r="D535" s="86" t="s">
        <v>9419</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77"/>
      <c r="B536" s="6097"/>
      <c r="C536" s="44" t="s">
        <v>9164</v>
      </c>
      <c r="D536" s="86" t="s">
        <v>8678</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77"/>
      <c r="B537" s="6097"/>
      <c r="C537" s="44" t="s">
        <v>9164</v>
      </c>
      <c r="D537" s="86" t="s">
        <v>8679</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77"/>
      <c r="B538" s="6097"/>
      <c r="C538" s="44" t="s">
        <v>9164</v>
      </c>
      <c r="D538" s="86" t="s">
        <v>8680</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77"/>
      <c r="B539" s="6097"/>
      <c r="C539" s="44" t="s">
        <v>9164</v>
      </c>
      <c r="D539" s="86" t="s">
        <v>8681</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77"/>
      <c r="B540" s="6097"/>
      <c r="C540" s="44" t="s">
        <v>9164</v>
      </c>
      <c r="D540" s="86" t="s">
        <v>8682</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77"/>
      <c r="B541" s="6097"/>
      <c r="C541" s="44" t="s">
        <v>9164</v>
      </c>
      <c r="D541" s="86" t="s">
        <v>8683</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77"/>
      <c r="B542" s="6097"/>
      <c r="C542" s="44" t="s">
        <v>9164</v>
      </c>
      <c r="D542" s="86" t="s">
        <v>8684</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77"/>
      <c r="B543" s="6097"/>
      <c r="C543" s="44" t="s">
        <v>9164</v>
      </c>
      <c r="D543" s="86" t="s">
        <v>8685</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77"/>
      <c r="B544" s="6097"/>
      <c r="C544" s="44" t="s">
        <v>9164</v>
      </c>
      <c r="D544" s="86" t="s">
        <v>8686</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77"/>
      <c r="B545" s="6097"/>
      <c r="C545" s="44" t="s">
        <v>9164</v>
      </c>
      <c r="D545" s="86" t="s">
        <v>8687</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77"/>
      <c r="B546" s="6097"/>
      <c r="C546" s="44" t="s">
        <v>9164</v>
      </c>
      <c r="D546" s="86" t="s">
        <v>8688</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77"/>
      <c r="B547" s="6097"/>
      <c r="C547" s="44" t="s">
        <v>9164</v>
      </c>
      <c r="D547" s="86" t="s">
        <v>8689</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77"/>
      <c r="B548" s="6097"/>
      <c r="C548" s="44" t="s">
        <v>9164</v>
      </c>
      <c r="D548" s="86" t="s">
        <v>8690</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77"/>
      <c r="B549" s="6097"/>
      <c r="C549" s="44" t="s">
        <v>9164</v>
      </c>
      <c r="D549" s="86" t="s">
        <v>8691</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77"/>
      <c r="B550" s="6097"/>
      <c r="C550" s="44" t="s">
        <v>9164</v>
      </c>
      <c r="D550" s="86" t="s">
        <v>8692</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77"/>
      <c r="B551" s="6097"/>
      <c r="C551" s="44" t="s">
        <v>9164</v>
      </c>
      <c r="D551" s="86" t="s">
        <v>8693</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77"/>
      <c r="B552" s="6097"/>
      <c r="C552" s="44" t="s">
        <v>9164</v>
      </c>
      <c r="D552" s="86" t="s">
        <v>8694</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77"/>
      <c r="B553" s="6097"/>
      <c r="C553" s="44" t="s">
        <v>9164</v>
      </c>
      <c r="D553" s="86" t="s">
        <v>8695</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77"/>
      <c r="B554" s="6097"/>
      <c r="C554" s="44" t="s">
        <v>9164</v>
      </c>
      <c r="D554" s="86" t="s">
        <v>9420</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77"/>
      <c r="B555" s="6097"/>
      <c r="C555" s="44" t="s">
        <v>9164</v>
      </c>
      <c r="D555" s="86" t="s">
        <v>9421</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77"/>
      <c r="B556" s="6097"/>
      <c r="C556" s="44" t="s">
        <v>9164</v>
      </c>
      <c r="D556" s="86" t="s">
        <v>9422</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77"/>
      <c r="B557" s="6097"/>
      <c r="C557" s="44" t="s">
        <v>9164</v>
      </c>
      <c r="D557" s="86" t="s">
        <v>9423</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77"/>
      <c r="B558" s="6097"/>
      <c r="C558" s="44" t="s">
        <v>9164</v>
      </c>
      <c r="D558" s="86" t="s">
        <v>8696</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77"/>
      <c r="B559" s="6097"/>
      <c r="C559" s="44" t="s">
        <v>9164</v>
      </c>
      <c r="D559" s="86" t="s">
        <v>8697</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77"/>
      <c r="B560" s="6097"/>
      <c r="C560" s="44" t="s">
        <v>9164</v>
      </c>
      <c r="D560" s="86" t="s">
        <v>8698</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77"/>
      <c r="B561" s="6097"/>
      <c r="C561" s="44" t="s">
        <v>9164</v>
      </c>
      <c r="D561" s="86" t="s">
        <v>9424</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77"/>
      <c r="B562" s="6097"/>
      <c r="C562" s="44" t="s">
        <v>9164</v>
      </c>
      <c r="D562" s="86" t="s">
        <v>9425</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77"/>
      <c r="B563" s="6097"/>
      <c r="C563" s="44" t="s">
        <v>9164</v>
      </c>
      <c r="D563" s="86" t="s">
        <v>9426</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77"/>
      <c r="B564" s="6097"/>
      <c r="C564" s="44" t="s">
        <v>9164</v>
      </c>
      <c r="D564" s="86" t="s">
        <v>9427</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77"/>
      <c r="B565" s="6097"/>
      <c r="C565" s="44" t="s">
        <v>9164</v>
      </c>
      <c r="D565" s="86" t="s">
        <v>9428</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77"/>
      <c r="B566" s="6097"/>
      <c r="C566" s="44" t="s">
        <v>9164</v>
      </c>
      <c r="D566" s="86" t="s">
        <v>9429</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77"/>
      <c r="B567" s="6097"/>
      <c r="C567" s="44" t="s">
        <v>9164</v>
      </c>
      <c r="D567" s="86" t="s">
        <v>9430</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77"/>
      <c r="B568" s="6097"/>
      <c r="C568" s="44" t="s">
        <v>9164</v>
      </c>
      <c r="D568" s="86" t="s">
        <v>9431</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77"/>
      <c r="B569" s="6097"/>
      <c r="C569" s="44" t="s">
        <v>9164</v>
      </c>
      <c r="D569" s="86" t="s">
        <v>9432</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77"/>
      <c r="B570" s="6097"/>
      <c r="C570" s="44" t="s">
        <v>9164</v>
      </c>
      <c r="D570" s="86" t="s">
        <v>9433</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77"/>
      <c r="B571" s="6097"/>
      <c r="C571" s="44" t="s">
        <v>9164</v>
      </c>
      <c r="D571" s="86" t="s">
        <v>9434</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77"/>
      <c r="B572" s="6097"/>
      <c r="C572" s="44" t="s">
        <v>9164</v>
      </c>
      <c r="D572" s="86" t="s">
        <v>9435</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77"/>
      <c r="B573" s="6097"/>
      <c r="C573" s="44" t="s">
        <v>9164</v>
      </c>
      <c r="D573" s="86" t="s">
        <v>9436</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77"/>
      <c r="B574" s="6097"/>
      <c r="C574" s="44" t="s">
        <v>9164</v>
      </c>
      <c r="D574" s="86" t="s">
        <v>9437</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77"/>
      <c r="B575" s="6097"/>
      <c r="C575" s="44" t="s">
        <v>9164</v>
      </c>
      <c r="D575" s="86" t="s">
        <v>9438</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77"/>
      <c r="B576" s="6097"/>
      <c r="C576" s="44" t="s">
        <v>9164</v>
      </c>
      <c r="D576" s="86" t="s">
        <v>9439</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77"/>
      <c r="B577" s="6097"/>
      <c r="C577" s="44" t="s">
        <v>9164</v>
      </c>
      <c r="D577" s="86" t="s">
        <v>9440</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77"/>
      <c r="B578" s="6097"/>
      <c r="C578" s="44" t="s">
        <v>9164</v>
      </c>
      <c r="D578" s="86" t="s">
        <v>9441</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77"/>
      <c r="B579" s="6097"/>
      <c r="C579" s="44" t="s">
        <v>9164</v>
      </c>
      <c r="D579" s="86" t="s">
        <v>9442</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77"/>
      <c r="B580" s="6097"/>
      <c r="C580" s="44" t="s">
        <v>9443</v>
      </c>
      <c r="D580" s="86"/>
      <c r="E580" s="1209"/>
      <c r="F580" s="1210"/>
      <c r="G580" s="1209"/>
      <c r="H580" s="1209"/>
      <c r="I580" s="1209"/>
      <c r="J580" s="1209"/>
      <c r="K580" s="1209"/>
      <c r="L580" s="2105" t="str">
        <f t="shared" si="22"/>
        <v>&gt; IMPACTO</v>
      </c>
      <c r="M580" s="237"/>
      <c r="Z580" s="237"/>
    </row>
    <row r="581" spans="1:26" ht="12" customHeight="1" x14ac:dyDescent="0.2">
      <c r="A581" s="6077"/>
      <c r="B581" s="6097"/>
      <c r="C581" s="44" t="s">
        <v>2970</v>
      </c>
      <c r="D581" s="86" t="s">
        <v>9444</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77"/>
      <c r="B582" s="6097"/>
      <c r="C582" s="44" t="s">
        <v>2970</v>
      </c>
      <c r="D582" s="86" t="s">
        <v>9445</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77"/>
      <c r="B583" s="6097"/>
      <c r="C583" s="44" t="s">
        <v>2970</v>
      </c>
      <c r="D583" s="86" t="s">
        <v>9446</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77"/>
      <c r="B584" s="6097"/>
      <c r="C584" s="44" t="s">
        <v>2970</v>
      </c>
      <c r="D584" s="86" t="s">
        <v>9447</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77"/>
      <c r="B585" s="6097"/>
      <c r="C585" s="44" t="s">
        <v>2970</v>
      </c>
      <c r="D585" s="86" t="s">
        <v>9448</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77"/>
      <c r="B586" s="6097"/>
      <c r="C586" s="44" t="s">
        <v>2970</v>
      </c>
      <c r="D586" s="86" t="s">
        <v>9449</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77"/>
      <c r="B587" s="6097"/>
      <c r="C587" s="44" t="s">
        <v>2970</v>
      </c>
      <c r="D587" s="86" t="s">
        <v>9450</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77"/>
      <c r="B588" s="6097"/>
      <c r="C588" s="44" t="s">
        <v>2970</v>
      </c>
      <c r="D588" s="86" t="s">
        <v>9451</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77"/>
      <c r="B589" s="6097"/>
      <c r="C589" s="44" t="s">
        <v>2970</v>
      </c>
      <c r="D589" s="86" t="s">
        <v>9452</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77"/>
      <c r="B590" s="6097"/>
      <c r="C590" s="44" t="s">
        <v>2970</v>
      </c>
      <c r="D590" s="86" t="s">
        <v>7276</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77"/>
      <c r="B591" s="6097"/>
      <c r="C591" s="44" t="s">
        <v>9453</v>
      </c>
      <c r="D591" s="86"/>
      <c r="E591" s="1209"/>
      <c r="F591" s="1210"/>
      <c r="G591" s="1209"/>
      <c r="H591" s="1209"/>
      <c r="I591" s="1209"/>
      <c r="J591" s="1209"/>
      <c r="K591" s="1209"/>
      <c r="L591" s="2105" t="str">
        <f t="shared" si="23"/>
        <v>&gt; INTERRUPCIÓN</v>
      </c>
      <c r="M591" s="237"/>
      <c r="Z591" s="237"/>
    </row>
    <row r="592" spans="1:26" ht="12" customHeight="1" x14ac:dyDescent="0.2">
      <c r="A592" s="6077"/>
      <c r="B592" s="6097"/>
      <c r="C592" s="44" t="s">
        <v>2974</v>
      </c>
      <c r="D592" s="86" t="s">
        <v>9454</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77"/>
      <c r="B593" s="6097"/>
      <c r="C593" s="44" t="s">
        <v>2974</v>
      </c>
      <c r="D593" s="86" t="s">
        <v>9455</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77"/>
      <c r="B594" s="6097"/>
      <c r="C594" s="44" t="s">
        <v>2974</v>
      </c>
      <c r="D594" s="86" t="s">
        <v>9456</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77"/>
      <c r="B595" s="6097"/>
      <c r="C595" s="44" t="s">
        <v>2974</v>
      </c>
      <c r="D595" s="86" t="s">
        <v>9457</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77"/>
      <c r="B596" s="6097"/>
      <c r="C596" s="44" t="s">
        <v>2974</v>
      </c>
      <c r="D596" s="86" t="s">
        <v>9458</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77"/>
      <c r="B597" s="6097"/>
      <c r="C597" s="44" t="s">
        <v>2974</v>
      </c>
      <c r="D597" s="86" t="s">
        <v>9459</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77"/>
      <c r="B598" s="6097"/>
      <c r="C598" s="44" t="s">
        <v>2974</v>
      </c>
      <c r="D598" s="86" t="s">
        <v>9460</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77"/>
      <c r="B599" s="6097"/>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77"/>
      <c r="B600" s="6097"/>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77"/>
      <c r="B601" s="6097"/>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77"/>
      <c r="B602" s="6097"/>
      <c r="C602" s="44" t="s">
        <v>9461</v>
      </c>
      <c r="D602" s="86"/>
      <c r="E602" s="1209"/>
      <c r="F602" s="1210"/>
      <c r="G602" s="1209"/>
      <c r="H602" s="1209"/>
      <c r="I602" s="1209"/>
      <c r="J602" s="1209"/>
      <c r="K602" s="1209"/>
      <c r="L602" s="2105" t="str">
        <f t="shared" si="23"/>
        <v>&gt; INTANGIBILIDAD</v>
      </c>
      <c r="M602" s="237"/>
      <c r="Z602" s="237"/>
    </row>
    <row r="603" spans="1:26" ht="12" customHeight="1" x14ac:dyDescent="0.2">
      <c r="A603" s="6077"/>
      <c r="B603" s="6097"/>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77"/>
      <c r="B604" s="6097"/>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77"/>
      <c r="B605" s="6097"/>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77"/>
      <c r="B606" s="6097"/>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77"/>
      <c r="B607" s="6097"/>
      <c r="C607" s="44" t="s">
        <v>9462</v>
      </c>
      <c r="D607" s="86"/>
      <c r="E607" s="1209"/>
      <c r="F607" s="1210"/>
      <c r="G607" s="1209"/>
      <c r="H607" s="1209"/>
      <c r="I607" s="1209"/>
      <c r="J607" s="1209"/>
      <c r="K607" s="1209"/>
      <c r="L607" s="2105" t="str">
        <f t="shared" si="23"/>
        <v>&gt; MARCA</v>
      </c>
      <c r="M607" s="237"/>
      <c r="Z607" s="237"/>
    </row>
    <row r="608" spans="1:26" ht="12" customHeight="1" x14ac:dyDescent="0.2">
      <c r="A608" s="6077"/>
      <c r="B608" s="6097"/>
      <c r="C608" s="44" t="s">
        <v>2980</v>
      </c>
      <c r="D608" s="86" t="s">
        <v>8553</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77"/>
      <c r="B609" s="6097"/>
      <c r="C609" s="44" t="s">
        <v>2980</v>
      </c>
      <c r="D609" s="86" t="s">
        <v>8552</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77"/>
      <c r="B610" s="6097"/>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77"/>
      <c r="B611" s="6097"/>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77"/>
      <c r="B612" s="6097"/>
      <c r="C612" s="44" t="s">
        <v>9463</v>
      </c>
      <c r="D612" s="86"/>
      <c r="E612" s="1209"/>
      <c r="F612" s="1210"/>
      <c r="G612" s="1209"/>
      <c r="H612" s="1209"/>
      <c r="I612" s="1209"/>
      <c r="J612" s="1209"/>
      <c r="K612" s="1209"/>
      <c r="L612" s="2105" t="str">
        <f t="shared" si="23"/>
        <v>&gt; POTENCIAR CRÍTICO</v>
      </c>
      <c r="M612" s="237"/>
      <c r="Z612" s="237"/>
    </row>
    <row r="613" spans="1:26" ht="12" customHeight="1" x14ac:dyDescent="0.2">
      <c r="A613" s="6077"/>
      <c r="B613" s="6097"/>
      <c r="C613" s="44" t="s">
        <v>9172</v>
      </c>
      <c r="D613" s="86" t="s">
        <v>7682</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77"/>
      <c r="B614" s="6097"/>
      <c r="C614" s="44" t="s">
        <v>9172</v>
      </c>
      <c r="D614" s="86" t="s">
        <v>7826</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77"/>
      <c r="B615" s="6097"/>
      <c r="C615" s="44" t="s">
        <v>9172</v>
      </c>
      <c r="D615" s="86" t="s">
        <v>7684</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77"/>
      <c r="B616" s="6097"/>
      <c r="C616" s="44" t="s">
        <v>9172</v>
      </c>
      <c r="D616" s="86" t="s">
        <v>7685</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77"/>
      <c r="B617" s="6097"/>
      <c r="C617" s="44" t="s">
        <v>9172</v>
      </c>
      <c r="D617" s="86" t="s">
        <v>9044</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77"/>
      <c r="B618" s="6097"/>
      <c r="C618" s="44" t="s">
        <v>9172</v>
      </c>
      <c r="D618" s="86" t="s">
        <v>9048</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77"/>
      <c r="B619" s="6097"/>
      <c r="C619" s="44" t="s">
        <v>9172</v>
      </c>
      <c r="D619" s="86" t="s">
        <v>9051</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77"/>
      <c r="B620" s="6097"/>
      <c r="C620" s="44" t="s">
        <v>9172</v>
      </c>
      <c r="D620" s="86" t="s">
        <v>9052</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77"/>
      <c r="B621" s="6097"/>
      <c r="C621" s="44" t="s">
        <v>9172</v>
      </c>
      <c r="D621" s="86" t="s">
        <v>9054</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77"/>
      <c r="B622" s="6097"/>
      <c r="C622" s="44" t="s">
        <v>9172</v>
      </c>
      <c r="D622" s="86" t="s">
        <v>9057</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77"/>
      <c r="B623" s="6097"/>
      <c r="C623" s="44" t="s">
        <v>9172</v>
      </c>
      <c r="D623" s="86" t="s">
        <v>9059</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77"/>
      <c r="B624" s="6097"/>
      <c r="C624" s="44" t="s">
        <v>9172</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77"/>
      <c r="B625" s="6097"/>
      <c r="C625" s="44" t="s">
        <v>9464</v>
      </c>
      <c r="D625" s="86"/>
      <c r="E625" s="1209"/>
      <c r="F625" s="1210"/>
      <c r="G625" s="1209"/>
      <c r="H625" s="1209"/>
      <c r="I625" s="1209"/>
      <c r="J625" s="1209"/>
      <c r="K625" s="1209"/>
      <c r="L625" s="2105" t="str">
        <f t="shared" si="23"/>
        <v>&gt; POTENCIAR CRÍTICO REAL</v>
      </c>
      <c r="M625" s="237"/>
      <c r="Z625" s="237"/>
    </row>
    <row r="626" spans="1:26" ht="12" customHeight="1" x14ac:dyDescent="0.2">
      <c r="A626" s="6077"/>
      <c r="B626" s="6097"/>
      <c r="C626" s="44" t="s">
        <v>9174</v>
      </c>
      <c r="D626" s="86" t="s">
        <v>7682</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77"/>
      <c r="B627" s="6097"/>
      <c r="C627" s="44" t="s">
        <v>9174</v>
      </c>
      <c r="D627" s="86" t="s">
        <v>7826</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77"/>
      <c r="B628" s="6097"/>
      <c r="C628" s="44" t="s">
        <v>9174</v>
      </c>
      <c r="D628" s="86" t="s">
        <v>7684</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77"/>
      <c r="B629" s="6097"/>
      <c r="C629" s="86" t="s">
        <v>9174</v>
      </c>
      <c r="D629" s="86" t="s">
        <v>7685</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77"/>
      <c r="B630" s="6097"/>
      <c r="C630" s="86" t="s">
        <v>9174</v>
      </c>
      <c r="D630" s="86" t="s">
        <v>9044</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77"/>
      <c r="B631" s="6097"/>
      <c r="C631" s="86" t="s">
        <v>9174</v>
      </c>
      <c r="D631" s="86" t="s">
        <v>9048</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77"/>
      <c r="B632" s="6097"/>
      <c r="C632" s="86" t="s">
        <v>9174</v>
      </c>
      <c r="D632" s="86" t="s">
        <v>9051</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77"/>
      <c r="B633" s="6097"/>
      <c r="C633" s="86" t="s">
        <v>9174</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77"/>
      <c r="B634" s="6097"/>
      <c r="C634" s="86" t="s">
        <v>9465</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77"/>
      <c r="B635" s="6097"/>
      <c r="C635" s="1210" t="s">
        <v>9466</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77"/>
      <c r="B636" s="6097"/>
      <c r="C636" s="1210" t="s">
        <v>9466</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77"/>
      <c r="B637" s="6097"/>
      <c r="C637" s="1210" t="s">
        <v>9466</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77"/>
      <c r="B638" s="6097"/>
      <c r="C638" s="1210" t="str">
        <f>O83</f>
        <v>&gt;&gt; EFECTOS PERSONALIZADOS</v>
      </c>
      <c r="D638" s="1209"/>
      <c r="E638" s="1209"/>
      <c r="F638" s="1209"/>
      <c r="G638" s="1209"/>
      <c r="H638" s="1209"/>
      <c r="I638" s="1209"/>
      <c r="J638" s="1209"/>
      <c r="K638" s="1209"/>
      <c r="L638" s="2332"/>
      <c r="M638" s="237"/>
      <c r="Z638" s="237"/>
    </row>
    <row r="639" spans="1:26" ht="12" customHeight="1" x14ac:dyDescent="0.2">
      <c r="A639" s="6077"/>
      <c r="B639" s="6097"/>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77"/>
      <c r="B640" s="6097"/>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77"/>
      <c r="B641" s="6097"/>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77"/>
      <c r="B642" s="6097"/>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77"/>
      <c r="B643" s="6098"/>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77"/>
    </row>
    <row r="645" spans="1:21" ht="12" customHeight="1" x14ac:dyDescent="0.2">
      <c r="A645" s="6077"/>
    </row>
    <row r="646" spans="1:21" ht="12" customHeight="1" x14ac:dyDescent="0.2">
      <c r="A646" s="6077"/>
    </row>
    <row r="647" spans="1:21" ht="12" customHeight="1" x14ac:dyDescent="0.2">
      <c r="A647" s="5838"/>
      <c r="B647" s="5812" t="s">
        <v>9467</v>
      </c>
      <c r="C647" s="5812"/>
      <c r="D647" s="5812"/>
      <c r="E647" s="5812"/>
      <c r="F647" s="5812"/>
      <c r="G647" s="5812"/>
      <c r="H647" s="5812"/>
      <c r="I647" s="5812"/>
      <c r="J647" s="5812"/>
      <c r="K647" s="5812"/>
      <c r="L647" s="5812"/>
      <c r="M647" s="5812"/>
      <c r="N647" s="5812"/>
      <c r="O647" s="5812"/>
      <c r="P647" s="5812"/>
      <c r="Q647" s="5812"/>
      <c r="R647" s="5812"/>
      <c r="S647" s="5812"/>
      <c r="T647" s="5812"/>
      <c r="U647" s="5812"/>
    </row>
    <row r="648" spans="1:21" ht="12" customHeight="1" x14ac:dyDescent="0.2">
      <c r="A648" s="5838"/>
      <c r="B648" s="5812"/>
      <c r="C648" s="5812"/>
      <c r="D648" s="5812"/>
      <c r="E648" s="5812"/>
      <c r="F648" s="5812"/>
      <c r="G648" s="5812"/>
      <c r="H648" s="5812"/>
      <c r="I648" s="5812"/>
      <c r="J648" s="5812"/>
      <c r="K648" s="5812"/>
      <c r="L648" s="5812"/>
      <c r="M648" s="5812"/>
      <c r="N648" s="5812"/>
      <c r="O648" s="5812"/>
      <c r="P648" s="5812"/>
      <c r="Q648" s="5812"/>
      <c r="R648" s="5812"/>
      <c r="S648" s="5812"/>
      <c r="T648" s="5812"/>
      <c r="U648" s="5812"/>
    </row>
    <row r="649" spans="1:21" ht="12" customHeight="1" x14ac:dyDescent="0.2">
      <c r="A649" s="5838"/>
      <c r="B649" s="5812"/>
      <c r="C649" s="5812"/>
      <c r="D649" s="5812"/>
      <c r="E649" s="5812"/>
      <c r="F649" s="5812"/>
      <c r="G649" s="5812"/>
      <c r="H649" s="5812"/>
      <c r="I649" s="5812"/>
      <c r="J649" s="5812"/>
      <c r="K649" s="5812"/>
      <c r="L649" s="5812"/>
      <c r="M649" s="5812"/>
      <c r="N649" s="5812"/>
      <c r="O649" s="5812"/>
      <c r="P649" s="5812"/>
      <c r="Q649" s="5812"/>
      <c r="R649" s="5812"/>
      <c r="S649" s="5812"/>
      <c r="T649" s="5812"/>
      <c r="U649" s="5812"/>
    </row>
    <row r="650" spans="1:21" ht="12" customHeight="1" thickBot="1" x14ac:dyDescent="0.25">
      <c r="A650" s="5838"/>
      <c r="O650" s="2112"/>
      <c r="U650" s="237"/>
    </row>
    <row r="651" spans="1:21" ht="12" customHeight="1" x14ac:dyDescent="0.2">
      <c r="A651" s="5838"/>
      <c r="B651" s="5838"/>
      <c r="C651" s="6083" t="s">
        <v>9468</v>
      </c>
      <c r="D651" s="6084"/>
      <c r="E651" s="6084"/>
      <c r="F651" s="6084"/>
      <c r="G651" s="6084"/>
      <c r="H651" s="6084"/>
      <c r="I651" s="6084"/>
      <c r="J651" s="6084"/>
      <c r="K651" s="6084"/>
      <c r="L651" s="6084"/>
      <c r="M651" s="6084"/>
      <c r="N651" s="6084"/>
      <c r="O651" s="6084"/>
      <c r="P651" s="6084"/>
      <c r="Q651" s="6084"/>
      <c r="R651" s="6084"/>
      <c r="S651" s="6085"/>
      <c r="U651" s="6091" t="s">
        <v>9497</v>
      </c>
    </row>
    <row r="652" spans="1:21" ht="12" customHeight="1" x14ac:dyDescent="0.2">
      <c r="A652" s="5838"/>
      <c r="B652" s="5838"/>
      <c r="C652" s="6086"/>
      <c r="D652" s="6087"/>
      <c r="E652" s="6087"/>
      <c r="F652" s="6087"/>
      <c r="G652" s="6087"/>
      <c r="H652" s="6087"/>
      <c r="I652" s="6087"/>
      <c r="J652" s="6087"/>
      <c r="K652" s="6087"/>
      <c r="L652" s="6087"/>
      <c r="M652" s="6087"/>
      <c r="N652" s="6087"/>
      <c r="O652" s="6087"/>
      <c r="P652" s="6087"/>
      <c r="Q652" s="6087"/>
      <c r="R652" s="6087"/>
      <c r="S652" s="6088"/>
      <c r="U652" s="6092"/>
    </row>
    <row r="653" spans="1:21" ht="12" customHeight="1" x14ac:dyDescent="0.2">
      <c r="A653" s="5838"/>
      <c r="B653" s="5838"/>
      <c r="C653" s="381">
        <v>1</v>
      </c>
      <c r="D653" s="374">
        <v>2</v>
      </c>
      <c r="E653" s="374">
        <v>3</v>
      </c>
      <c r="F653" s="374">
        <v>4</v>
      </c>
      <c r="G653" s="374">
        <v>5</v>
      </c>
      <c r="H653" s="374">
        <v>6</v>
      </c>
      <c r="I653" s="374">
        <v>7</v>
      </c>
      <c r="J653" s="374">
        <v>8</v>
      </c>
      <c r="K653" s="374">
        <v>9</v>
      </c>
      <c r="L653" s="374">
        <v>10</v>
      </c>
      <c r="M653" s="6089">
        <v>11</v>
      </c>
      <c r="N653" s="6089"/>
      <c r="O653" s="6089"/>
      <c r="P653" s="6089"/>
      <c r="Q653" s="6089"/>
      <c r="R653" s="6089"/>
      <c r="S653" s="6090"/>
      <c r="U653" s="2120" t="s">
        <v>9473</v>
      </c>
    </row>
    <row r="654" spans="1:21" ht="12" customHeight="1" x14ac:dyDescent="0.2">
      <c r="A654" s="5838"/>
      <c r="B654" s="5838"/>
      <c r="C654" s="381" t="s">
        <v>1444</v>
      </c>
      <c r="D654" s="374" t="s">
        <v>9469</v>
      </c>
      <c r="E654" s="374" t="s">
        <v>1406</v>
      </c>
      <c r="F654" s="374" t="s">
        <v>9736</v>
      </c>
      <c r="G654" s="374" t="s">
        <v>9737</v>
      </c>
      <c r="H654" s="374" t="s">
        <v>1493</v>
      </c>
      <c r="I654" s="374" t="s">
        <v>2858</v>
      </c>
      <c r="J654" s="2231" t="s">
        <v>9735</v>
      </c>
      <c r="K654" s="374" t="s">
        <v>1402</v>
      </c>
      <c r="L654" s="374" t="s">
        <v>9470</v>
      </c>
      <c r="M654" s="2231" t="s">
        <v>9768</v>
      </c>
      <c r="N654" s="374" t="s">
        <v>9741</v>
      </c>
      <c r="O654" s="374" t="s">
        <v>9742</v>
      </c>
      <c r="P654" s="374" t="s">
        <v>9743</v>
      </c>
      <c r="Q654" s="374" t="s">
        <v>9744</v>
      </c>
      <c r="R654" s="374" t="s">
        <v>9745</v>
      </c>
      <c r="S654" s="2238" t="s">
        <v>9746</v>
      </c>
      <c r="U654" s="2120" t="s">
        <v>9474</v>
      </c>
    </row>
    <row r="655" spans="1:21" ht="12" customHeight="1" x14ac:dyDescent="0.2">
      <c r="A655" s="5838"/>
      <c r="B655" s="5838"/>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838"/>
      <c r="B656" s="5838"/>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9769</v>
      </c>
      <c r="N656" s="2237"/>
      <c r="O656" s="2237"/>
      <c r="P656" s="2237"/>
      <c r="Q656" s="2237"/>
      <c r="R656" s="2237"/>
      <c r="S656" s="2239"/>
      <c r="U656" s="2120" t="s">
        <v>9475</v>
      </c>
    </row>
    <row r="657" spans="1:22" ht="12" customHeight="1" x14ac:dyDescent="0.2">
      <c r="A657" s="5838"/>
      <c r="B657" s="5838"/>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9769</v>
      </c>
      <c r="N657" s="2237"/>
      <c r="O657" s="2237"/>
      <c r="P657" s="2237"/>
      <c r="Q657" s="2237"/>
      <c r="R657" s="2237"/>
      <c r="S657" s="2239"/>
      <c r="U657" s="2120" t="s">
        <v>9476</v>
      </c>
    </row>
    <row r="658" spans="1:22" ht="12" customHeight="1" x14ac:dyDescent="0.2">
      <c r="A658" s="5838"/>
      <c r="B658" s="5838"/>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9769</v>
      </c>
      <c r="N658" s="2237"/>
      <c r="O658" s="2237"/>
      <c r="P658" s="2237"/>
      <c r="Q658" s="2237"/>
      <c r="R658" s="2237"/>
      <c r="S658" s="2239"/>
      <c r="U658" s="2120" t="s">
        <v>9477</v>
      </c>
    </row>
    <row r="659" spans="1:22" ht="12" customHeight="1" x14ac:dyDescent="0.2">
      <c r="A659" s="5838"/>
      <c r="B659" s="5838"/>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9769</v>
      </c>
      <c r="N659" s="2237"/>
      <c r="O659" s="2237"/>
      <c r="P659" s="2237"/>
      <c r="Q659" s="2237"/>
      <c r="R659" s="2237"/>
      <c r="S659" s="2239"/>
      <c r="U659" s="2120" t="s">
        <v>9478</v>
      </c>
    </row>
    <row r="660" spans="1:22" ht="12" customHeight="1" x14ac:dyDescent="0.2">
      <c r="A660" s="5838"/>
      <c r="B660" s="5838"/>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9769</v>
      </c>
      <c r="N660" s="2237"/>
      <c r="O660" s="2237"/>
      <c r="P660" s="2237"/>
      <c r="Q660" s="2237"/>
      <c r="R660" s="2237"/>
      <c r="S660" s="2239"/>
      <c r="U660" s="2120" t="s">
        <v>9479</v>
      </c>
    </row>
    <row r="661" spans="1:22" ht="12" customHeight="1" x14ac:dyDescent="0.2">
      <c r="A661" s="5838"/>
      <c r="B661" s="5838"/>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9769</v>
      </c>
      <c r="N661" s="2237"/>
      <c r="O661" s="2237"/>
      <c r="P661" s="2237"/>
      <c r="Q661" s="2237"/>
      <c r="R661" s="2237"/>
      <c r="S661" s="2239"/>
      <c r="U661" s="2120" t="s">
        <v>9480</v>
      </c>
    </row>
    <row r="662" spans="1:22" ht="12" customHeight="1" x14ac:dyDescent="0.2">
      <c r="A662" s="5838"/>
      <c r="B662" s="5838"/>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9769</v>
      </c>
      <c r="N662" s="2237"/>
      <c r="O662" s="2237"/>
      <c r="P662" s="2237"/>
      <c r="Q662" s="2237"/>
      <c r="R662" s="2237"/>
      <c r="S662" s="2239"/>
      <c r="U662" s="2120" t="s">
        <v>9481</v>
      </c>
    </row>
    <row r="663" spans="1:22" ht="12" customHeight="1" x14ac:dyDescent="0.2">
      <c r="A663" s="5838"/>
      <c r="B663" s="5838"/>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9769</v>
      </c>
      <c r="N663" s="2237"/>
      <c r="O663" s="2237"/>
      <c r="P663" s="2237"/>
      <c r="Q663" s="2237"/>
      <c r="R663" s="2237"/>
      <c r="S663" s="2239"/>
      <c r="U663" s="2120" t="s">
        <v>9482</v>
      </c>
    </row>
    <row r="664" spans="1:22" ht="12" customHeight="1" x14ac:dyDescent="0.2">
      <c r="A664" s="5838"/>
      <c r="B664" s="5838"/>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9769</v>
      </c>
      <c r="N664" s="2237"/>
      <c r="O664" s="2237"/>
      <c r="P664" s="2237"/>
      <c r="Q664" s="2237"/>
      <c r="R664" s="2237"/>
      <c r="S664" s="2239"/>
      <c r="U664" s="2120" t="s">
        <v>9483</v>
      </c>
    </row>
    <row r="665" spans="1:22" ht="12" customHeight="1" x14ac:dyDescent="0.2">
      <c r="A665" s="5838"/>
      <c r="B665" s="5838"/>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9769</v>
      </c>
      <c r="N665" s="2237"/>
      <c r="O665" s="2237"/>
      <c r="P665" s="2237"/>
      <c r="Q665" s="2237"/>
      <c r="R665" s="2237"/>
      <c r="S665" s="2239"/>
      <c r="U665" s="2120" t="s">
        <v>9484</v>
      </c>
    </row>
    <row r="666" spans="1:22" ht="12" customHeight="1" x14ac:dyDescent="0.2">
      <c r="A666" s="5838"/>
      <c r="B666" s="5838"/>
      <c r="C666" s="2114" t="s">
        <v>2867</v>
      </c>
      <c r="D666" s="886"/>
      <c r="E666" s="2115"/>
      <c r="F666" s="2115"/>
      <c r="G666" s="2117"/>
      <c r="H666" s="2116"/>
      <c r="I666" s="2116"/>
      <c r="J666" s="2116"/>
      <c r="K666" s="2116"/>
      <c r="L666" s="2116"/>
      <c r="M666" s="2247"/>
      <c r="N666" s="2116"/>
      <c r="O666" s="2116"/>
      <c r="P666" s="2116"/>
      <c r="Q666" s="2116"/>
      <c r="R666" s="2116"/>
      <c r="S666" s="2240"/>
      <c r="U666" s="2120" t="s">
        <v>9485</v>
      </c>
    </row>
    <row r="667" spans="1:22" ht="12" customHeight="1" x14ac:dyDescent="0.2">
      <c r="A667" s="5838"/>
      <c r="B667" s="5838"/>
      <c r="C667" s="2114" t="s">
        <v>2868</v>
      </c>
      <c r="D667" s="886" t="str">
        <f>PROPER(MID(C666,3,100))</f>
        <v>Celéritas</v>
      </c>
      <c r="E667" s="2117">
        <v>1</v>
      </c>
      <c r="F667" s="2117">
        <v>25</v>
      </c>
      <c r="G667" s="2117">
        <f t="shared" ref="G667:G730" si="28">IF(E667="","",MAX(IF(E667=3,60,IF(E667=2,40,20)),F667+M667))</f>
        <v>25</v>
      </c>
      <c r="H667" s="2116" t="s">
        <v>2869</v>
      </c>
      <c r="I667" s="2116" t="s">
        <v>9551</v>
      </c>
      <c r="J667" s="2116" t="s">
        <v>7112</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9747</v>
      </c>
      <c r="O667" s="2232" t="s">
        <v>7731</v>
      </c>
      <c r="P667" s="2232" t="s">
        <v>7112</v>
      </c>
      <c r="Q667" s="2232" t="s">
        <v>7112</v>
      </c>
      <c r="R667" s="2232" t="s">
        <v>7112</v>
      </c>
      <c r="S667" s="2241" t="s">
        <v>7112</v>
      </c>
      <c r="U667" s="2120" t="s">
        <v>9486</v>
      </c>
    </row>
    <row r="668" spans="1:22" ht="12" customHeight="1" x14ac:dyDescent="0.2">
      <c r="A668" s="5838"/>
      <c r="B668" s="5838"/>
      <c r="C668" s="2114" t="s">
        <v>2870</v>
      </c>
      <c r="D668" s="886" t="str">
        <f>D667</f>
        <v>Celéritas</v>
      </c>
      <c r="E668" s="2117">
        <v>1</v>
      </c>
      <c r="F668" s="2117">
        <v>25</v>
      </c>
      <c r="G668" s="2117">
        <f t="shared" si="28"/>
        <v>25</v>
      </c>
      <c r="H668" s="2116" t="s">
        <v>2871</v>
      </c>
      <c r="I668" s="2116" t="s">
        <v>9552</v>
      </c>
      <c r="J668" s="2116" t="s">
        <v>7112</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9748</v>
      </c>
      <c r="O668" s="2232" t="s">
        <v>7731</v>
      </c>
      <c r="P668" s="2232" t="s">
        <v>7112</v>
      </c>
      <c r="Q668" s="2232" t="s">
        <v>7112</v>
      </c>
      <c r="R668" s="2232" t="s">
        <v>7112</v>
      </c>
      <c r="S668" s="2241" t="s">
        <v>7112</v>
      </c>
      <c r="U668" s="2120" t="s">
        <v>2921</v>
      </c>
      <c r="V668" s="2100"/>
    </row>
    <row r="669" spans="1:22" ht="12" customHeight="1" x14ac:dyDescent="0.2">
      <c r="A669" s="5838"/>
      <c r="B669" s="5838"/>
      <c r="C669" s="2114" t="s">
        <v>2872</v>
      </c>
      <c r="D669" s="886" t="str">
        <f>D668</f>
        <v>Celéritas</v>
      </c>
      <c r="E669" s="2117">
        <v>2</v>
      </c>
      <c r="F669" s="2117">
        <v>45</v>
      </c>
      <c r="G669" s="2117">
        <f t="shared" si="28"/>
        <v>45</v>
      </c>
      <c r="H669" s="2116" t="s">
        <v>2873</v>
      </c>
      <c r="I669" s="2116" t="s">
        <v>9553</v>
      </c>
      <c r="J669" s="2116" t="s">
        <v>7112</v>
      </c>
      <c r="K669" s="2116"/>
      <c r="L669" s="2116"/>
      <c r="M669" s="2248">
        <f t="shared" si="29"/>
        <v>0</v>
      </c>
      <c r="N669" s="2232" t="s">
        <v>9749</v>
      </c>
      <c r="O669" s="2232" t="s">
        <v>7731</v>
      </c>
      <c r="P669" s="2232" t="s">
        <v>7112</v>
      </c>
      <c r="Q669" s="2232" t="s">
        <v>7112</v>
      </c>
      <c r="R669" s="2232" t="s">
        <v>7112</v>
      </c>
      <c r="S669" s="2241" t="s">
        <v>7112</v>
      </c>
      <c r="U669" s="2120" t="s">
        <v>9487</v>
      </c>
    </row>
    <row r="670" spans="1:22" ht="12" customHeight="1" x14ac:dyDescent="0.2">
      <c r="A670" s="5838"/>
      <c r="B670" s="5838"/>
      <c r="C670" s="2114" t="s">
        <v>2874</v>
      </c>
      <c r="D670" s="886" t="str">
        <f>D669</f>
        <v>Celéritas</v>
      </c>
      <c r="E670" s="2117">
        <v>2</v>
      </c>
      <c r="F670" s="2117">
        <v>45</v>
      </c>
      <c r="G670" s="2117">
        <f t="shared" si="28"/>
        <v>45</v>
      </c>
      <c r="H670" s="2116" t="s">
        <v>2875</v>
      </c>
      <c r="I670" s="2116" t="s">
        <v>9554</v>
      </c>
      <c r="J670" s="2116" t="s">
        <v>7112</v>
      </c>
      <c r="K670" s="2116"/>
      <c r="L670" s="2116"/>
      <c r="M670" s="2248">
        <f t="shared" si="29"/>
        <v>0</v>
      </c>
      <c r="N670" s="2232" t="s">
        <v>9750</v>
      </c>
      <c r="O670" s="2232" t="s">
        <v>7731</v>
      </c>
      <c r="P670" s="2232" t="s">
        <v>7112</v>
      </c>
      <c r="Q670" s="2232" t="s">
        <v>7112</v>
      </c>
      <c r="R670" s="2232" t="s">
        <v>7112</v>
      </c>
      <c r="S670" s="2241" t="s">
        <v>7112</v>
      </c>
      <c r="U670" s="2120" t="s">
        <v>9488</v>
      </c>
    </row>
    <row r="671" spans="1:22" ht="12" customHeight="1" x14ac:dyDescent="0.2">
      <c r="A671" s="5838"/>
      <c r="B671" s="5838"/>
      <c r="C671" s="2114" t="s">
        <v>2876</v>
      </c>
      <c r="D671" s="886" t="str">
        <f>D670</f>
        <v>Celéritas</v>
      </c>
      <c r="E671" s="2117">
        <v>3</v>
      </c>
      <c r="F671" s="2117">
        <v>85</v>
      </c>
      <c r="G671" s="2117">
        <f t="shared" si="28"/>
        <v>85</v>
      </c>
      <c r="H671" s="2116" t="s">
        <v>2877</v>
      </c>
      <c r="I671" s="2116" t="s">
        <v>9555</v>
      </c>
      <c r="J671" s="2116" t="s">
        <v>7112</v>
      </c>
      <c r="K671" s="2116"/>
      <c r="L671" s="2116"/>
      <c r="M671" s="2248">
        <f t="shared" si="29"/>
        <v>0</v>
      </c>
      <c r="N671" s="2232" t="s">
        <v>9748</v>
      </c>
      <c r="O671" s="2232" t="s">
        <v>7731</v>
      </c>
      <c r="P671" s="2232" t="s">
        <v>7112</v>
      </c>
      <c r="Q671" s="2232" t="s">
        <v>7112</v>
      </c>
      <c r="R671" s="2232" t="s">
        <v>7112</v>
      </c>
      <c r="S671" s="2241" t="s">
        <v>7112</v>
      </c>
      <c r="U671" s="2120" t="s">
        <v>9489</v>
      </c>
    </row>
    <row r="672" spans="1:22" ht="12" customHeight="1" x14ac:dyDescent="0.2">
      <c r="A672" s="5838"/>
      <c r="B672" s="5838"/>
      <c r="C672" s="2114" t="s">
        <v>2878</v>
      </c>
      <c r="D672" s="886"/>
      <c r="E672" s="2117"/>
      <c r="F672" s="2117"/>
      <c r="G672" s="2117" t="str">
        <f t="shared" si="28"/>
        <v/>
      </c>
      <c r="H672" s="2116"/>
      <c r="I672" s="2116" t="s">
        <v>7112</v>
      </c>
      <c r="J672" s="2116" t="s">
        <v>7112</v>
      </c>
      <c r="K672" s="2116"/>
      <c r="L672" s="2116"/>
      <c r="M672" s="2248" t="str">
        <f t="shared" si="29"/>
        <v/>
      </c>
      <c r="N672" s="2232" t="s">
        <v>7112</v>
      </c>
      <c r="O672" s="2232" t="s">
        <v>7112</v>
      </c>
      <c r="P672" s="2232" t="s">
        <v>7112</v>
      </c>
      <c r="Q672" s="2232" t="s">
        <v>7112</v>
      </c>
      <c r="R672" s="2232" t="s">
        <v>7112</v>
      </c>
      <c r="S672" s="2241" t="s">
        <v>7112</v>
      </c>
      <c r="U672" s="2120" t="s">
        <v>9490</v>
      </c>
    </row>
    <row r="673" spans="1:21" ht="12" customHeight="1" x14ac:dyDescent="0.2">
      <c r="A673" s="5838"/>
      <c r="B673" s="5838"/>
      <c r="C673" s="2114" t="s">
        <v>2879</v>
      </c>
      <c r="D673" s="886" t="str">
        <f>PROPER(MID(C672,3,100))</f>
        <v>Ignis</v>
      </c>
      <c r="E673" s="2117">
        <v>1</v>
      </c>
      <c r="F673" s="2117">
        <v>20</v>
      </c>
      <c r="G673" s="2117">
        <f t="shared" si="28"/>
        <v>20</v>
      </c>
      <c r="H673" s="2116" t="s">
        <v>2880</v>
      </c>
      <c r="I673" s="2116" t="s">
        <v>9556</v>
      </c>
      <c r="J673" s="2116" t="s">
        <v>7112</v>
      </c>
      <c r="K673" s="2116"/>
      <c r="L673" s="2116"/>
      <c r="M673" s="2248">
        <f t="shared" si="29"/>
        <v>0</v>
      </c>
      <c r="N673" s="2232" t="s">
        <v>9761</v>
      </c>
      <c r="O673" s="2232" t="s">
        <v>9761</v>
      </c>
      <c r="P673" s="2232" t="s">
        <v>7112</v>
      </c>
      <c r="Q673" s="2232" t="s">
        <v>7112</v>
      </c>
      <c r="R673" s="2232" t="s">
        <v>7112</v>
      </c>
      <c r="S673" s="2241" t="s">
        <v>7112</v>
      </c>
      <c r="U673" s="2120" t="s">
        <v>9491</v>
      </c>
    </row>
    <row r="674" spans="1:21" ht="12" customHeight="1" x14ac:dyDescent="0.2">
      <c r="A674" s="5838"/>
      <c r="B674" s="5838"/>
      <c r="C674" s="2114" t="s">
        <v>2882</v>
      </c>
      <c r="D674" s="886" t="str">
        <f>D673</f>
        <v>Ignis</v>
      </c>
      <c r="E674" s="2117">
        <v>1</v>
      </c>
      <c r="F674" s="2117">
        <v>20</v>
      </c>
      <c r="G674" s="2117">
        <f t="shared" si="28"/>
        <v>20</v>
      </c>
      <c r="H674" s="2116" t="s">
        <v>2883</v>
      </c>
      <c r="I674" s="2116" t="s">
        <v>9557</v>
      </c>
      <c r="J674" s="2116" t="s">
        <v>7112</v>
      </c>
      <c r="K674" s="2116"/>
      <c r="L674" s="2116"/>
      <c r="M674" s="2248">
        <f t="shared" si="29"/>
        <v>0</v>
      </c>
      <c r="N674" s="2232" t="s">
        <v>9749</v>
      </c>
      <c r="O674" s="2232" t="s">
        <v>9747</v>
      </c>
      <c r="P674" s="2232" t="s">
        <v>7112</v>
      </c>
      <c r="Q674" s="2232" t="s">
        <v>7112</v>
      </c>
      <c r="R674" s="2232" t="s">
        <v>7112</v>
      </c>
      <c r="S674" s="2241" t="s">
        <v>7112</v>
      </c>
      <c r="T674" s="2112"/>
      <c r="U674" s="2120" t="s">
        <v>9492</v>
      </c>
    </row>
    <row r="675" spans="1:21" ht="12" customHeight="1" x14ac:dyDescent="0.2">
      <c r="A675" s="5838"/>
      <c r="B675" s="5838"/>
      <c r="C675" s="2114" t="s">
        <v>2884</v>
      </c>
      <c r="D675" s="886" t="str">
        <f>D674</f>
        <v>Ignis</v>
      </c>
      <c r="E675" s="2117">
        <v>2</v>
      </c>
      <c r="F675" s="2117">
        <v>40</v>
      </c>
      <c r="G675" s="2117">
        <f t="shared" si="28"/>
        <v>40</v>
      </c>
      <c r="H675" s="2116" t="s">
        <v>2885</v>
      </c>
      <c r="I675" s="2116" t="s">
        <v>9558</v>
      </c>
      <c r="J675" s="2116" t="s">
        <v>9728</v>
      </c>
      <c r="K675" s="2116"/>
      <c r="L675" s="2116"/>
      <c r="M675" s="2248">
        <f t="shared" si="29"/>
        <v>0</v>
      </c>
      <c r="N675" s="2232" t="s">
        <v>9762</v>
      </c>
      <c r="O675" s="2232" t="s">
        <v>9750</v>
      </c>
      <c r="P675" s="2232" t="s">
        <v>7112</v>
      </c>
      <c r="Q675" s="2232" t="s">
        <v>7112</v>
      </c>
      <c r="R675" s="2232" t="s">
        <v>7112</v>
      </c>
      <c r="S675" s="2241" t="s">
        <v>7112</v>
      </c>
      <c r="U675" s="2120" t="s">
        <v>9493</v>
      </c>
    </row>
    <row r="676" spans="1:21" ht="12" customHeight="1" x14ac:dyDescent="0.2">
      <c r="A676" s="5838"/>
      <c r="B676" s="5838"/>
      <c r="C676" s="2114" t="s">
        <v>2886</v>
      </c>
      <c r="D676" s="886" t="str">
        <f>D675</f>
        <v>Ignis</v>
      </c>
      <c r="E676" s="2117">
        <v>2</v>
      </c>
      <c r="F676" s="2117">
        <v>40</v>
      </c>
      <c r="G676" s="2117">
        <f t="shared" si="28"/>
        <v>40</v>
      </c>
      <c r="H676" s="2116" t="s">
        <v>2887</v>
      </c>
      <c r="I676" s="2116" t="s">
        <v>9559</v>
      </c>
      <c r="J676" s="2116" t="s">
        <v>9728</v>
      </c>
      <c r="K676" s="2116"/>
      <c r="L676" s="2116"/>
      <c r="M676" s="2248">
        <f t="shared" si="29"/>
        <v>0</v>
      </c>
      <c r="N676" s="2232" t="s">
        <v>9749</v>
      </c>
      <c r="O676" s="2232" t="s">
        <v>9762</v>
      </c>
      <c r="P676" s="2232" t="s">
        <v>9763</v>
      </c>
      <c r="Q676" s="2232" t="s">
        <v>7112</v>
      </c>
      <c r="R676" s="2232" t="s">
        <v>7112</v>
      </c>
      <c r="S676" s="2241" t="s">
        <v>7112</v>
      </c>
      <c r="U676" s="2120" t="s">
        <v>720</v>
      </c>
    </row>
    <row r="677" spans="1:21" ht="12" customHeight="1" x14ac:dyDescent="0.2">
      <c r="A677" s="5838"/>
      <c r="B677" s="5838"/>
      <c r="C677" s="2114" t="s">
        <v>2888</v>
      </c>
      <c r="D677" s="886" t="str">
        <f>D676</f>
        <v>Ignis</v>
      </c>
      <c r="E677" s="2117">
        <v>3</v>
      </c>
      <c r="F677" s="2117">
        <v>60</v>
      </c>
      <c r="G677" s="2117">
        <f t="shared" si="28"/>
        <v>60</v>
      </c>
      <c r="H677" s="2116" t="s">
        <v>2889</v>
      </c>
      <c r="I677" s="2116" t="s">
        <v>9560</v>
      </c>
      <c r="J677" s="2116" t="s">
        <v>9728</v>
      </c>
      <c r="K677" s="2116"/>
      <c r="L677" s="2116"/>
      <c r="M677" s="2248">
        <f t="shared" si="29"/>
        <v>0</v>
      </c>
      <c r="N677" s="2232" t="s">
        <v>9749</v>
      </c>
      <c r="O677" s="2232" t="s">
        <v>9762</v>
      </c>
      <c r="P677" s="2232" t="s">
        <v>7112</v>
      </c>
      <c r="Q677" s="2232" t="s">
        <v>7112</v>
      </c>
      <c r="R677" s="2232" t="s">
        <v>7112</v>
      </c>
      <c r="S677" s="2241" t="s">
        <v>7112</v>
      </c>
      <c r="U677" s="2120" t="s">
        <v>9494</v>
      </c>
    </row>
    <row r="678" spans="1:21" ht="12" customHeight="1" x14ac:dyDescent="0.2">
      <c r="A678" s="5838"/>
      <c r="B678" s="5838"/>
      <c r="C678" s="2114" t="s">
        <v>2890</v>
      </c>
      <c r="D678" s="886"/>
      <c r="E678" s="2117"/>
      <c r="F678" s="2117"/>
      <c r="G678" s="2117" t="str">
        <f t="shared" si="28"/>
        <v/>
      </c>
      <c r="H678" s="2116"/>
      <c r="I678" s="2116" t="s">
        <v>7112</v>
      </c>
      <c r="J678" s="2116" t="s">
        <v>7112</v>
      </c>
      <c r="K678" s="2116"/>
      <c r="L678" s="2116"/>
      <c r="M678" s="2248" t="str">
        <f t="shared" si="29"/>
        <v/>
      </c>
      <c r="N678" s="2232" t="s">
        <v>7112</v>
      </c>
      <c r="O678" s="2232" t="s">
        <v>7112</v>
      </c>
      <c r="P678" s="2232" t="s">
        <v>7112</v>
      </c>
      <c r="Q678" s="2232" t="s">
        <v>7112</v>
      </c>
      <c r="R678" s="2232" t="s">
        <v>7112</v>
      </c>
      <c r="S678" s="2241" t="s">
        <v>7112</v>
      </c>
      <c r="U678" s="2120" t="s">
        <v>9495</v>
      </c>
    </row>
    <row r="679" spans="1:21" ht="12" customHeight="1" thickBot="1" x14ac:dyDescent="0.25">
      <c r="A679" s="5838"/>
      <c r="B679" s="5838"/>
      <c r="C679" s="2114" t="s">
        <v>2892</v>
      </c>
      <c r="D679" s="886" t="str">
        <f>PROPER(MID(C678,3,100))</f>
        <v>El Dragón</v>
      </c>
      <c r="E679" s="2117">
        <v>1</v>
      </c>
      <c r="F679" s="2117">
        <v>20</v>
      </c>
      <c r="G679" s="2117">
        <f t="shared" si="28"/>
        <v>20</v>
      </c>
      <c r="H679" s="2116" t="s">
        <v>2893</v>
      </c>
      <c r="I679" s="2116" t="s">
        <v>9561</v>
      </c>
      <c r="J679" s="2116" t="s">
        <v>7112</v>
      </c>
      <c r="K679" s="2116"/>
      <c r="L679" s="2116"/>
      <c r="M679" s="2248">
        <f t="shared" si="29"/>
        <v>0</v>
      </c>
      <c r="N679" s="2232" t="s">
        <v>9764</v>
      </c>
      <c r="O679" s="2232" t="s">
        <v>7112</v>
      </c>
      <c r="P679" s="2232" t="s">
        <v>7112</v>
      </c>
      <c r="Q679" s="2232" t="s">
        <v>7112</v>
      </c>
      <c r="R679" s="2232" t="s">
        <v>7112</v>
      </c>
      <c r="S679" s="2241" t="s">
        <v>7112</v>
      </c>
      <c r="U679" s="2121" t="s">
        <v>9496</v>
      </c>
    </row>
    <row r="680" spans="1:21" ht="12" customHeight="1" x14ac:dyDescent="0.2">
      <c r="A680" s="5838"/>
      <c r="B680" s="5838"/>
      <c r="C680" s="2114" t="s">
        <v>2894</v>
      </c>
      <c r="D680" s="886" t="str">
        <f>D679</f>
        <v>El Dragón</v>
      </c>
      <c r="E680" s="2117">
        <v>1</v>
      </c>
      <c r="F680" s="2117">
        <v>30</v>
      </c>
      <c r="G680" s="2117">
        <f t="shared" si="28"/>
        <v>30</v>
      </c>
      <c r="H680" s="2116" t="s">
        <v>2895</v>
      </c>
      <c r="I680" s="2116" t="s">
        <v>9562</v>
      </c>
      <c r="J680" s="2116" t="s">
        <v>7112</v>
      </c>
      <c r="K680" s="2116"/>
      <c r="L680" s="2116"/>
      <c r="M680" s="2248">
        <f t="shared" si="29"/>
        <v>0</v>
      </c>
      <c r="N680" s="2232" t="s">
        <v>9279</v>
      </c>
      <c r="O680" s="2232" t="s">
        <v>9762</v>
      </c>
      <c r="P680" s="2232" t="s">
        <v>7112</v>
      </c>
      <c r="Q680" s="2232" t="s">
        <v>7112</v>
      </c>
      <c r="R680" s="2232" t="s">
        <v>7112</v>
      </c>
      <c r="S680" s="2241" t="s">
        <v>7112</v>
      </c>
    </row>
    <row r="681" spans="1:21" ht="12" customHeight="1" x14ac:dyDescent="0.2">
      <c r="A681" s="5838"/>
      <c r="B681" s="5838"/>
      <c r="C681" s="2114" t="s">
        <v>2896</v>
      </c>
      <c r="D681" s="886" t="str">
        <f>D680</f>
        <v>El Dragón</v>
      </c>
      <c r="E681" s="2117">
        <v>2</v>
      </c>
      <c r="F681" s="2117">
        <v>45</v>
      </c>
      <c r="G681" s="2117">
        <f t="shared" si="28"/>
        <v>45</v>
      </c>
      <c r="H681" s="2116" t="s">
        <v>2897</v>
      </c>
      <c r="I681" s="2116" t="s">
        <v>9563</v>
      </c>
      <c r="J681" s="2116" t="s">
        <v>7112</v>
      </c>
      <c r="K681" s="2116"/>
      <c r="L681" s="2116"/>
      <c r="M681" s="2248">
        <f t="shared" si="29"/>
        <v>0</v>
      </c>
      <c r="N681" s="2232" t="s">
        <v>9765</v>
      </c>
      <c r="O681" s="2232" t="s">
        <v>7731</v>
      </c>
      <c r="P681" s="2232" t="s">
        <v>9749</v>
      </c>
      <c r="Q681" s="2232" t="s">
        <v>7112</v>
      </c>
      <c r="R681" s="2232" t="s">
        <v>7112</v>
      </c>
      <c r="S681" s="2241" t="s">
        <v>7112</v>
      </c>
    </row>
    <row r="682" spans="1:21" ht="12" customHeight="1" x14ac:dyDescent="0.2">
      <c r="A682" s="5838"/>
      <c r="B682" s="5838"/>
      <c r="C682" s="2114" t="s">
        <v>2899</v>
      </c>
      <c r="D682" s="886" t="str">
        <f>D681</f>
        <v>El Dragón</v>
      </c>
      <c r="E682" s="2117">
        <v>2</v>
      </c>
      <c r="F682" s="2117">
        <v>55</v>
      </c>
      <c r="G682" s="2117">
        <f t="shared" si="28"/>
        <v>55</v>
      </c>
      <c r="H682" s="2116" t="s">
        <v>2900</v>
      </c>
      <c r="I682" s="2116" t="s">
        <v>9564</v>
      </c>
      <c r="J682" s="2116" t="s">
        <v>7112</v>
      </c>
      <c r="K682" s="2116"/>
      <c r="L682" s="2116"/>
      <c r="M682" s="2248">
        <f t="shared" si="29"/>
        <v>0</v>
      </c>
      <c r="N682" s="2232" t="s">
        <v>9749</v>
      </c>
      <c r="O682" s="2232" t="s">
        <v>9750</v>
      </c>
      <c r="P682" s="2232" t="s">
        <v>9762</v>
      </c>
      <c r="Q682" s="2232" t="s">
        <v>7112</v>
      </c>
      <c r="R682" s="2232" t="s">
        <v>7112</v>
      </c>
      <c r="S682" s="2241" t="s">
        <v>7112</v>
      </c>
    </row>
    <row r="683" spans="1:21" ht="12" customHeight="1" x14ac:dyDescent="0.2">
      <c r="A683" s="5838"/>
      <c r="B683" s="5838"/>
      <c r="C683" s="2114" t="s">
        <v>2902</v>
      </c>
      <c r="D683" s="886" t="str">
        <f>D682</f>
        <v>El Dragón</v>
      </c>
      <c r="E683" s="2117">
        <v>3</v>
      </c>
      <c r="F683" s="2117">
        <v>80</v>
      </c>
      <c r="G683" s="2117">
        <f t="shared" si="28"/>
        <v>80</v>
      </c>
      <c r="H683" s="2116" t="s">
        <v>2903</v>
      </c>
      <c r="I683" s="2116" t="s">
        <v>9565</v>
      </c>
      <c r="J683" s="2116" t="s">
        <v>3214</v>
      </c>
      <c r="K683" s="2116"/>
      <c r="L683" s="2116"/>
      <c r="M683" s="2248">
        <f t="shared" si="29"/>
        <v>0</v>
      </c>
      <c r="N683" s="2232" t="s">
        <v>9747</v>
      </c>
      <c r="O683" s="2232" t="s">
        <v>9750</v>
      </c>
      <c r="P683" s="2232" t="s">
        <v>9761</v>
      </c>
      <c r="Q683" s="2232" t="s">
        <v>9762</v>
      </c>
      <c r="R683" s="2232" t="s">
        <v>7112</v>
      </c>
      <c r="S683" s="2241" t="s">
        <v>7112</v>
      </c>
    </row>
    <row r="684" spans="1:21" ht="12" customHeight="1" x14ac:dyDescent="0.2">
      <c r="A684" s="5838"/>
      <c r="B684" s="5838"/>
      <c r="C684" s="2114" t="s">
        <v>6341</v>
      </c>
      <c r="D684" s="886"/>
      <c r="E684" s="2117"/>
      <c r="F684" s="2117"/>
      <c r="G684" s="2117" t="str">
        <f t="shared" si="28"/>
        <v/>
      </c>
      <c r="H684" s="2116"/>
      <c r="I684" s="2116" t="s">
        <v>7112</v>
      </c>
      <c r="J684" s="2116" t="s">
        <v>7112</v>
      </c>
      <c r="K684" s="2116"/>
      <c r="L684" s="2116"/>
      <c r="M684" s="2248" t="str">
        <f t="shared" si="29"/>
        <v/>
      </c>
      <c r="N684" s="2232" t="s">
        <v>7112</v>
      </c>
      <c r="O684" s="2232" t="s">
        <v>7112</v>
      </c>
      <c r="P684" s="2232" t="s">
        <v>7112</v>
      </c>
      <c r="Q684" s="2232" t="s">
        <v>7112</v>
      </c>
      <c r="R684" s="2232" t="s">
        <v>7112</v>
      </c>
      <c r="S684" s="2241" t="s">
        <v>7112</v>
      </c>
    </row>
    <row r="685" spans="1:21" ht="12" customHeight="1" x14ac:dyDescent="0.2">
      <c r="A685" s="5838"/>
      <c r="B685" s="5838"/>
      <c r="C685" s="2114" t="s">
        <v>6342</v>
      </c>
      <c r="D685" s="886" t="str">
        <f>PROPER(MID(C684,3,100))</f>
        <v>Las Cadenas</v>
      </c>
      <c r="E685" s="2117">
        <v>1</v>
      </c>
      <c r="F685" s="2117">
        <v>35</v>
      </c>
      <c r="G685" s="2117">
        <f t="shared" si="28"/>
        <v>35</v>
      </c>
      <c r="H685" s="2116" t="s">
        <v>9471</v>
      </c>
      <c r="I685" s="2116" t="s">
        <v>9566</v>
      </c>
      <c r="J685" s="2116" t="s">
        <v>7112</v>
      </c>
      <c r="K685" s="2116"/>
      <c r="L685" s="2116"/>
      <c r="M685" s="2248">
        <f t="shared" si="29"/>
        <v>0</v>
      </c>
      <c r="N685" s="2232" t="s">
        <v>9761</v>
      </c>
      <c r="O685" s="2232" t="s">
        <v>9762</v>
      </c>
      <c r="P685" s="2232" t="s">
        <v>9747</v>
      </c>
      <c r="Q685" s="2232" t="s">
        <v>7112</v>
      </c>
      <c r="R685" s="2232" t="s">
        <v>7112</v>
      </c>
      <c r="S685" s="2241" t="s">
        <v>7112</v>
      </c>
    </row>
    <row r="686" spans="1:21" ht="12" customHeight="1" x14ac:dyDescent="0.2">
      <c r="A686" s="5838"/>
      <c r="B686" s="5838"/>
      <c r="C686" s="2114" t="s">
        <v>6343</v>
      </c>
      <c r="D686" s="886" t="str">
        <f>D685</f>
        <v>Las Cadenas</v>
      </c>
      <c r="E686" s="2117">
        <v>1</v>
      </c>
      <c r="F686" s="2117">
        <v>50</v>
      </c>
      <c r="G686" s="2117">
        <f t="shared" si="28"/>
        <v>50</v>
      </c>
      <c r="H686" s="2116" t="s">
        <v>6347</v>
      </c>
      <c r="I686" s="2116" t="s">
        <v>9567</v>
      </c>
      <c r="J686" s="2116" t="s">
        <v>7112</v>
      </c>
      <c r="K686" s="2116"/>
      <c r="L686" s="2116"/>
      <c r="M686" s="2248">
        <f t="shared" si="29"/>
        <v>0</v>
      </c>
      <c r="N686" s="2232" t="s">
        <v>9762</v>
      </c>
      <c r="O686" s="2232" t="s">
        <v>9750</v>
      </c>
      <c r="P686" s="2232" t="s">
        <v>9747</v>
      </c>
      <c r="Q686" s="2232" t="s">
        <v>7112</v>
      </c>
      <c r="R686" s="2232" t="s">
        <v>7112</v>
      </c>
      <c r="S686" s="2241" t="s">
        <v>7112</v>
      </c>
    </row>
    <row r="687" spans="1:21" ht="12" customHeight="1" x14ac:dyDescent="0.2">
      <c r="A687" s="5838"/>
      <c r="B687" s="5838"/>
      <c r="C687" s="2114" t="s">
        <v>6344</v>
      </c>
      <c r="D687" s="886" t="str">
        <f>D686</f>
        <v>Las Cadenas</v>
      </c>
      <c r="E687" s="2117">
        <v>2</v>
      </c>
      <c r="F687" s="2117">
        <v>60</v>
      </c>
      <c r="G687" s="2117">
        <f t="shared" si="28"/>
        <v>60</v>
      </c>
      <c r="H687" s="2116" t="s">
        <v>6348</v>
      </c>
      <c r="I687" s="2116" t="s">
        <v>9568</v>
      </c>
      <c r="J687" s="2116" t="s">
        <v>7112</v>
      </c>
      <c r="K687" s="2116"/>
      <c r="L687" s="2116"/>
      <c r="M687" s="2248">
        <f t="shared" si="29"/>
        <v>0</v>
      </c>
      <c r="N687" s="2232" t="s">
        <v>9749</v>
      </c>
      <c r="O687" s="2232" t="s">
        <v>9766</v>
      </c>
      <c r="P687" s="2232" t="s">
        <v>9747</v>
      </c>
      <c r="Q687" s="2232" t="s">
        <v>7112</v>
      </c>
      <c r="R687" s="2232" t="s">
        <v>7112</v>
      </c>
      <c r="S687" s="2241" t="s">
        <v>7112</v>
      </c>
    </row>
    <row r="688" spans="1:21" ht="12" customHeight="1" x14ac:dyDescent="0.2">
      <c r="A688" s="5838"/>
      <c r="B688" s="5838"/>
      <c r="C688" s="2114" t="s">
        <v>6345</v>
      </c>
      <c r="D688" s="886" t="str">
        <f>D687</f>
        <v>Las Cadenas</v>
      </c>
      <c r="E688" s="2117">
        <v>2</v>
      </c>
      <c r="F688" s="2117">
        <v>70</v>
      </c>
      <c r="G688" s="2117">
        <f t="shared" si="28"/>
        <v>70</v>
      </c>
      <c r="H688" s="2116" t="s">
        <v>6349</v>
      </c>
      <c r="I688" s="2116" t="s">
        <v>9569</v>
      </c>
      <c r="J688" s="2116" t="s">
        <v>7112</v>
      </c>
      <c r="K688" s="2116"/>
      <c r="L688" s="2116"/>
      <c r="M688" s="2248">
        <f t="shared" si="29"/>
        <v>0</v>
      </c>
      <c r="N688" s="2232" t="s">
        <v>9751</v>
      </c>
      <c r="O688" s="2232" t="s">
        <v>9279</v>
      </c>
      <c r="P688" s="2232" t="s">
        <v>9752</v>
      </c>
      <c r="Q688" s="2232" t="s">
        <v>7112</v>
      </c>
      <c r="R688" s="2232" t="s">
        <v>7112</v>
      </c>
      <c r="S688" s="2241" t="s">
        <v>7112</v>
      </c>
    </row>
    <row r="689" spans="1:19" ht="12" customHeight="1" x14ac:dyDescent="0.2">
      <c r="A689" s="5838"/>
      <c r="B689" s="5838"/>
      <c r="C689" s="2114" t="s">
        <v>6346</v>
      </c>
      <c r="D689" s="886" t="str">
        <f>D688</f>
        <v>Las Cadenas</v>
      </c>
      <c r="E689" s="2117">
        <v>3</v>
      </c>
      <c r="F689" s="2117">
        <v>90</v>
      </c>
      <c r="G689" s="2117">
        <f t="shared" si="28"/>
        <v>90</v>
      </c>
      <c r="H689" s="2116" t="s">
        <v>6350</v>
      </c>
      <c r="I689" s="2116" t="s">
        <v>9570</v>
      </c>
      <c r="J689" s="2116" t="s">
        <v>7112</v>
      </c>
      <c r="K689" s="2116"/>
      <c r="L689" s="2116"/>
      <c r="M689" s="2248">
        <f t="shared" si="29"/>
        <v>0</v>
      </c>
      <c r="N689" s="2232" t="s">
        <v>9279</v>
      </c>
      <c r="O689" s="2232" t="s">
        <v>9765</v>
      </c>
      <c r="P689" s="2232" t="s">
        <v>9747</v>
      </c>
      <c r="Q689" s="2232" t="s">
        <v>7112</v>
      </c>
      <c r="R689" s="2232" t="s">
        <v>7112</v>
      </c>
      <c r="S689" s="2241" t="s">
        <v>7112</v>
      </c>
    </row>
    <row r="690" spans="1:19" ht="12" customHeight="1" x14ac:dyDescent="0.2">
      <c r="A690" s="5838"/>
      <c r="B690" s="5838"/>
      <c r="C690" s="2114" t="s">
        <v>6351</v>
      </c>
      <c r="D690" s="886"/>
      <c r="E690" s="2117"/>
      <c r="F690" s="2117"/>
      <c r="G690" s="2117" t="str">
        <f t="shared" si="28"/>
        <v/>
      </c>
      <c r="H690" s="2116"/>
      <c r="I690" s="2116" t="s">
        <v>7112</v>
      </c>
      <c r="J690" s="2116" t="s">
        <v>7112</v>
      </c>
      <c r="K690" s="2116"/>
      <c r="L690" s="2116"/>
      <c r="M690" s="2248" t="str">
        <f t="shared" si="29"/>
        <v/>
      </c>
      <c r="N690" s="2232" t="s">
        <v>7112</v>
      </c>
      <c r="O690" s="2232" t="s">
        <v>7112</v>
      </c>
      <c r="P690" s="2232" t="s">
        <v>7112</v>
      </c>
      <c r="Q690" s="2232" t="s">
        <v>7112</v>
      </c>
      <c r="R690" s="2232" t="s">
        <v>7112</v>
      </c>
      <c r="S690" s="2241" t="s">
        <v>7112</v>
      </c>
    </row>
    <row r="691" spans="1:19" ht="12" customHeight="1" x14ac:dyDescent="0.2">
      <c r="A691" s="5838"/>
      <c r="B691" s="5838"/>
      <c r="C691" s="2114" t="s">
        <v>6353</v>
      </c>
      <c r="D691" s="886" t="str">
        <f>PROPER(MID(C690,3,100))</f>
        <v>Sirius</v>
      </c>
      <c r="E691" s="2117">
        <v>1</v>
      </c>
      <c r="F691" s="2117">
        <v>30</v>
      </c>
      <c r="G691" s="2117">
        <f t="shared" si="28"/>
        <v>30</v>
      </c>
      <c r="H691" s="2116" t="s">
        <v>6358</v>
      </c>
      <c r="I691" s="2116" t="s">
        <v>9571</v>
      </c>
      <c r="J691" s="2116" t="s">
        <v>9572</v>
      </c>
      <c r="K691" s="2116"/>
      <c r="L691" s="2116"/>
      <c r="M691" s="2248">
        <f t="shared" si="29"/>
        <v>0</v>
      </c>
      <c r="N691" s="2232" t="s">
        <v>9749</v>
      </c>
      <c r="O691" s="2232" t="s">
        <v>9767</v>
      </c>
      <c r="P691" s="2232" t="s">
        <v>7112</v>
      </c>
      <c r="Q691" s="2232" t="s">
        <v>7112</v>
      </c>
      <c r="R691" s="2232" t="s">
        <v>7112</v>
      </c>
      <c r="S691" s="2241" t="s">
        <v>7112</v>
      </c>
    </row>
    <row r="692" spans="1:19" ht="12" customHeight="1" x14ac:dyDescent="0.2">
      <c r="A692" s="5838"/>
      <c r="B692" s="5838"/>
      <c r="C692" s="2114" t="s">
        <v>6354</v>
      </c>
      <c r="D692" s="886" t="str">
        <f>D691</f>
        <v>Sirius</v>
      </c>
      <c r="E692" s="2117">
        <v>1</v>
      </c>
      <c r="F692" s="2117">
        <v>30</v>
      </c>
      <c r="G692" s="2117">
        <f t="shared" si="28"/>
        <v>30</v>
      </c>
      <c r="H692" s="2116" t="s">
        <v>6359</v>
      </c>
      <c r="I692" s="2116" t="s">
        <v>9573</v>
      </c>
      <c r="J692" s="2116" t="s">
        <v>7112</v>
      </c>
      <c r="K692" s="2116"/>
      <c r="L692" s="2116"/>
      <c r="M692" s="2248">
        <f t="shared" si="29"/>
        <v>0</v>
      </c>
      <c r="N692" s="2232" t="s">
        <v>9749</v>
      </c>
      <c r="O692" s="2232" t="s">
        <v>9767</v>
      </c>
      <c r="P692" s="2232" t="s">
        <v>7112</v>
      </c>
      <c r="Q692" s="2232" t="s">
        <v>7112</v>
      </c>
      <c r="R692" s="2232" t="s">
        <v>7112</v>
      </c>
      <c r="S692" s="2241" t="s">
        <v>7112</v>
      </c>
    </row>
    <row r="693" spans="1:19" ht="12" customHeight="1" x14ac:dyDescent="0.2">
      <c r="A693" s="5838"/>
      <c r="B693" s="5838"/>
      <c r="C693" s="2114" t="s">
        <v>6355</v>
      </c>
      <c r="D693" s="886" t="str">
        <f>D692</f>
        <v>Sirius</v>
      </c>
      <c r="E693" s="2117">
        <v>2</v>
      </c>
      <c r="F693" s="2117">
        <v>40</v>
      </c>
      <c r="G693" s="2117">
        <f t="shared" si="28"/>
        <v>40</v>
      </c>
      <c r="H693" s="2116" t="s">
        <v>6360</v>
      </c>
      <c r="I693" s="2116" t="s">
        <v>9574</v>
      </c>
      <c r="J693" s="2116" t="s">
        <v>9572</v>
      </c>
      <c r="K693" s="2116"/>
      <c r="L693" s="2116"/>
      <c r="M693" s="2248">
        <f t="shared" si="29"/>
        <v>0</v>
      </c>
      <c r="N693" s="2232" t="s">
        <v>9749</v>
      </c>
      <c r="O693" s="2232" t="s">
        <v>9767</v>
      </c>
      <c r="P693" s="2232" t="s">
        <v>7112</v>
      </c>
      <c r="Q693" s="2232" t="s">
        <v>7112</v>
      </c>
      <c r="R693" s="2232" t="s">
        <v>7112</v>
      </c>
      <c r="S693" s="2241" t="s">
        <v>7112</v>
      </c>
    </row>
    <row r="694" spans="1:19" ht="12" customHeight="1" x14ac:dyDescent="0.2">
      <c r="A694" s="5838"/>
      <c r="B694" s="5838"/>
      <c r="C694" s="2114" t="s">
        <v>6356</v>
      </c>
      <c r="D694" s="886" t="str">
        <f>D693</f>
        <v>Sirius</v>
      </c>
      <c r="E694" s="2117">
        <v>2</v>
      </c>
      <c r="F694" s="2117">
        <v>40</v>
      </c>
      <c r="G694" s="2117">
        <f t="shared" si="28"/>
        <v>40</v>
      </c>
      <c r="H694" s="2116" t="s">
        <v>6361</v>
      </c>
      <c r="I694" s="2116" t="s">
        <v>9575</v>
      </c>
      <c r="J694" s="2116" t="s">
        <v>9572</v>
      </c>
      <c r="K694" s="2116"/>
      <c r="L694" s="2116"/>
      <c r="M694" s="2248">
        <f t="shared" si="29"/>
        <v>0</v>
      </c>
      <c r="N694" s="2232" t="s">
        <v>9749</v>
      </c>
      <c r="O694" s="2232" t="s">
        <v>9767</v>
      </c>
      <c r="P694" s="2232" t="s">
        <v>7112</v>
      </c>
      <c r="Q694" s="2232" t="s">
        <v>7112</v>
      </c>
      <c r="R694" s="2232" t="s">
        <v>7112</v>
      </c>
      <c r="S694" s="2241" t="s">
        <v>7112</v>
      </c>
    </row>
    <row r="695" spans="1:19" ht="12" customHeight="1" x14ac:dyDescent="0.2">
      <c r="A695" s="5838"/>
      <c r="B695" s="5838"/>
      <c r="C695" s="2114" t="s">
        <v>6357</v>
      </c>
      <c r="D695" s="886" t="str">
        <f>D694</f>
        <v>Sirius</v>
      </c>
      <c r="E695" s="2117">
        <v>3</v>
      </c>
      <c r="F695" s="2117">
        <v>70</v>
      </c>
      <c r="G695" s="2117">
        <f t="shared" si="28"/>
        <v>70</v>
      </c>
      <c r="H695" s="2116" t="s">
        <v>6362</v>
      </c>
      <c r="I695" s="2116" t="s">
        <v>9576</v>
      </c>
      <c r="J695" s="2116" t="s">
        <v>9572</v>
      </c>
      <c r="K695" s="2116"/>
      <c r="L695" s="2116"/>
      <c r="M695" s="2248">
        <f t="shared" si="29"/>
        <v>0</v>
      </c>
      <c r="N695" s="2232" t="s">
        <v>9749</v>
      </c>
      <c r="O695" s="2232" t="s">
        <v>9767</v>
      </c>
      <c r="P695" s="2232" t="s">
        <v>7112</v>
      </c>
      <c r="Q695" s="2232" t="s">
        <v>7112</v>
      </c>
      <c r="R695" s="2232" t="s">
        <v>7112</v>
      </c>
      <c r="S695" s="2241" t="s">
        <v>7112</v>
      </c>
    </row>
    <row r="696" spans="1:19" ht="12" customHeight="1" x14ac:dyDescent="0.2">
      <c r="A696" s="5838"/>
      <c r="B696" s="5838"/>
      <c r="C696" s="2114" t="s">
        <v>6352</v>
      </c>
      <c r="D696" s="886"/>
      <c r="E696" s="2117"/>
      <c r="F696" s="2117"/>
      <c r="G696" s="2117" t="str">
        <f t="shared" si="28"/>
        <v/>
      </c>
      <c r="H696" s="2116"/>
      <c r="I696" s="2116" t="s">
        <v>7112</v>
      </c>
      <c r="J696" s="2116" t="s">
        <v>7112</v>
      </c>
      <c r="K696" s="2116"/>
      <c r="L696" s="2116"/>
      <c r="M696" s="2248" t="str">
        <f t="shared" si="29"/>
        <v/>
      </c>
      <c r="N696" s="2232" t="s">
        <v>7112</v>
      </c>
      <c r="O696" s="2232" t="s">
        <v>7112</v>
      </c>
      <c r="P696" s="2232" t="s">
        <v>7112</v>
      </c>
      <c r="Q696" s="2232" t="s">
        <v>7112</v>
      </c>
      <c r="R696" s="2232" t="s">
        <v>7112</v>
      </c>
      <c r="S696" s="2241" t="s">
        <v>7112</v>
      </c>
    </row>
    <row r="697" spans="1:19" ht="12" customHeight="1" x14ac:dyDescent="0.2">
      <c r="A697" s="5838"/>
      <c r="B697" s="5838"/>
      <c r="C697" s="2114" t="s">
        <v>6363</v>
      </c>
      <c r="D697" s="886" t="str">
        <f>PROPER(MID(C696,3,100))</f>
        <v>Basis</v>
      </c>
      <c r="E697" s="2117">
        <v>1</v>
      </c>
      <c r="F697" s="2117">
        <v>25</v>
      </c>
      <c r="G697" s="2117">
        <f t="shared" si="28"/>
        <v>25</v>
      </c>
      <c r="H697" s="2116" t="s">
        <v>6365</v>
      </c>
      <c r="I697" s="2116" t="s">
        <v>9577</v>
      </c>
      <c r="J697" s="2116" t="s">
        <v>7112</v>
      </c>
      <c r="K697" s="2116"/>
      <c r="L697" s="2116"/>
      <c r="M697" s="2248">
        <f t="shared" si="29"/>
        <v>0</v>
      </c>
      <c r="N697" s="2232" t="s">
        <v>9751</v>
      </c>
      <c r="O697" s="2232" t="s">
        <v>9751</v>
      </c>
      <c r="P697" s="2232" t="s">
        <v>7112</v>
      </c>
      <c r="Q697" s="2232" t="s">
        <v>7112</v>
      </c>
      <c r="R697" s="2232" t="s">
        <v>7112</v>
      </c>
      <c r="S697" s="2241" t="s">
        <v>7112</v>
      </c>
    </row>
    <row r="698" spans="1:19" ht="12" customHeight="1" x14ac:dyDescent="0.2">
      <c r="A698" s="5838"/>
      <c r="B698" s="5838"/>
      <c r="C698" s="2114" t="s">
        <v>6364</v>
      </c>
      <c r="D698" s="886" t="str">
        <f>D697</f>
        <v>Basis</v>
      </c>
      <c r="E698" s="2117">
        <v>1</v>
      </c>
      <c r="F698" s="2117">
        <v>20</v>
      </c>
      <c r="G698" s="2117">
        <f t="shared" si="28"/>
        <v>20</v>
      </c>
      <c r="H698" s="2116" t="s">
        <v>6366</v>
      </c>
      <c r="I698" s="2116" t="s">
        <v>9578</v>
      </c>
      <c r="J698" s="2116" t="s">
        <v>7112</v>
      </c>
      <c r="K698" s="2116"/>
      <c r="L698" s="2116"/>
      <c r="M698" s="2248">
        <f t="shared" si="29"/>
        <v>0</v>
      </c>
      <c r="N698" s="2232" t="s">
        <v>9749</v>
      </c>
      <c r="O698" s="2232" t="s">
        <v>9765</v>
      </c>
      <c r="P698" s="2232" t="s">
        <v>7112</v>
      </c>
      <c r="Q698" s="2232" t="s">
        <v>7112</v>
      </c>
      <c r="R698" s="2232" t="s">
        <v>7112</v>
      </c>
      <c r="S698" s="2241" t="s">
        <v>7112</v>
      </c>
    </row>
    <row r="699" spans="1:19" ht="12" customHeight="1" x14ac:dyDescent="0.2">
      <c r="A699" s="5838"/>
      <c r="B699" s="5838"/>
      <c r="C699" s="2114" t="s">
        <v>6367</v>
      </c>
      <c r="D699" s="886" t="str">
        <f>D698</f>
        <v>Basis</v>
      </c>
      <c r="E699" s="2117">
        <v>2</v>
      </c>
      <c r="F699" s="2117">
        <v>50</v>
      </c>
      <c r="G699" s="2117">
        <f t="shared" si="28"/>
        <v>50</v>
      </c>
      <c r="H699" s="2116" t="s">
        <v>6369</v>
      </c>
      <c r="I699" s="2116" t="s">
        <v>9579</v>
      </c>
      <c r="J699" s="2116" t="s">
        <v>7112</v>
      </c>
      <c r="K699" s="2116"/>
      <c r="L699" s="2116"/>
      <c r="M699" s="2248">
        <f t="shared" si="29"/>
        <v>0</v>
      </c>
      <c r="N699" s="2232" t="s">
        <v>9749</v>
      </c>
      <c r="O699" s="2232" t="s">
        <v>9762</v>
      </c>
      <c r="P699" s="2232" t="s">
        <v>9750</v>
      </c>
      <c r="Q699" s="2232" t="s">
        <v>7112</v>
      </c>
      <c r="R699" s="2232" t="s">
        <v>7112</v>
      </c>
      <c r="S699" s="2241" t="s">
        <v>7112</v>
      </c>
    </row>
    <row r="700" spans="1:19" ht="12" customHeight="1" x14ac:dyDescent="0.2">
      <c r="A700" s="5838"/>
      <c r="B700" s="5838"/>
      <c r="C700" s="2114" t="s">
        <v>643</v>
      </c>
      <c r="D700" s="886" t="str">
        <f>D699</f>
        <v>Basis</v>
      </c>
      <c r="E700" s="2117">
        <v>2</v>
      </c>
      <c r="F700" s="2117">
        <v>50</v>
      </c>
      <c r="G700" s="2117">
        <f t="shared" si="28"/>
        <v>50</v>
      </c>
      <c r="H700" s="2116" t="s">
        <v>6370</v>
      </c>
      <c r="I700" s="2116" t="s">
        <v>9580</v>
      </c>
      <c r="J700" s="2116" t="s">
        <v>7112</v>
      </c>
      <c r="K700" s="2116"/>
      <c r="L700" s="2116"/>
      <c r="M700" s="2248">
        <f t="shared" si="29"/>
        <v>0</v>
      </c>
      <c r="N700" s="2232" t="s">
        <v>9762</v>
      </c>
      <c r="O700" s="2232" t="s">
        <v>7112</v>
      </c>
      <c r="P700" s="2232" t="s">
        <v>7112</v>
      </c>
      <c r="Q700" s="2232" t="s">
        <v>7112</v>
      </c>
      <c r="R700" s="2232" t="s">
        <v>7112</v>
      </c>
      <c r="S700" s="2241" t="s">
        <v>7112</v>
      </c>
    </row>
    <row r="701" spans="1:19" ht="12" customHeight="1" x14ac:dyDescent="0.2">
      <c r="A701" s="5838"/>
      <c r="B701" s="5838"/>
      <c r="C701" s="2114" t="s">
        <v>6368</v>
      </c>
      <c r="D701" s="886" t="str">
        <f>D700</f>
        <v>Basis</v>
      </c>
      <c r="E701" s="2117">
        <v>3</v>
      </c>
      <c r="F701" s="2117">
        <v>60</v>
      </c>
      <c r="G701" s="2117">
        <f t="shared" si="28"/>
        <v>60</v>
      </c>
      <c r="H701" s="2116" t="s">
        <v>6371</v>
      </c>
      <c r="I701" s="2116" t="s">
        <v>9581</v>
      </c>
      <c r="J701" s="2116" t="s">
        <v>7112</v>
      </c>
      <c r="K701" s="2116"/>
      <c r="L701" s="2116"/>
      <c r="M701" s="2248">
        <f t="shared" si="29"/>
        <v>0</v>
      </c>
      <c r="N701" s="2232" t="s">
        <v>9751</v>
      </c>
      <c r="O701" s="2232" t="s">
        <v>9753</v>
      </c>
      <c r="P701" s="2232" t="s">
        <v>9762</v>
      </c>
      <c r="Q701" s="2232" t="s">
        <v>7112</v>
      </c>
      <c r="R701" s="2232" t="s">
        <v>7112</v>
      </c>
      <c r="S701" s="2241" t="s">
        <v>7112</v>
      </c>
    </row>
    <row r="702" spans="1:19" ht="12" customHeight="1" x14ac:dyDescent="0.2">
      <c r="A702" s="5838"/>
      <c r="B702" s="5838"/>
      <c r="C702" s="2114" t="s">
        <v>7099</v>
      </c>
      <c r="D702" s="886"/>
      <c r="E702" s="2117"/>
      <c r="F702" s="2117"/>
      <c r="G702" s="2117" t="str">
        <f t="shared" si="28"/>
        <v/>
      </c>
      <c r="H702" s="2116"/>
      <c r="I702" s="2116" t="s">
        <v>7112</v>
      </c>
      <c r="J702" s="2116" t="s">
        <v>7112</v>
      </c>
      <c r="K702" s="2116"/>
      <c r="L702" s="2116"/>
      <c r="M702" s="2248" t="str">
        <f t="shared" si="29"/>
        <v/>
      </c>
      <c r="N702" s="2232" t="s">
        <v>7112</v>
      </c>
      <c r="O702" s="2232" t="s">
        <v>7112</v>
      </c>
      <c r="P702" s="2232" t="s">
        <v>7112</v>
      </c>
      <c r="Q702" s="2232" t="s">
        <v>7112</v>
      </c>
      <c r="R702" s="2232" t="s">
        <v>7112</v>
      </c>
      <c r="S702" s="2241" t="s">
        <v>7112</v>
      </c>
    </row>
    <row r="703" spans="1:19" ht="12" customHeight="1" x14ac:dyDescent="0.2">
      <c r="A703" s="5838"/>
      <c r="B703" s="5838"/>
      <c r="C703" s="2114" t="s">
        <v>2905</v>
      </c>
      <c r="D703" s="886" t="str">
        <f>PROPER(MID(C702,3,100))</f>
        <v>Ormus</v>
      </c>
      <c r="E703" s="2117">
        <v>1</v>
      </c>
      <c r="F703" s="2117">
        <v>45</v>
      </c>
      <c r="G703" s="2117">
        <f t="shared" si="28"/>
        <v>45</v>
      </c>
      <c r="H703" s="2116" t="s">
        <v>2906</v>
      </c>
      <c r="I703" s="2116" t="s">
        <v>9729</v>
      </c>
      <c r="J703" s="2116" t="s">
        <v>7112</v>
      </c>
      <c r="K703" s="2116"/>
      <c r="L703" s="2116"/>
      <c r="M703" s="2248">
        <f t="shared" si="29"/>
        <v>0</v>
      </c>
      <c r="N703" s="2232" t="s">
        <v>7112</v>
      </c>
      <c r="O703" s="2232" t="s">
        <v>9761</v>
      </c>
      <c r="P703" s="2232" t="s">
        <v>9762</v>
      </c>
      <c r="Q703" s="2232" t="s">
        <v>7112</v>
      </c>
      <c r="R703" s="2232" t="s">
        <v>7112</v>
      </c>
      <c r="S703" s="2241" t="s">
        <v>7112</v>
      </c>
    </row>
    <row r="704" spans="1:19" ht="12" customHeight="1" x14ac:dyDescent="0.2">
      <c r="A704" s="5838"/>
      <c r="B704" s="5838"/>
      <c r="C704" s="2114" t="s">
        <v>2907</v>
      </c>
      <c r="D704" s="886" t="str">
        <f>D703</f>
        <v>Ormus</v>
      </c>
      <c r="E704" s="2117">
        <v>1</v>
      </c>
      <c r="F704" s="2117">
        <v>30</v>
      </c>
      <c r="G704" s="2117">
        <f t="shared" si="28"/>
        <v>30</v>
      </c>
      <c r="H704" s="2116" t="s">
        <v>2908</v>
      </c>
      <c r="I704" s="2116" t="s">
        <v>9582</v>
      </c>
      <c r="J704" s="2116" t="s">
        <v>7112</v>
      </c>
      <c r="K704" s="2116"/>
      <c r="L704" s="2116"/>
      <c r="M704" s="2248">
        <f t="shared" si="29"/>
        <v>0</v>
      </c>
      <c r="N704" s="2232" t="s">
        <v>9279</v>
      </c>
      <c r="O704" s="2232" t="s">
        <v>9751</v>
      </c>
      <c r="P704" s="2232" t="s">
        <v>7112</v>
      </c>
      <c r="Q704" s="2232" t="s">
        <v>7112</v>
      </c>
      <c r="R704" s="2232" t="s">
        <v>7112</v>
      </c>
      <c r="S704" s="2241" t="s">
        <v>7112</v>
      </c>
    </row>
    <row r="705" spans="1:19" ht="12" customHeight="1" x14ac:dyDescent="0.2">
      <c r="A705" s="5838"/>
      <c r="B705" s="5838"/>
      <c r="C705" s="2114" t="s">
        <v>2909</v>
      </c>
      <c r="D705" s="886" t="str">
        <f>D704</f>
        <v>Ormus</v>
      </c>
      <c r="E705" s="2117">
        <v>2</v>
      </c>
      <c r="F705" s="2117">
        <v>75</v>
      </c>
      <c r="G705" s="2117">
        <f t="shared" si="28"/>
        <v>75</v>
      </c>
      <c r="H705" s="2116" t="s">
        <v>2910</v>
      </c>
      <c r="I705" s="2116" t="s">
        <v>9583</v>
      </c>
      <c r="J705" s="2116" t="s">
        <v>7112</v>
      </c>
      <c r="K705" s="2116"/>
      <c r="L705" s="2116"/>
      <c r="M705" s="2248">
        <f t="shared" si="29"/>
        <v>0</v>
      </c>
      <c r="N705" s="2232" t="s">
        <v>7731</v>
      </c>
      <c r="O705" s="2232" t="s">
        <v>9763</v>
      </c>
      <c r="P705" s="2232" t="s">
        <v>7112</v>
      </c>
      <c r="Q705" s="2232" t="s">
        <v>7112</v>
      </c>
      <c r="R705" s="2232" t="s">
        <v>7112</v>
      </c>
      <c r="S705" s="2241" t="s">
        <v>7112</v>
      </c>
    </row>
    <row r="706" spans="1:19" ht="12" customHeight="1" x14ac:dyDescent="0.2">
      <c r="A706" s="5838"/>
      <c r="B706" s="5838"/>
      <c r="C706" s="2114" t="s">
        <v>2911</v>
      </c>
      <c r="D706" s="886" t="str">
        <f>D705</f>
        <v>Ormus</v>
      </c>
      <c r="E706" s="2117">
        <v>2</v>
      </c>
      <c r="F706" s="2117">
        <v>55</v>
      </c>
      <c r="G706" s="2117">
        <f t="shared" si="28"/>
        <v>55</v>
      </c>
      <c r="H706" s="2116" t="s">
        <v>2912</v>
      </c>
      <c r="I706" s="2116" t="s">
        <v>9584</v>
      </c>
      <c r="J706" s="2116" t="s">
        <v>7112</v>
      </c>
      <c r="K706" s="2116"/>
      <c r="L706" s="2116"/>
      <c r="M706" s="2248">
        <f t="shared" si="29"/>
        <v>0</v>
      </c>
      <c r="N706" s="2232" t="s">
        <v>9761</v>
      </c>
      <c r="O706" s="2232" t="s">
        <v>9767</v>
      </c>
      <c r="P706" s="2232" t="s">
        <v>9750</v>
      </c>
      <c r="Q706" s="2232" t="s">
        <v>9749</v>
      </c>
      <c r="R706" s="2232" t="s">
        <v>7112</v>
      </c>
      <c r="S706" s="2241" t="s">
        <v>7112</v>
      </c>
    </row>
    <row r="707" spans="1:19" ht="12" customHeight="1" x14ac:dyDescent="0.2">
      <c r="A707" s="5838"/>
      <c r="B707" s="5838"/>
      <c r="C707" s="2114" t="s">
        <v>2913</v>
      </c>
      <c r="D707" s="886" t="str">
        <f>D706</f>
        <v>Ormus</v>
      </c>
      <c r="E707" s="2117">
        <v>3</v>
      </c>
      <c r="F707" s="2117">
        <v>110</v>
      </c>
      <c r="G707" s="2117">
        <f t="shared" si="28"/>
        <v>110</v>
      </c>
      <c r="H707" s="2116" t="s">
        <v>2914</v>
      </c>
      <c r="I707" s="2116" t="s">
        <v>9585</v>
      </c>
      <c r="J707" s="2116" t="s">
        <v>7112</v>
      </c>
      <c r="K707" s="2116"/>
      <c r="L707" s="2116"/>
      <c r="M707" s="2248">
        <f t="shared" si="29"/>
        <v>0</v>
      </c>
      <c r="N707" s="2232" t="s">
        <v>9748</v>
      </c>
      <c r="O707" s="2232" t="s">
        <v>9762</v>
      </c>
      <c r="P707" s="2232" t="s">
        <v>9761</v>
      </c>
      <c r="Q707" s="2232" t="s">
        <v>7112</v>
      </c>
      <c r="R707" s="2232" t="s">
        <v>7112</v>
      </c>
      <c r="S707" s="2241" t="s">
        <v>7112</v>
      </c>
    </row>
    <row r="708" spans="1:19" ht="12" customHeight="1" x14ac:dyDescent="0.2">
      <c r="A708" s="5838"/>
      <c r="B708" s="5838"/>
      <c r="C708" s="2114" t="s">
        <v>2916</v>
      </c>
      <c r="D708" s="886"/>
      <c r="E708" s="2117"/>
      <c r="F708" s="2117"/>
      <c r="G708" s="2117" t="str">
        <f t="shared" si="28"/>
        <v/>
      </c>
      <c r="H708" s="2116"/>
      <c r="I708" s="2116" t="s">
        <v>7112</v>
      </c>
      <c r="J708" s="2116" t="s">
        <v>7112</v>
      </c>
      <c r="K708" s="2116"/>
      <c r="L708" s="2116"/>
      <c r="M708" s="2248" t="str">
        <f t="shared" si="29"/>
        <v/>
      </c>
      <c r="N708" s="2232" t="s">
        <v>7112</v>
      </c>
      <c r="O708" s="2232" t="s">
        <v>7112</v>
      </c>
      <c r="P708" s="2232" t="s">
        <v>7112</v>
      </c>
      <c r="Q708" s="2232" t="s">
        <v>7112</v>
      </c>
      <c r="R708" s="2232" t="s">
        <v>7112</v>
      </c>
      <c r="S708" s="2241" t="s">
        <v>7112</v>
      </c>
    </row>
    <row r="709" spans="1:19" ht="12" customHeight="1" x14ac:dyDescent="0.2">
      <c r="A709" s="5838"/>
      <c r="B709" s="5838"/>
      <c r="C709" s="2114" t="s">
        <v>2917</v>
      </c>
      <c r="D709" s="886" t="str">
        <f>PROPER(MID(C708,3,100))</f>
        <v>Hyousetsu Jigoku</v>
      </c>
      <c r="E709" s="2117">
        <v>1</v>
      </c>
      <c r="F709" s="2117">
        <v>30</v>
      </c>
      <c r="G709" s="2117">
        <f t="shared" si="28"/>
        <v>30</v>
      </c>
      <c r="H709" s="2116" t="s">
        <v>2918</v>
      </c>
      <c r="I709" s="2116" t="s">
        <v>9586</v>
      </c>
      <c r="J709" s="2116" t="s">
        <v>7112</v>
      </c>
      <c r="K709" s="2116"/>
      <c r="L709" s="2116"/>
      <c r="M709" s="2248">
        <f t="shared" si="29"/>
        <v>0</v>
      </c>
      <c r="N709" s="2232" t="s">
        <v>9754</v>
      </c>
      <c r="O709" s="2232" t="s">
        <v>7112</v>
      </c>
      <c r="P709" s="2232" t="s">
        <v>7112</v>
      </c>
      <c r="Q709" s="2232" t="s">
        <v>7112</v>
      </c>
      <c r="R709" s="2232" t="s">
        <v>7112</v>
      </c>
      <c r="S709" s="2241" t="s">
        <v>7112</v>
      </c>
    </row>
    <row r="710" spans="1:19" ht="12" customHeight="1" x14ac:dyDescent="0.2">
      <c r="A710" s="5838"/>
      <c r="B710" s="5838"/>
      <c r="C710" s="2114" t="s">
        <v>2919</v>
      </c>
      <c r="D710" s="886" t="str">
        <f>D709</f>
        <v>Hyousetsu Jigoku</v>
      </c>
      <c r="E710" s="2117">
        <v>1</v>
      </c>
      <c r="F710" s="2117">
        <v>20</v>
      </c>
      <c r="G710" s="2117">
        <f t="shared" si="28"/>
        <v>20</v>
      </c>
      <c r="H710" s="2116" t="s">
        <v>2920</v>
      </c>
      <c r="I710" s="2116" t="s">
        <v>9587</v>
      </c>
      <c r="J710" s="2116" t="s">
        <v>7112</v>
      </c>
      <c r="K710" s="2116"/>
      <c r="L710" s="2116"/>
      <c r="M710" s="2248">
        <f t="shared" si="29"/>
        <v>0</v>
      </c>
      <c r="N710" s="2232" t="s">
        <v>9753</v>
      </c>
      <c r="O710" s="2232" t="s">
        <v>7112</v>
      </c>
      <c r="P710" s="2232" t="s">
        <v>7112</v>
      </c>
      <c r="Q710" s="2232" t="s">
        <v>7112</v>
      </c>
      <c r="R710" s="2232" t="s">
        <v>7112</v>
      </c>
      <c r="S710" s="2241" t="s">
        <v>7112</v>
      </c>
    </row>
    <row r="711" spans="1:19" ht="12" customHeight="1" x14ac:dyDescent="0.2">
      <c r="A711" s="5838"/>
      <c r="B711" s="5838"/>
      <c r="C711" s="2114" t="s">
        <v>2921</v>
      </c>
      <c r="D711" s="886" t="str">
        <f>D710</f>
        <v>Hyousetsu Jigoku</v>
      </c>
      <c r="E711" s="2117">
        <v>2</v>
      </c>
      <c r="F711" s="2117">
        <v>65</v>
      </c>
      <c r="G711" s="2117">
        <f t="shared" si="28"/>
        <v>65</v>
      </c>
      <c r="H711" s="2116" t="s">
        <v>2922</v>
      </c>
      <c r="I711" s="2116" t="s">
        <v>9588</v>
      </c>
      <c r="J711" s="2116" t="s">
        <v>7112</v>
      </c>
      <c r="K711" s="2116"/>
      <c r="L711" s="2116"/>
      <c r="M711" s="2248">
        <f t="shared" si="29"/>
        <v>0</v>
      </c>
      <c r="N711" s="2232" t="s">
        <v>9752</v>
      </c>
      <c r="O711" s="2232" t="s">
        <v>9751</v>
      </c>
      <c r="P711" s="2232" t="s">
        <v>7112</v>
      </c>
      <c r="Q711" s="2232" t="s">
        <v>7112</v>
      </c>
      <c r="R711" s="2232" t="s">
        <v>7112</v>
      </c>
      <c r="S711" s="2241" t="s">
        <v>7112</v>
      </c>
    </row>
    <row r="712" spans="1:19" ht="12" customHeight="1" x14ac:dyDescent="0.2">
      <c r="A712" s="5838"/>
      <c r="B712" s="5838"/>
      <c r="C712" s="2114" t="s">
        <v>2924</v>
      </c>
      <c r="D712" s="886" t="str">
        <f>D711</f>
        <v>Hyousetsu Jigoku</v>
      </c>
      <c r="E712" s="2117">
        <v>2</v>
      </c>
      <c r="F712" s="2117">
        <v>70</v>
      </c>
      <c r="G712" s="2117">
        <f t="shared" si="28"/>
        <v>70</v>
      </c>
      <c r="H712" s="2116" t="s">
        <v>2925</v>
      </c>
      <c r="I712" s="2116" t="s">
        <v>9589</v>
      </c>
      <c r="J712" s="2116" t="s">
        <v>7112</v>
      </c>
      <c r="K712" s="2116"/>
      <c r="L712" s="2116"/>
      <c r="M712" s="2248">
        <f t="shared" si="29"/>
        <v>0</v>
      </c>
      <c r="N712" s="2232" t="s">
        <v>9748</v>
      </c>
      <c r="O712" s="2232" t="s">
        <v>7112</v>
      </c>
      <c r="P712" s="2232" t="s">
        <v>7112</v>
      </c>
      <c r="Q712" s="2232" t="s">
        <v>7112</v>
      </c>
      <c r="R712" s="2232" t="s">
        <v>7112</v>
      </c>
      <c r="S712" s="2241" t="s">
        <v>7112</v>
      </c>
    </row>
    <row r="713" spans="1:19" ht="12" customHeight="1" x14ac:dyDescent="0.2">
      <c r="A713" s="5838"/>
      <c r="B713" s="5838"/>
      <c r="C713" s="2114" t="s">
        <v>2927</v>
      </c>
      <c r="D713" s="886" t="str">
        <f>D712</f>
        <v>Hyousetsu Jigoku</v>
      </c>
      <c r="E713" s="2117">
        <v>3</v>
      </c>
      <c r="F713" s="2117">
        <v>115</v>
      </c>
      <c r="G713" s="2117">
        <f t="shared" si="28"/>
        <v>115</v>
      </c>
      <c r="H713" s="2116" t="s">
        <v>2928</v>
      </c>
      <c r="I713" s="2116" t="s">
        <v>9590</v>
      </c>
      <c r="J713" s="2116" t="s">
        <v>3214</v>
      </c>
      <c r="K713" s="2116"/>
      <c r="L713" s="2116"/>
      <c r="M713" s="2248">
        <f t="shared" si="29"/>
        <v>0</v>
      </c>
      <c r="N713" s="2232" t="s">
        <v>9767</v>
      </c>
      <c r="O713" s="2232" t="s">
        <v>7112</v>
      </c>
      <c r="P713" s="2232" t="s">
        <v>7112</v>
      </c>
      <c r="Q713" s="2232" t="s">
        <v>7112</v>
      </c>
      <c r="R713" s="2232" t="s">
        <v>7112</v>
      </c>
      <c r="S713" s="2241" t="s">
        <v>7112</v>
      </c>
    </row>
    <row r="714" spans="1:19" ht="12" customHeight="1" x14ac:dyDescent="0.2">
      <c r="A714" s="5838"/>
      <c r="B714" s="5838"/>
      <c r="C714" s="2114" t="s">
        <v>2929</v>
      </c>
      <c r="D714" s="886"/>
      <c r="E714" s="2117"/>
      <c r="F714" s="2117"/>
      <c r="G714" s="2117" t="str">
        <f t="shared" si="28"/>
        <v/>
      </c>
      <c r="H714" s="2116"/>
      <c r="I714" s="2116" t="s">
        <v>7112</v>
      </c>
      <c r="J714" s="2116" t="s">
        <v>7112</v>
      </c>
      <c r="K714" s="2116"/>
      <c r="L714" s="2116"/>
      <c r="M714" s="2248" t="str">
        <f t="shared" si="29"/>
        <v/>
      </c>
      <c r="N714" s="2232" t="s">
        <v>7112</v>
      </c>
      <c r="O714" s="2232" t="s">
        <v>7112</v>
      </c>
      <c r="P714" s="2232" t="s">
        <v>7112</v>
      </c>
      <c r="Q714" s="2232" t="s">
        <v>7112</v>
      </c>
      <c r="R714" s="2232" t="s">
        <v>7112</v>
      </c>
      <c r="S714" s="2241" t="s">
        <v>7112</v>
      </c>
    </row>
    <row r="715" spans="1:19" ht="12" customHeight="1" x14ac:dyDescent="0.2">
      <c r="A715" s="5838"/>
      <c r="B715" s="5838"/>
      <c r="C715" s="2114" t="s">
        <v>2930</v>
      </c>
      <c r="D715" s="886" t="str">
        <f>PROPER(MID(C714,3,100))</f>
        <v>Hypnos Requiem</v>
      </c>
      <c r="E715" s="2117">
        <v>1</v>
      </c>
      <c r="F715" s="2117">
        <v>25</v>
      </c>
      <c r="G715" s="2117">
        <f t="shared" si="28"/>
        <v>25</v>
      </c>
      <c r="H715" s="2116" t="s">
        <v>2931</v>
      </c>
      <c r="I715" s="2116" t="s">
        <v>2977</v>
      </c>
      <c r="J715" s="2116" t="s">
        <v>9591</v>
      </c>
      <c r="K715" s="2116"/>
      <c r="L715" s="2116"/>
      <c r="M715" s="2248">
        <f t="shared" si="29"/>
        <v>0</v>
      </c>
      <c r="N715" s="2232" t="s">
        <v>9752</v>
      </c>
      <c r="O715" s="2232" t="s">
        <v>7112</v>
      </c>
      <c r="P715" s="2232" t="s">
        <v>7112</v>
      </c>
      <c r="Q715" s="2232" t="s">
        <v>7112</v>
      </c>
      <c r="R715" s="2232" t="s">
        <v>7112</v>
      </c>
      <c r="S715" s="2241" t="s">
        <v>7112</v>
      </c>
    </row>
    <row r="716" spans="1:19" ht="12" customHeight="1" x14ac:dyDescent="0.2">
      <c r="A716" s="5838"/>
      <c r="B716" s="5838"/>
      <c r="C716" s="2114" t="s">
        <v>2932</v>
      </c>
      <c r="D716" s="886" t="str">
        <f>D715</f>
        <v>Hypnos Requiem</v>
      </c>
      <c r="E716" s="2117">
        <v>1</v>
      </c>
      <c r="F716" s="2117">
        <v>25</v>
      </c>
      <c r="G716" s="2117">
        <f t="shared" si="28"/>
        <v>25</v>
      </c>
      <c r="H716" s="2116" t="s">
        <v>2933</v>
      </c>
      <c r="I716" s="2116" t="s">
        <v>9592</v>
      </c>
      <c r="J716" s="2116" t="s">
        <v>9591</v>
      </c>
      <c r="K716" s="2116"/>
      <c r="L716" s="2116"/>
      <c r="M716" s="2248">
        <f t="shared" si="29"/>
        <v>0</v>
      </c>
      <c r="N716" s="2232" t="s">
        <v>9755</v>
      </c>
      <c r="O716" s="2232" t="s">
        <v>7112</v>
      </c>
      <c r="P716" s="2232" t="s">
        <v>7112</v>
      </c>
      <c r="Q716" s="2232" t="s">
        <v>7112</v>
      </c>
      <c r="R716" s="2232" t="s">
        <v>7112</v>
      </c>
      <c r="S716" s="2241" t="s">
        <v>7112</v>
      </c>
    </row>
    <row r="717" spans="1:19" ht="12" customHeight="1" x14ac:dyDescent="0.2">
      <c r="A717" s="5838"/>
      <c r="B717" s="5838"/>
      <c r="C717" s="2114" t="s">
        <v>2934</v>
      </c>
      <c r="D717" s="886" t="str">
        <f>D716</f>
        <v>Hypnos Requiem</v>
      </c>
      <c r="E717" s="2117">
        <v>1</v>
      </c>
      <c r="F717" s="2117">
        <v>30</v>
      </c>
      <c r="G717" s="2117">
        <f t="shared" si="28"/>
        <v>30</v>
      </c>
      <c r="H717" s="2116" t="s">
        <v>2935</v>
      </c>
      <c r="I717" s="2116" t="s">
        <v>9593</v>
      </c>
      <c r="J717" s="2116" t="s">
        <v>9594</v>
      </c>
      <c r="K717" s="2116"/>
      <c r="L717" s="2116"/>
      <c r="M717" s="2248">
        <f t="shared" si="29"/>
        <v>0</v>
      </c>
      <c r="N717" s="2232" t="s">
        <v>9755</v>
      </c>
      <c r="O717" s="2232" t="s">
        <v>9767</v>
      </c>
      <c r="P717" s="2232" t="s">
        <v>9750</v>
      </c>
      <c r="Q717" s="2232" t="s">
        <v>7112</v>
      </c>
      <c r="R717" s="2232" t="s">
        <v>7112</v>
      </c>
      <c r="S717" s="2241" t="s">
        <v>7112</v>
      </c>
    </row>
    <row r="718" spans="1:19" ht="12" customHeight="1" x14ac:dyDescent="0.2">
      <c r="A718" s="5838"/>
      <c r="B718" s="5838"/>
      <c r="C718" s="2114" t="s">
        <v>2936</v>
      </c>
      <c r="D718" s="886" t="str">
        <f>D717</f>
        <v>Hypnos Requiem</v>
      </c>
      <c r="E718" s="2117">
        <v>2</v>
      </c>
      <c r="F718" s="2117">
        <v>60</v>
      </c>
      <c r="G718" s="2117">
        <f t="shared" si="28"/>
        <v>60</v>
      </c>
      <c r="H718" s="2116" t="s">
        <v>2937</v>
      </c>
      <c r="I718" s="2116" t="s">
        <v>9730</v>
      </c>
      <c r="J718" s="2116" t="s">
        <v>9594</v>
      </c>
      <c r="K718" s="2116"/>
      <c r="L718" s="2116"/>
      <c r="M718" s="2248">
        <f t="shared" si="29"/>
        <v>0</v>
      </c>
      <c r="N718" s="2232" t="s">
        <v>9767</v>
      </c>
      <c r="O718" s="2232" t="s">
        <v>7112</v>
      </c>
      <c r="P718" s="2232" t="s">
        <v>7112</v>
      </c>
      <c r="Q718" s="2232" t="s">
        <v>7112</v>
      </c>
      <c r="R718" s="2232" t="s">
        <v>7112</v>
      </c>
      <c r="S718" s="2241" t="s">
        <v>7112</v>
      </c>
    </row>
    <row r="719" spans="1:19" ht="12" customHeight="1" x14ac:dyDescent="0.2">
      <c r="A719" s="5838"/>
      <c r="B719" s="5838"/>
      <c r="C719" s="2114" t="s">
        <v>2938</v>
      </c>
      <c r="D719" s="886" t="str">
        <f>D718</f>
        <v>Hypnos Requiem</v>
      </c>
      <c r="E719" s="2117">
        <v>2</v>
      </c>
      <c r="F719" s="2117">
        <v>45</v>
      </c>
      <c r="G719" s="2117">
        <f t="shared" si="28"/>
        <v>45</v>
      </c>
      <c r="H719" s="2116" t="s">
        <v>2939</v>
      </c>
      <c r="I719" s="2116" t="s">
        <v>9595</v>
      </c>
      <c r="J719" s="2116" t="s">
        <v>9596</v>
      </c>
      <c r="K719" s="2116"/>
      <c r="L719" s="2116"/>
      <c r="M719" s="2248">
        <f t="shared" si="29"/>
        <v>0</v>
      </c>
      <c r="N719" s="2232" t="s">
        <v>9279</v>
      </c>
      <c r="O719" s="2232" t="s">
        <v>7112</v>
      </c>
      <c r="P719" s="2232" t="s">
        <v>7112</v>
      </c>
      <c r="Q719" s="2232" t="s">
        <v>7112</v>
      </c>
      <c r="R719" s="2232" t="s">
        <v>7112</v>
      </c>
      <c r="S719" s="2241" t="s">
        <v>7112</v>
      </c>
    </row>
    <row r="720" spans="1:19" ht="12" customHeight="1" x14ac:dyDescent="0.2">
      <c r="A720" s="5838"/>
      <c r="B720" s="5838"/>
      <c r="C720" s="2114" t="s">
        <v>2940</v>
      </c>
      <c r="D720" s="886" t="str">
        <f>D719</f>
        <v>Hypnos Requiem</v>
      </c>
      <c r="E720" s="2117">
        <v>2</v>
      </c>
      <c r="F720" s="2117">
        <v>80</v>
      </c>
      <c r="G720" s="2117">
        <f t="shared" si="28"/>
        <v>80</v>
      </c>
      <c r="H720" s="2116" t="s">
        <v>2941</v>
      </c>
      <c r="I720" s="2116" t="s">
        <v>9597</v>
      </c>
      <c r="J720" s="2116" t="s">
        <v>9598</v>
      </c>
      <c r="K720" s="2116"/>
      <c r="L720" s="2116"/>
      <c r="M720" s="2248">
        <f t="shared" si="29"/>
        <v>0</v>
      </c>
      <c r="N720" s="2232" t="s">
        <v>9767</v>
      </c>
      <c r="O720" s="2232" t="s">
        <v>7112</v>
      </c>
      <c r="P720" s="2232" t="s">
        <v>7112</v>
      </c>
      <c r="Q720" s="2232" t="s">
        <v>7112</v>
      </c>
      <c r="R720" s="2232" t="s">
        <v>7112</v>
      </c>
      <c r="S720" s="2241" t="s">
        <v>7112</v>
      </c>
    </row>
    <row r="721" spans="1:19" ht="12" customHeight="1" x14ac:dyDescent="0.2">
      <c r="A721" s="5838"/>
      <c r="B721" s="5838"/>
      <c r="C721" s="2114" t="s">
        <v>2942</v>
      </c>
      <c r="D721" s="886"/>
      <c r="E721" s="2117"/>
      <c r="F721" s="2117"/>
      <c r="G721" s="2117" t="str">
        <f t="shared" si="28"/>
        <v/>
      </c>
      <c r="H721" s="2116"/>
      <c r="I721" s="2116" t="s">
        <v>7112</v>
      </c>
      <c r="J721" s="2116" t="s">
        <v>7112</v>
      </c>
      <c r="K721" s="2116"/>
      <c r="L721" s="2116"/>
      <c r="M721" s="2248" t="str">
        <f t="shared" si="29"/>
        <v/>
      </c>
      <c r="N721" s="2232" t="s">
        <v>7112</v>
      </c>
      <c r="O721" s="2232" t="s">
        <v>7112</v>
      </c>
      <c r="P721" s="2232" t="s">
        <v>7112</v>
      </c>
      <c r="Q721" s="2232" t="s">
        <v>7112</v>
      </c>
      <c r="R721" s="2232" t="s">
        <v>7112</v>
      </c>
      <c r="S721" s="2241" t="s">
        <v>7112</v>
      </c>
    </row>
    <row r="722" spans="1:19" ht="12" customHeight="1" x14ac:dyDescent="0.2">
      <c r="A722" s="5838"/>
      <c r="B722" s="5838"/>
      <c r="C722" s="2114" t="s">
        <v>2943</v>
      </c>
      <c r="D722" s="886" t="str">
        <f>PROPER(MID(C721,3,100))</f>
        <v>Le Rose Du Sang</v>
      </c>
      <c r="E722" s="2117">
        <v>1</v>
      </c>
      <c r="F722" s="2117">
        <v>20</v>
      </c>
      <c r="G722" s="2117">
        <f t="shared" si="28"/>
        <v>20</v>
      </c>
      <c r="H722" s="2116" t="s">
        <v>2944</v>
      </c>
      <c r="I722" s="2116" t="s">
        <v>9599</v>
      </c>
      <c r="J722" s="2116" t="s">
        <v>7112</v>
      </c>
      <c r="K722" s="2116"/>
      <c r="L722" s="2116"/>
      <c r="M722" s="2248">
        <f t="shared" si="29"/>
        <v>0</v>
      </c>
      <c r="N722" s="2232" t="s">
        <v>9764</v>
      </c>
      <c r="O722" s="2232" t="s">
        <v>7112</v>
      </c>
      <c r="P722" s="2232" t="s">
        <v>7112</v>
      </c>
      <c r="Q722" s="2232" t="s">
        <v>7112</v>
      </c>
      <c r="R722" s="2232" t="s">
        <v>7112</v>
      </c>
      <c r="S722" s="2241" t="s">
        <v>7112</v>
      </c>
    </row>
    <row r="723" spans="1:19" ht="12" customHeight="1" x14ac:dyDescent="0.2">
      <c r="A723" s="5838"/>
      <c r="B723" s="5838"/>
      <c r="C723" s="2114" t="s">
        <v>2946</v>
      </c>
      <c r="D723" s="886" t="str">
        <f>D722</f>
        <v>Le Rose Du Sang</v>
      </c>
      <c r="E723" s="2117">
        <v>1</v>
      </c>
      <c r="F723" s="2117">
        <v>30</v>
      </c>
      <c r="G723" s="2117">
        <f t="shared" si="28"/>
        <v>30</v>
      </c>
      <c r="H723" s="2116" t="s">
        <v>2947</v>
      </c>
      <c r="I723" s="2116" t="s">
        <v>9600</v>
      </c>
      <c r="J723" s="2116" t="s">
        <v>7112</v>
      </c>
      <c r="K723" s="2116"/>
      <c r="L723" s="2116"/>
      <c r="M723" s="2248">
        <f t="shared" si="29"/>
        <v>0</v>
      </c>
      <c r="N723" s="2232" t="s">
        <v>9751</v>
      </c>
      <c r="O723" s="2232" t="s">
        <v>7112</v>
      </c>
      <c r="P723" s="2232" t="s">
        <v>7112</v>
      </c>
      <c r="Q723" s="2232" t="s">
        <v>7112</v>
      </c>
      <c r="R723" s="2232" t="s">
        <v>7112</v>
      </c>
      <c r="S723" s="2241" t="s">
        <v>7112</v>
      </c>
    </row>
    <row r="724" spans="1:19" ht="12" customHeight="1" x14ac:dyDescent="0.2">
      <c r="A724" s="5838"/>
      <c r="B724" s="5838"/>
      <c r="C724" s="2114" t="s">
        <v>2948</v>
      </c>
      <c r="D724" s="886" t="str">
        <f>D723</f>
        <v>Le Rose Du Sang</v>
      </c>
      <c r="E724" s="2117">
        <v>2</v>
      </c>
      <c r="F724" s="2117">
        <v>40</v>
      </c>
      <c r="G724" s="2117">
        <f t="shared" si="28"/>
        <v>40</v>
      </c>
      <c r="H724" s="2116" t="s">
        <v>2949</v>
      </c>
      <c r="I724" s="2116" t="s">
        <v>9601</v>
      </c>
      <c r="J724" s="2116" t="s">
        <v>9602</v>
      </c>
      <c r="K724" s="2116"/>
      <c r="L724" s="2116"/>
      <c r="M724" s="2248">
        <f t="shared" si="29"/>
        <v>0</v>
      </c>
      <c r="N724" s="2232" t="s">
        <v>9279</v>
      </c>
      <c r="O724" s="2232" t="s">
        <v>7112</v>
      </c>
      <c r="P724" s="2232" t="s">
        <v>7112</v>
      </c>
      <c r="Q724" s="2232" t="s">
        <v>7112</v>
      </c>
      <c r="R724" s="2232" t="s">
        <v>7112</v>
      </c>
      <c r="S724" s="2241" t="s">
        <v>7112</v>
      </c>
    </row>
    <row r="725" spans="1:19" ht="12" customHeight="1" x14ac:dyDescent="0.2">
      <c r="A725" s="5838"/>
      <c r="B725" s="5838"/>
      <c r="C725" s="2114" t="s">
        <v>2950</v>
      </c>
      <c r="D725" s="886" t="str">
        <f>D724</f>
        <v>Le Rose Du Sang</v>
      </c>
      <c r="E725" s="2117">
        <v>2</v>
      </c>
      <c r="F725" s="2117">
        <v>55</v>
      </c>
      <c r="G725" s="2117">
        <f t="shared" si="28"/>
        <v>55</v>
      </c>
      <c r="H725" s="2116" t="s">
        <v>2951</v>
      </c>
      <c r="I725" s="2116" t="s">
        <v>9603</v>
      </c>
      <c r="J725" s="2116" t="s">
        <v>9604</v>
      </c>
      <c r="K725" s="2116"/>
      <c r="L725" s="2116"/>
      <c r="M725" s="2248">
        <f t="shared" si="29"/>
        <v>0</v>
      </c>
      <c r="N725" s="2232" t="s">
        <v>9748</v>
      </c>
      <c r="O725" s="2232" t="s">
        <v>7112</v>
      </c>
      <c r="P725" s="2232" t="s">
        <v>7112</v>
      </c>
      <c r="Q725" s="2232" t="s">
        <v>7112</v>
      </c>
      <c r="R725" s="2232" t="s">
        <v>7112</v>
      </c>
      <c r="S725" s="2241" t="s">
        <v>7112</v>
      </c>
    </row>
    <row r="726" spans="1:19" ht="12" customHeight="1" x14ac:dyDescent="0.2">
      <c r="A726" s="5838"/>
      <c r="B726" s="5838"/>
      <c r="C726" s="2114" t="s">
        <v>2952</v>
      </c>
      <c r="D726" s="886" t="str">
        <f>D725</f>
        <v>Le Rose Du Sang</v>
      </c>
      <c r="E726" s="2117">
        <v>3</v>
      </c>
      <c r="F726" s="2117">
        <v>90</v>
      </c>
      <c r="G726" s="2117">
        <f t="shared" si="28"/>
        <v>90</v>
      </c>
      <c r="H726" s="2116" t="s">
        <v>2953</v>
      </c>
      <c r="I726" s="2116" t="s">
        <v>9731</v>
      </c>
      <c r="J726" s="2116" t="s">
        <v>9605</v>
      </c>
      <c r="K726" s="2116"/>
      <c r="L726" s="2116"/>
      <c r="M726" s="2248">
        <f t="shared" si="29"/>
        <v>0</v>
      </c>
      <c r="N726" s="2232" t="s">
        <v>9750</v>
      </c>
      <c r="O726" s="2232" t="s">
        <v>9279</v>
      </c>
      <c r="P726" s="2232" t="s">
        <v>7112</v>
      </c>
      <c r="Q726" s="2232" t="s">
        <v>7112</v>
      </c>
      <c r="R726" s="2232" t="s">
        <v>7112</v>
      </c>
      <c r="S726" s="2241" t="s">
        <v>7112</v>
      </c>
    </row>
    <row r="727" spans="1:19" ht="12" customHeight="1" x14ac:dyDescent="0.2">
      <c r="A727" s="5838"/>
      <c r="B727" s="5838"/>
      <c r="C727" s="2114" t="s">
        <v>2954</v>
      </c>
      <c r="D727" s="886"/>
      <c r="E727" s="2117"/>
      <c r="F727" s="2117"/>
      <c r="G727" s="2117" t="str">
        <f t="shared" si="28"/>
        <v/>
      </c>
      <c r="H727" s="2116"/>
      <c r="I727" s="2116" t="s">
        <v>7112</v>
      </c>
      <c r="J727" s="2116" t="s">
        <v>7112</v>
      </c>
      <c r="K727" s="2116"/>
      <c r="L727" s="2116"/>
      <c r="M727" s="2248" t="str">
        <f t="shared" si="29"/>
        <v/>
      </c>
      <c r="N727" s="2232" t="s">
        <v>7112</v>
      </c>
      <c r="O727" s="2232" t="s">
        <v>7112</v>
      </c>
      <c r="P727" s="2232" t="s">
        <v>7112</v>
      </c>
      <c r="Q727" s="2232" t="s">
        <v>7112</v>
      </c>
      <c r="R727" s="2232" t="s">
        <v>7112</v>
      </c>
      <c r="S727" s="2241" t="s">
        <v>7112</v>
      </c>
    </row>
    <row r="728" spans="1:19" ht="12" customHeight="1" x14ac:dyDescent="0.2">
      <c r="A728" s="5838"/>
      <c r="B728" s="5838"/>
      <c r="C728" s="2114" t="s">
        <v>2955</v>
      </c>
      <c r="D728" s="886" t="str">
        <f>PROPER(MID(C727,3,100))</f>
        <v>Arashido, El Camino De Las Tormentas</v>
      </c>
      <c r="E728" s="2117">
        <v>1</v>
      </c>
      <c r="F728" s="2117">
        <v>25</v>
      </c>
      <c r="G728" s="2117">
        <f t="shared" si="28"/>
        <v>25</v>
      </c>
      <c r="H728" s="2116" t="s">
        <v>2956</v>
      </c>
      <c r="I728" s="2116" t="s">
        <v>9606</v>
      </c>
      <c r="J728" s="2116" t="s">
        <v>7112</v>
      </c>
      <c r="K728" s="2116"/>
      <c r="L728" s="2116"/>
      <c r="M728" s="2248">
        <f t="shared" si="29"/>
        <v>0</v>
      </c>
      <c r="N728" s="2232" t="s">
        <v>7731</v>
      </c>
      <c r="O728" s="2232" t="s">
        <v>7112</v>
      </c>
      <c r="P728" s="2232" t="s">
        <v>7112</v>
      </c>
      <c r="Q728" s="2232" t="s">
        <v>7112</v>
      </c>
      <c r="R728" s="2232" t="s">
        <v>7112</v>
      </c>
      <c r="S728" s="2241" t="s">
        <v>7112</v>
      </c>
    </row>
    <row r="729" spans="1:19" ht="12" customHeight="1" x14ac:dyDescent="0.2">
      <c r="A729" s="5838"/>
      <c r="B729" s="5838"/>
      <c r="C729" s="2114" t="s">
        <v>2958</v>
      </c>
      <c r="D729" s="886" t="str">
        <f>D728</f>
        <v>Arashido, El Camino De Las Tormentas</v>
      </c>
      <c r="E729" s="2117">
        <v>1</v>
      </c>
      <c r="F729" s="2117">
        <v>40</v>
      </c>
      <c r="G729" s="2117">
        <f t="shared" si="28"/>
        <v>40</v>
      </c>
      <c r="H729" s="2116" t="s">
        <v>2959</v>
      </c>
      <c r="I729" s="2116" t="s">
        <v>9607</v>
      </c>
      <c r="J729" s="2116" t="s">
        <v>7112</v>
      </c>
      <c r="K729" s="2116"/>
      <c r="L729" s="2116"/>
      <c r="M729" s="2248">
        <f t="shared" si="29"/>
        <v>0</v>
      </c>
      <c r="N729" s="2232" t="s">
        <v>9761</v>
      </c>
      <c r="O729" s="2232" t="s">
        <v>9762</v>
      </c>
      <c r="P729" s="2232" t="s">
        <v>7112</v>
      </c>
      <c r="Q729" s="2232" t="s">
        <v>7112</v>
      </c>
      <c r="R729" s="2232" t="s">
        <v>7112</v>
      </c>
      <c r="S729" s="2241" t="s">
        <v>7112</v>
      </c>
    </row>
    <row r="730" spans="1:19" ht="12" customHeight="1" x14ac:dyDescent="0.2">
      <c r="A730" s="5838"/>
      <c r="B730" s="5838"/>
      <c r="C730" s="2114" t="s">
        <v>2960</v>
      </c>
      <c r="D730" s="886" t="str">
        <f>D729</f>
        <v>Arashido, El Camino De Las Tormentas</v>
      </c>
      <c r="E730" s="2117">
        <v>2</v>
      </c>
      <c r="F730" s="2117">
        <v>75</v>
      </c>
      <c r="G730" s="2117">
        <f t="shared" si="28"/>
        <v>75</v>
      </c>
      <c r="H730" s="2116" t="s">
        <v>2961</v>
      </c>
      <c r="I730" s="2116" t="s">
        <v>9608</v>
      </c>
      <c r="J730" s="2116" t="s">
        <v>9609</v>
      </c>
      <c r="K730" s="2116"/>
      <c r="L730" s="2116"/>
      <c r="M730" s="2248">
        <f t="shared" si="29"/>
        <v>0</v>
      </c>
      <c r="N730" s="2232" t="s">
        <v>9750</v>
      </c>
      <c r="O730" s="2232" t="s">
        <v>9761</v>
      </c>
      <c r="P730" s="2232" t="s">
        <v>9762</v>
      </c>
      <c r="Q730" s="2232" t="s">
        <v>7112</v>
      </c>
      <c r="R730" s="2232" t="s">
        <v>7112</v>
      </c>
      <c r="S730" s="2241" t="s">
        <v>7112</v>
      </c>
    </row>
    <row r="731" spans="1:19" ht="12" customHeight="1" x14ac:dyDescent="0.2">
      <c r="A731" s="5838"/>
      <c r="B731" s="5838"/>
      <c r="C731" s="2114" t="s">
        <v>2962</v>
      </c>
      <c r="D731" s="886" t="str">
        <f>D730</f>
        <v>Arashido, El Camino De Las Tormentas</v>
      </c>
      <c r="E731" s="2117">
        <v>2</v>
      </c>
      <c r="F731" s="2117">
        <v>75</v>
      </c>
      <c r="G731" s="2117">
        <f t="shared" ref="G731:G794" si="30">IF(E731="","",MAX(IF(E731=3,60,IF(E731=2,40,20)),F731+M731))</f>
        <v>75</v>
      </c>
      <c r="H731" s="2116" t="s">
        <v>2963</v>
      </c>
      <c r="I731" s="2116" t="s">
        <v>9610</v>
      </c>
      <c r="J731" s="2116" t="s">
        <v>9602</v>
      </c>
      <c r="K731" s="2116"/>
      <c r="L731" s="2116"/>
      <c r="M731" s="2248">
        <f t="shared" si="29"/>
        <v>0</v>
      </c>
      <c r="N731" s="2232" t="s">
        <v>9279</v>
      </c>
      <c r="O731" s="2232" t="s">
        <v>9754</v>
      </c>
      <c r="P731" s="2232" t="s">
        <v>7112</v>
      </c>
      <c r="Q731" s="2232" t="s">
        <v>7112</v>
      </c>
      <c r="R731" s="2232" t="s">
        <v>7112</v>
      </c>
      <c r="S731" s="2241" t="s">
        <v>7112</v>
      </c>
    </row>
    <row r="732" spans="1:19" ht="12" customHeight="1" x14ac:dyDescent="0.2">
      <c r="A732" s="5838"/>
      <c r="B732" s="5838"/>
      <c r="C732" s="2114" t="s">
        <v>2965</v>
      </c>
      <c r="D732" s="886" t="str">
        <f>D731</f>
        <v>Arashido, El Camino De Las Tormentas</v>
      </c>
      <c r="E732" s="2117">
        <v>3</v>
      </c>
      <c r="F732" s="2117">
        <v>95</v>
      </c>
      <c r="G732" s="2117">
        <f t="shared" si="30"/>
        <v>95</v>
      </c>
      <c r="H732" s="2116" t="s">
        <v>2966</v>
      </c>
      <c r="I732" s="2116" t="s">
        <v>9611</v>
      </c>
      <c r="J732" s="2116" t="s">
        <v>9612</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9749</v>
      </c>
      <c r="O732" s="2232" t="s">
        <v>9747</v>
      </c>
      <c r="P732" s="2232" t="s">
        <v>9761</v>
      </c>
      <c r="Q732" s="2232" t="s">
        <v>9754</v>
      </c>
      <c r="R732" s="2232" t="s">
        <v>7112</v>
      </c>
      <c r="S732" s="2241" t="s">
        <v>7112</v>
      </c>
    </row>
    <row r="733" spans="1:19" ht="12" customHeight="1" x14ac:dyDescent="0.2">
      <c r="A733" s="5838"/>
      <c r="B733" s="5838"/>
      <c r="C733" s="2114" t="s">
        <v>2967</v>
      </c>
      <c r="D733" s="886"/>
      <c r="E733" s="2117"/>
      <c r="F733" s="2117"/>
      <c r="G733" s="2117" t="str">
        <f t="shared" si="30"/>
        <v/>
      </c>
      <c r="H733" s="2116"/>
      <c r="I733" s="2116" t="s">
        <v>7112</v>
      </c>
      <c r="J733" s="2116" t="s">
        <v>7112</v>
      </c>
      <c r="K733" s="2116"/>
      <c r="L733" s="2116"/>
      <c r="M733" s="2248" t="str">
        <f t="shared" si="31"/>
        <v/>
      </c>
      <c r="N733" s="2232" t="s">
        <v>7112</v>
      </c>
      <c r="O733" s="2232" t="s">
        <v>7112</v>
      </c>
      <c r="P733" s="2232" t="s">
        <v>7112</v>
      </c>
      <c r="Q733" s="2232" t="s">
        <v>7112</v>
      </c>
      <c r="R733" s="2232" t="s">
        <v>7112</v>
      </c>
      <c r="S733" s="2241" t="s">
        <v>7112</v>
      </c>
    </row>
    <row r="734" spans="1:19" ht="12" customHeight="1" x14ac:dyDescent="0.2">
      <c r="A734" s="5838"/>
      <c r="B734" s="5838"/>
      <c r="C734" s="1091" t="s">
        <v>2968</v>
      </c>
      <c r="D734" s="886" t="str">
        <f>PROPER(MID(C733,3,100))</f>
        <v>Di Quiu</v>
      </c>
      <c r="E734" s="503">
        <v>1</v>
      </c>
      <c r="F734" s="503">
        <v>35</v>
      </c>
      <c r="G734" s="2117">
        <f t="shared" si="30"/>
        <v>35</v>
      </c>
      <c r="H734" s="2116" t="s">
        <v>2969</v>
      </c>
      <c r="I734" s="2116" t="s">
        <v>9613</v>
      </c>
      <c r="J734" s="2116" t="s">
        <v>9614</v>
      </c>
      <c r="K734" s="2116"/>
      <c r="L734" s="2116"/>
      <c r="M734" s="2248">
        <f t="shared" si="31"/>
        <v>0</v>
      </c>
      <c r="N734" s="2232" t="s">
        <v>9756</v>
      </c>
      <c r="O734" s="2232" t="s">
        <v>7112</v>
      </c>
      <c r="P734" s="2232" t="s">
        <v>7112</v>
      </c>
      <c r="Q734" s="2232" t="s">
        <v>7112</v>
      </c>
      <c r="R734" s="2232" t="s">
        <v>7112</v>
      </c>
      <c r="S734" s="2241" t="s">
        <v>7112</v>
      </c>
    </row>
    <row r="735" spans="1:19" ht="12" customHeight="1" x14ac:dyDescent="0.2">
      <c r="A735" s="5838"/>
      <c r="B735" s="5838"/>
      <c r="C735" s="1091" t="s">
        <v>2971</v>
      </c>
      <c r="D735" s="886" t="str">
        <f>D734</f>
        <v>Di Quiu</v>
      </c>
      <c r="E735" s="503">
        <v>1</v>
      </c>
      <c r="F735" s="503">
        <v>50</v>
      </c>
      <c r="G735" s="2117">
        <f t="shared" si="30"/>
        <v>50</v>
      </c>
      <c r="H735" s="2116" t="s">
        <v>2972</v>
      </c>
      <c r="I735" s="2116" t="s">
        <v>9615</v>
      </c>
      <c r="J735" s="2116" t="s">
        <v>7112</v>
      </c>
      <c r="K735" s="2116"/>
      <c r="L735" s="2116"/>
      <c r="M735" s="2248">
        <f t="shared" si="31"/>
        <v>0</v>
      </c>
      <c r="N735" s="2232" t="s">
        <v>9751</v>
      </c>
      <c r="O735" s="2232" t="s">
        <v>7112</v>
      </c>
      <c r="P735" s="2232" t="s">
        <v>7112</v>
      </c>
      <c r="Q735" s="2232" t="s">
        <v>7112</v>
      </c>
      <c r="R735" s="2232" t="s">
        <v>7112</v>
      </c>
      <c r="S735" s="2241" t="s">
        <v>7112</v>
      </c>
    </row>
    <row r="736" spans="1:19" ht="12" customHeight="1" x14ac:dyDescent="0.2">
      <c r="A736" s="5838"/>
      <c r="B736" s="5838"/>
      <c r="C736" s="1091" t="s">
        <v>2975</v>
      </c>
      <c r="D736" s="886" t="str">
        <f>D735</f>
        <v>Di Quiu</v>
      </c>
      <c r="E736" s="503">
        <v>2</v>
      </c>
      <c r="F736" s="503">
        <v>40</v>
      </c>
      <c r="G736" s="2117">
        <f t="shared" si="30"/>
        <v>40</v>
      </c>
      <c r="H736" s="2116" t="s">
        <v>2976</v>
      </c>
      <c r="I736" s="2116" t="s">
        <v>9616</v>
      </c>
      <c r="J736" s="2116" t="s">
        <v>3214</v>
      </c>
      <c r="K736" s="2116"/>
      <c r="L736" s="2116"/>
      <c r="M736" s="2248">
        <f t="shared" si="31"/>
        <v>0</v>
      </c>
      <c r="N736" s="2232" t="s">
        <v>9766</v>
      </c>
      <c r="O736" s="2232" t="s">
        <v>7112</v>
      </c>
      <c r="P736" s="2232" t="s">
        <v>7112</v>
      </c>
      <c r="Q736" s="2232" t="s">
        <v>7112</v>
      </c>
      <c r="R736" s="2232" t="s">
        <v>7112</v>
      </c>
      <c r="S736" s="2241" t="s">
        <v>7112</v>
      </c>
    </row>
    <row r="737" spans="1:19" ht="12" customHeight="1" x14ac:dyDescent="0.2">
      <c r="A737" s="5838"/>
      <c r="B737" s="5838"/>
      <c r="C737" s="1091" t="s">
        <v>2978</v>
      </c>
      <c r="D737" s="886" t="str">
        <f>D736</f>
        <v>Di Quiu</v>
      </c>
      <c r="E737" s="503">
        <v>2</v>
      </c>
      <c r="F737" s="503">
        <v>65</v>
      </c>
      <c r="G737" s="2117">
        <f t="shared" si="30"/>
        <v>65</v>
      </c>
      <c r="H737" s="2116" t="s">
        <v>2979</v>
      </c>
      <c r="I737" s="2116" t="s">
        <v>9617</v>
      </c>
      <c r="J737" s="2116" t="s">
        <v>9618</v>
      </c>
      <c r="K737" s="2116"/>
      <c r="L737" s="2116"/>
      <c r="M737" s="2248">
        <f t="shared" si="31"/>
        <v>0</v>
      </c>
      <c r="N737" s="2232" t="s">
        <v>9750</v>
      </c>
      <c r="O737" s="2232" t="s">
        <v>9766</v>
      </c>
      <c r="P737" s="2232" t="s">
        <v>7112</v>
      </c>
      <c r="Q737" s="2232" t="s">
        <v>7112</v>
      </c>
      <c r="R737" s="2232" t="s">
        <v>7112</v>
      </c>
      <c r="S737" s="2241" t="s">
        <v>7112</v>
      </c>
    </row>
    <row r="738" spans="1:19" ht="12" customHeight="1" x14ac:dyDescent="0.2">
      <c r="A738" s="5838"/>
      <c r="B738" s="5838"/>
      <c r="C738" s="1091" t="s">
        <v>2981</v>
      </c>
      <c r="D738" s="886" t="str">
        <f>D737</f>
        <v>Di Quiu</v>
      </c>
      <c r="E738" s="503">
        <v>2</v>
      </c>
      <c r="F738" s="503">
        <v>60</v>
      </c>
      <c r="G738" s="2117">
        <f t="shared" si="30"/>
        <v>60</v>
      </c>
      <c r="H738" s="2116" t="s">
        <v>2982</v>
      </c>
      <c r="I738" s="2116" t="s">
        <v>9619</v>
      </c>
      <c r="J738" s="2116" t="s">
        <v>9620</v>
      </c>
      <c r="K738" s="2116"/>
      <c r="L738" s="2116"/>
      <c r="M738" s="2248">
        <f t="shared" si="31"/>
        <v>0</v>
      </c>
      <c r="N738" s="2232" t="s">
        <v>9750</v>
      </c>
      <c r="O738" s="2232" t="s">
        <v>9763</v>
      </c>
      <c r="P738" s="2232" t="s">
        <v>7112</v>
      </c>
      <c r="Q738" s="2232" t="s">
        <v>7112</v>
      </c>
      <c r="R738" s="2232" t="s">
        <v>7112</v>
      </c>
      <c r="S738" s="2241" t="s">
        <v>7112</v>
      </c>
    </row>
    <row r="739" spans="1:19" ht="12" customHeight="1" x14ac:dyDescent="0.2">
      <c r="A739" s="5838"/>
      <c r="B739" s="5838"/>
      <c r="C739" s="1091" t="s">
        <v>2983</v>
      </c>
      <c r="D739" s="886" t="str">
        <f>D738</f>
        <v>Di Quiu</v>
      </c>
      <c r="E739" s="503">
        <v>3</v>
      </c>
      <c r="F739" s="503">
        <v>90</v>
      </c>
      <c r="G739" s="2117">
        <f t="shared" si="30"/>
        <v>90</v>
      </c>
      <c r="H739" s="2116" t="s">
        <v>2984</v>
      </c>
      <c r="I739" s="2116" t="s">
        <v>9739</v>
      </c>
      <c r="J739" s="2116" t="s">
        <v>9621</v>
      </c>
      <c r="K739" s="2116"/>
      <c r="L739" s="2116"/>
      <c r="M739" s="2248">
        <f t="shared" si="31"/>
        <v>0</v>
      </c>
      <c r="N739" s="2232" t="s">
        <v>9750</v>
      </c>
      <c r="O739" s="2232" t="s">
        <v>9762</v>
      </c>
      <c r="P739" s="2232" t="s">
        <v>7112</v>
      </c>
      <c r="Q739" s="2232" t="s">
        <v>9765</v>
      </c>
      <c r="R739" s="2232" t="s">
        <v>7112</v>
      </c>
      <c r="S739" s="2241" t="s">
        <v>7112</v>
      </c>
    </row>
    <row r="740" spans="1:19" ht="12" customHeight="1" x14ac:dyDescent="0.2">
      <c r="A740" s="5838"/>
      <c r="B740" s="5838"/>
      <c r="C740" s="1091" t="s">
        <v>2985</v>
      </c>
      <c r="D740" s="886"/>
      <c r="E740" s="503"/>
      <c r="F740" s="503"/>
      <c r="G740" s="2117" t="str">
        <f t="shared" si="30"/>
        <v/>
      </c>
      <c r="H740" s="2116"/>
      <c r="I740" s="2116" t="s">
        <v>7112</v>
      </c>
      <c r="J740" s="2116" t="s">
        <v>7112</v>
      </c>
      <c r="K740" s="2116"/>
      <c r="L740" s="2116"/>
      <c r="M740" s="2248" t="str">
        <f t="shared" si="31"/>
        <v/>
      </c>
      <c r="N740" s="2232" t="s">
        <v>7112</v>
      </c>
      <c r="O740" s="2232" t="s">
        <v>7112</v>
      </c>
      <c r="P740" s="2232" t="s">
        <v>7112</v>
      </c>
      <c r="Q740" s="2232" t="s">
        <v>7112</v>
      </c>
      <c r="R740" s="2232" t="s">
        <v>7112</v>
      </c>
      <c r="S740" s="2241" t="s">
        <v>7112</v>
      </c>
    </row>
    <row r="741" spans="1:19" ht="12" customHeight="1" x14ac:dyDescent="0.2">
      <c r="A741" s="5838"/>
      <c r="B741" s="5838"/>
      <c r="C741" s="1091" t="s">
        <v>2986</v>
      </c>
      <c r="D741" s="886" t="str">
        <f>PROPER(MID(C740,3,100))</f>
        <v>Obscuritas</v>
      </c>
      <c r="E741" s="503">
        <v>1</v>
      </c>
      <c r="F741" s="503">
        <v>20</v>
      </c>
      <c r="G741" s="2117">
        <f t="shared" si="30"/>
        <v>20</v>
      </c>
      <c r="H741" s="2116" t="s">
        <v>2987</v>
      </c>
      <c r="I741" s="2116" t="s">
        <v>9622</v>
      </c>
      <c r="J741" s="2116" t="s">
        <v>9623</v>
      </c>
      <c r="K741" s="2116"/>
      <c r="L741" s="2116"/>
      <c r="M741" s="2248">
        <f t="shared" si="31"/>
        <v>0</v>
      </c>
      <c r="N741" s="2232" t="s">
        <v>7731</v>
      </c>
      <c r="O741" s="2232" t="s">
        <v>7112</v>
      </c>
      <c r="P741" s="2232" t="s">
        <v>7112</v>
      </c>
      <c r="Q741" s="2232" t="s">
        <v>7112</v>
      </c>
      <c r="R741" s="2232" t="s">
        <v>7112</v>
      </c>
      <c r="S741" s="2241" t="s">
        <v>7112</v>
      </c>
    </row>
    <row r="742" spans="1:19" ht="12" customHeight="1" x14ac:dyDescent="0.2">
      <c r="A742" s="5838"/>
      <c r="B742" s="5838"/>
      <c r="C742" s="1091" t="s">
        <v>2988</v>
      </c>
      <c r="D742" s="886" t="str">
        <f>D741</f>
        <v>Obscuritas</v>
      </c>
      <c r="E742" s="503">
        <v>1</v>
      </c>
      <c r="F742" s="503">
        <v>20</v>
      </c>
      <c r="G742" s="2117">
        <f t="shared" si="30"/>
        <v>20</v>
      </c>
      <c r="H742" s="2116" t="s">
        <v>2989</v>
      </c>
      <c r="I742" s="2116" t="s">
        <v>9624</v>
      </c>
      <c r="J742" s="2116" t="s">
        <v>7112</v>
      </c>
      <c r="K742" s="2116"/>
      <c r="L742" s="2116"/>
      <c r="M742" s="2248">
        <f t="shared" si="31"/>
        <v>0</v>
      </c>
      <c r="N742" s="2232" t="s">
        <v>7731</v>
      </c>
      <c r="O742" s="2232" t="s">
        <v>7112</v>
      </c>
      <c r="P742" s="2232" t="s">
        <v>7112</v>
      </c>
      <c r="Q742" s="2232" t="s">
        <v>7112</v>
      </c>
      <c r="R742" s="2232" t="s">
        <v>7112</v>
      </c>
      <c r="S742" s="2241" t="s">
        <v>7112</v>
      </c>
    </row>
    <row r="743" spans="1:19" ht="12" customHeight="1" x14ac:dyDescent="0.2">
      <c r="A743" s="5838"/>
      <c r="B743" s="5838"/>
      <c r="C743" s="1091" t="s">
        <v>2990</v>
      </c>
      <c r="D743" s="886" t="str">
        <f>D742</f>
        <v>Obscuritas</v>
      </c>
      <c r="E743" s="503">
        <v>1</v>
      </c>
      <c r="F743" s="503">
        <v>40</v>
      </c>
      <c r="G743" s="2117">
        <f t="shared" si="30"/>
        <v>40</v>
      </c>
      <c r="H743" s="2116" t="s">
        <v>2991</v>
      </c>
      <c r="I743" s="2116" t="s">
        <v>9625</v>
      </c>
      <c r="J743" s="2116" t="s">
        <v>9623</v>
      </c>
      <c r="K743" s="2116"/>
      <c r="L743" s="2116"/>
      <c r="M743" s="2248">
        <f t="shared" si="31"/>
        <v>0</v>
      </c>
      <c r="N743" s="2232" t="s">
        <v>9763</v>
      </c>
      <c r="O743" s="2232" t="s">
        <v>7112</v>
      </c>
      <c r="P743" s="2232" t="s">
        <v>7112</v>
      </c>
      <c r="Q743" s="2232" t="s">
        <v>7112</v>
      </c>
      <c r="R743" s="2232" t="s">
        <v>7112</v>
      </c>
      <c r="S743" s="2241" t="s">
        <v>7112</v>
      </c>
    </row>
    <row r="744" spans="1:19" ht="12" customHeight="1" x14ac:dyDescent="0.2">
      <c r="A744" s="5838"/>
      <c r="B744" s="5838"/>
      <c r="C744" s="1091" t="s">
        <v>2992</v>
      </c>
      <c r="D744" s="886" t="str">
        <f>D743</f>
        <v>Obscuritas</v>
      </c>
      <c r="E744" s="503">
        <v>2</v>
      </c>
      <c r="F744" s="503">
        <v>40</v>
      </c>
      <c r="G744" s="2117">
        <f t="shared" si="30"/>
        <v>40</v>
      </c>
      <c r="H744" s="2116" t="s">
        <v>2993</v>
      </c>
      <c r="I744" s="2116" t="s">
        <v>9626</v>
      </c>
      <c r="J744" s="2116" t="s">
        <v>7112</v>
      </c>
      <c r="K744" s="2116"/>
      <c r="L744" s="2116"/>
      <c r="M744" s="2248">
        <f t="shared" si="31"/>
        <v>0</v>
      </c>
      <c r="N744" s="2232" t="s">
        <v>9279</v>
      </c>
      <c r="O744" s="2232" t="s">
        <v>7112</v>
      </c>
      <c r="P744" s="2232" t="s">
        <v>7112</v>
      </c>
      <c r="Q744" s="2232" t="s">
        <v>7112</v>
      </c>
      <c r="R744" s="2232" t="s">
        <v>7112</v>
      </c>
      <c r="S744" s="2241" t="s">
        <v>7112</v>
      </c>
    </row>
    <row r="745" spans="1:19" ht="12" customHeight="1" x14ac:dyDescent="0.2">
      <c r="A745" s="5838"/>
      <c r="B745" s="5838"/>
      <c r="C745" s="1091" t="s">
        <v>2994</v>
      </c>
      <c r="D745" s="886" t="str">
        <f>D744</f>
        <v>Obscuritas</v>
      </c>
      <c r="E745" s="503">
        <v>2</v>
      </c>
      <c r="F745" s="503">
        <v>45</v>
      </c>
      <c r="G745" s="2117">
        <f t="shared" si="30"/>
        <v>45</v>
      </c>
      <c r="H745" s="2116" t="s">
        <v>2995</v>
      </c>
      <c r="I745" s="2116" t="s">
        <v>9627</v>
      </c>
      <c r="J745" s="2116" t="s">
        <v>9628</v>
      </c>
      <c r="K745" s="2116"/>
      <c r="L745" s="2116"/>
      <c r="M745" s="2248">
        <f t="shared" si="31"/>
        <v>0</v>
      </c>
      <c r="N745" s="2232" t="s">
        <v>9748</v>
      </c>
      <c r="O745" s="2232" t="s">
        <v>7112</v>
      </c>
      <c r="P745" s="2232" t="s">
        <v>7112</v>
      </c>
      <c r="Q745" s="2232" t="s">
        <v>7112</v>
      </c>
      <c r="R745" s="2232" t="s">
        <v>7112</v>
      </c>
      <c r="S745" s="2241" t="s">
        <v>7112</v>
      </c>
    </row>
    <row r="746" spans="1:19" ht="12" customHeight="1" x14ac:dyDescent="0.2">
      <c r="A746" s="5838"/>
      <c r="B746" s="5838"/>
      <c r="C746" s="1091" t="s">
        <v>2996</v>
      </c>
      <c r="D746" s="886"/>
      <c r="E746" s="2204"/>
      <c r="F746" s="2204"/>
      <c r="G746" s="2117" t="str">
        <f t="shared" si="30"/>
        <v/>
      </c>
      <c r="H746" s="2116"/>
      <c r="I746" s="2116" t="s">
        <v>7112</v>
      </c>
      <c r="J746" s="2116" t="s">
        <v>7112</v>
      </c>
      <c r="K746" s="2116"/>
      <c r="L746" s="2116"/>
      <c r="M746" s="2248" t="str">
        <f t="shared" si="31"/>
        <v/>
      </c>
      <c r="N746" s="2232" t="s">
        <v>7112</v>
      </c>
      <c r="O746" s="2232" t="s">
        <v>7112</v>
      </c>
      <c r="P746" s="2232" t="s">
        <v>7112</v>
      </c>
      <c r="Q746" s="2232" t="s">
        <v>7112</v>
      </c>
      <c r="R746" s="2232" t="s">
        <v>7112</v>
      </c>
      <c r="S746" s="2241" t="s">
        <v>7112</v>
      </c>
    </row>
    <row r="747" spans="1:19" ht="12" customHeight="1" x14ac:dyDescent="0.2">
      <c r="A747" s="5838"/>
      <c r="B747" s="5838"/>
      <c r="C747" s="1091" t="s">
        <v>2997</v>
      </c>
      <c r="D747" s="886" t="str">
        <f>PROPER(MID(C746,3,100))</f>
        <v>Cosmos</v>
      </c>
      <c r="E747" s="503">
        <v>1</v>
      </c>
      <c r="F747" s="503">
        <v>35</v>
      </c>
      <c r="G747" s="2117">
        <f t="shared" si="30"/>
        <v>35</v>
      </c>
      <c r="H747" s="2116" t="s">
        <v>2998</v>
      </c>
      <c r="I747" s="2116" t="s">
        <v>9738</v>
      </c>
      <c r="J747" s="2116" t="s">
        <v>9629</v>
      </c>
      <c r="K747" s="2116"/>
      <c r="L747" s="2116"/>
      <c r="M747" s="2248">
        <f t="shared" si="31"/>
        <v>0</v>
      </c>
      <c r="N747" s="2232" t="s">
        <v>9279</v>
      </c>
      <c r="O747" s="2232" t="s">
        <v>9747</v>
      </c>
      <c r="P747" s="2232" t="s">
        <v>7112</v>
      </c>
      <c r="Q747" s="2232" t="s">
        <v>7112</v>
      </c>
      <c r="R747" s="2232" t="s">
        <v>7112</v>
      </c>
      <c r="S747" s="2241" t="s">
        <v>7112</v>
      </c>
    </row>
    <row r="748" spans="1:19" ht="12" customHeight="1" x14ac:dyDescent="0.2">
      <c r="A748" s="5838"/>
      <c r="B748" s="5838"/>
      <c r="C748" s="1091" t="s">
        <v>2999</v>
      </c>
      <c r="D748" s="886" t="str">
        <f>D747</f>
        <v>Cosmos</v>
      </c>
      <c r="E748" s="503">
        <v>1</v>
      </c>
      <c r="F748" s="503">
        <v>45</v>
      </c>
      <c r="G748" s="2117">
        <f t="shared" si="30"/>
        <v>45</v>
      </c>
      <c r="H748" s="2116" t="s">
        <v>3000</v>
      </c>
      <c r="I748" s="2116" t="s">
        <v>9630</v>
      </c>
      <c r="J748" s="2116" t="s">
        <v>7112</v>
      </c>
      <c r="K748" s="2116"/>
      <c r="L748" s="2116"/>
      <c r="M748" s="2248">
        <f t="shared" si="31"/>
        <v>0</v>
      </c>
      <c r="N748" s="2232" t="s">
        <v>9755</v>
      </c>
      <c r="O748" s="2232" t="s">
        <v>9755</v>
      </c>
      <c r="P748" s="2232" t="s">
        <v>7112</v>
      </c>
      <c r="Q748" s="2232" t="s">
        <v>7112</v>
      </c>
      <c r="R748" s="2232" t="s">
        <v>7112</v>
      </c>
      <c r="S748" s="2241" t="s">
        <v>7112</v>
      </c>
    </row>
    <row r="749" spans="1:19" ht="12" customHeight="1" x14ac:dyDescent="0.2">
      <c r="A749" s="5838"/>
      <c r="B749" s="5838"/>
      <c r="C749" s="1091" t="s">
        <v>3001</v>
      </c>
      <c r="D749" s="886" t="str">
        <f>D748</f>
        <v>Cosmos</v>
      </c>
      <c r="E749" s="503">
        <v>2</v>
      </c>
      <c r="F749" s="503">
        <v>75</v>
      </c>
      <c r="G749" s="2117">
        <f t="shared" si="30"/>
        <v>75</v>
      </c>
      <c r="H749" s="2116" t="s">
        <v>3002</v>
      </c>
      <c r="I749" s="2116" t="s">
        <v>9631</v>
      </c>
      <c r="J749" s="2116" t="s">
        <v>7112</v>
      </c>
      <c r="K749" s="2116"/>
      <c r="L749" s="2116"/>
      <c r="M749" s="2248">
        <f t="shared" si="31"/>
        <v>0</v>
      </c>
      <c r="N749" s="2232" t="s">
        <v>9767</v>
      </c>
      <c r="O749" s="2232" t="s">
        <v>7112</v>
      </c>
      <c r="P749" s="2232" t="s">
        <v>7112</v>
      </c>
      <c r="Q749" s="2232" t="s">
        <v>7112</v>
      </c>
      <c r="R749" s="2232" t="s">
        <v>7112</v>
      </c>
      <c r="S749" s="2241" t="s">
        <v>7112</v>
      </c>
    </row>
    <row r="750" spans="1:19" ht="12" customHeight="1" x14ac:dyDescent="0.2">
      <c r="A750" s="5838"/>
      <c r="B750" s="5838"/>
      <c r="C750" s="1091" t="s">
        <v>3003</v>
      </c>
      <c r="D750" s="886" t="str">
        <f>D749</f>
        <v>Cosmos</v>
      </c>
      <c r="E750" s="503">
        <v>2</v>
      </c>
      <c r="F750" s="503">
        <v>70</v>
      </c>
      <c r="G750" s="2117">
        <f t="shared" si="30"/>
        <v>70</v>
      </c>
      <c r="H750" s="2116" t="s">
        <v>3004</v>
      </c>
      <c r="I750" s="2116" t="s">
        <v>9632</v>
      </c>
      <c r="J750" s="2116" t="s">
        <v>9633</v>
      </c>
      <c r="K750" s="2116"/>
      <c r="L750" s="2116"/>
      <c r="M750" s="2248">
        <f t="shared" si="31"/>
        <v>0</v>
      </c>
      <c r="N750" s="2232" t="s">
        <v>9750</v>
      </c>
      <c r="O750" s="2232" t="s">
        <v>9762</v>
      </c>
      <c r="P750" s="2232" t="s">
        <v>9749</v>
      </c>
      <c r="Q750" s="2232" t="s">
        <v>7112</v>
      </c>
      <c r="R750" s="2232" t="s">
        <v>7112</v>
      </c>
      <c r="S750" s="2241" t="s">
        <v>7112</v>
      </c>
    </row>
    <row r="751" spans="1:19" ht="12" customHeight="1" x14ac:dyDescent="0.2">
      <c r="A751" s="5838"/>
      <c r="B751" s="5838"/>
      <c r="C751" s="1091" t="s">
        <v>3005</v>
      </c>
      <c r="D751" s="886" t="str">
        <f>D750</f>
        <v>Cosmos</v>
      </c>
      <c r="E751" s="503">
        <v>3</v>
      </c>
      <c r="F751" s="503">
        <v>105</v>
      </c>
      <c r="G751" s="2117">
        <f t="shared" si="30"/>
        <v>105</v>
      </c>
      <c r="H751" s="2116" t="s">
        <v>3006</v>
      </c>
      <c r="I751" s="2116" t="s">
        <v>9634</v>
      </c>
      <c r="J751" s="2116" t="s">
        <v>9635</v>
      </c>
      <c r="K751" s="2116"/>
      <c r="L751" s="2116"/>
      <c r="M751" s="2248">
        <f t="shared" si="31"/>
        <v>0</v>
      </c>
      <c r="N751" s="2232" t="s">
        <v>9749</v>
      </c>
      <c r="O751" s="2232" t="s">
        <v>9767</v>
      </c>
      <c r="P751" s="2232" t="s">
        <v>7112</v>
      </c>
      <c r="Q751" s="2232" t="s">
        <v>7112</v>
      </c>
      <c r="R751" s="2232" t="s">
        <v>7112</v>
      </c>
      <c r="S751" s="2241" t="s">
        <v>7112</v>
      </c>
    </row>
    <row r="752" spans="1:19" ht="12" customHeight="1" x14ac:dyDescent="0.2">
      <c r="A752" s="5838"/>
      <c r="B752" s="5838"/>
      <c r="C752" s="1091" t="s">
        <v>3007</v>
      </c>
      <c r="D752" s="886"/>
      <c r="E752" s="2204"/>
      <c r="F752" s="503"/>
      <c r="G752" s="2117" t="str">
        <f t="shared" si="30"/>
        <v/>
      </c>
      <c r="H752" s="2116"/>
      <c r="I752" s="2116" t="s">
        <v>7112</v>
      </c>
      <c r="J752" s="2116" t="s">
        <v>7112</v>
      </c>
      <c r="K752" s="2116"/>
      <c r="L752" s="2116"/>
      <c r="M752" s="2248" t="str">
        <f t="shared" si="31"/>
        <v/>
      </c>
      <c r="N752" s="2232" t="s">
        <v>7112</v>
      </c>
      <c r="O752" s="2232" t="s">
        <v>7112</v>
      </c>
      <c r="P752" s="2232" t="s">
        <v>7112</v>
      </c>
      <c r="Q752" s="2232" t="s">
        <v>7112</v>
      </c>
      <c r="R752" s="2232" t="s">
        <v>7112</v>
      </c>
      <c r="S752" s="2241" t="s">
        <v>7112</v>
      </c>
    </row>
    <row r="753" spans="1:19" ht="12" customHeight="1" x14ac:dyDescent="0.2">
      <c r="A753" s="5838"/>
      <c r="B753" s="5838"/>
      <c r="C753" s="1091" t="s">
        <v>3008</v>
      </c>
      <c r="D753" s="886" t="str">
        <f>PROPER(MID(C752,3,100))</f>
        <v>Kagami</v>
      </c>
      <c r="E753" s="503">
        <v>1</v>
      </c>
      <c r="F753" s="503">
        <v>30</v>
      </c>
      <c r="G753" s="2117">
        <f t="shared" si="30"/>
        <v>30</v>
      </c>
      <c r="H753" s="2116" t="s">
        <v>3009</v>
      </c>
      <c r="I753" s="2116" t="s">
        <v>9636</v>
      </c>
      <c r="J753" s="2116" t="s">
        <v>7112</v>
      </c>
      <c r="K753" s="2116"/>
      <c r="L753" s="2116"/>
      <c r="M753" s="2248">
        <f t="shared" si="31"/>
        <v>0</v>
      </c>
      <c r="N753" s="2232" t="s">
        <v>9749</v>
      </c>
      <c r="O753" s="2232" t="s">
        <v>9747</v>
      </c>
      <c r="P753" s="2232" t="s">
        <v>9761</v>
      </c>
      <c r="Q753" s="2232" t="s">
        <v>7112</v>
      </c>
      <c r="R753" s="2232" t="s">
        <v>7112</v>
      </c>
      <c r="S753" s="2241" t="s">
        <v>7112</v>
      </c>
    </row>
    <row r="754" spans="1:19" ht="12" customHeight="1" x14ac:dyDescent="0.2">
      <c r="A754" s="5838"/>
      <c r="B754" s="5838"/>
      <c r="C754" s="1091" t="s">
        <v>3010</v>
      </c>
      <c r="D754" s="886" t="str">
        <f>D753</f>
        <v>Kagami</v>
      </c>
      <c r="E754" s="503">
        <v>1</v>
      </c>
      <c r="F754" s="503">
        <v>30</v>
      </c>
      <c r="G754" s="2117">
        <f t="shared" si="30"/>
        <v>30</v>
      </c>
      <c r="H754" s="2116" t="s">
        <v>3011</v>
      </c>
      <c r="I754" s="2116" t="s">
        <v>9637</v>
      </c>
      <c r="J754" s="2116" t="s">
        <v>7112</v>
      </c>
      <c r="K754" s="2116"/>
      <c r="L754" s="2116"/>
      <c r="M754" s="2248">
        <f t="shared" si="31"/>
        <v>0</v>
      </c>
      <c r="N754" s="2232" t="s">
        <v>9754</v>
      </c>
      <c r="O754" s="2232" t="s">
        <v>9755</v>
      </c>
      <c r="P754" s="2232" t="s">
        <v>7112</v>
      </c>
      <c r="Q754" s="2232" t="s">
        <v>7112</v>
      </c>
      <c r="R754" s="2232" t="s">
        <v>7112</v>
      </c>
      <c r="S754" s="2241" t="s">
        <v>7112</v>
      </c>
    </row>
    <row r="755" spans="1:19" ht="12" customHeight="1" x14ac:dyDescent="0.2">
      <c r="A755" s="5838"/>
      <c r="B755" s="5838"/>
      <c r="C755" s="1091" t="s">
        <v>3012</v>
      </c>
      <c r="D755" s="886" t="str">
        <f>D754</f>
        <v>Kagami</v>
      </c>
      <c r="E755" s="503">
        <v>2</v>
      </c>
      <c r="F755" s="503">
        <v>70</v>
      </c>
      <c r="G755" s="2117">
        <f t="shared" si="30"/>
        <v>70</v>
      </c>
      <c r="H755" s="2116" t="s">
        <v>3013</v>
      </c>
      <c r="I755" s="2116" t="s">
        <v>9638</v>
      </c>
      <c r="J755" s="2116" t="s">
        <v>7112</v>
      </c>
      <c r="K755" s="2116"/>
      <c r="L755" s="2116"/>
      <c r="M755" s="2248">
        <f t="shared" si="31"/>
        <v>0</v>
      </c>
      <c r="N755" s="2232" t="s">
        <v>9279</v>
      </c>
      <c r="O755" s="2232" t="s">
        <v>7112</v>
      </c>
      <c r="P755" s="2232" t="s">
        <v>9748</v>
      </c>
      <c r="Q755" s="2232" t="s">
        <v>7112</v>
      </c>
      <c r="R755" s="2232" t="s">
        <v>7112</v>
      </c>
      <c r="S755" s="2241" t="s">
        <v>7112</v>
      </c>
    </row>
    <row r="756" spans="1:19" ht="12" customHeight="1" x14ac:dyDescent="0.2">
      <c r="A756" s="5838"/>
      <c r="B756" s="5838"/>
      <c r="C756" s="1091" t="s">
        <v>3014</v>
      </c>
      <c r="D756" s="886" t="str">
        <f>D755</f>
        <v>Kagami</v>
      </c>
      <c r="E756" s="503">
        <v>2</v>
      </c>
      <c r="F756" s="503">
        <v>60</v>
      </c>
      <c r="G756" s="2117">
        <f t="shared" si="30"/>
        <v>60</v>
      </c>
      <c r="H756" s="2116" t="s">
        <v>3015</v>
      </c>
      <c r="I756" s="2116" t="s">
        <v>9639</v>
      </c>
      <c r="J756" s="2116" t="s">
        <v>9640</v>
      </c>
      <c r="K756" s="2116"/>
      <c r="L756" s="2116"/>
      <c r="M756" s="2248">
        <f t="shared" si="31"/>
        <v>0</v>
      </c>
      <c r="N756" s="2232" t="s">
        <v>9749</v>
      </c>
      <c r="O756" s="2232" t="s">
        <v>9767</v>
      </c>
      <c r="P756" s="2232" t="s">
        <v>7112</v>
      </c>
      <c r="Q756" s="2232" t="s">
        <v>7112</v>
      </c>
      <c r="R756" s="2232" t="s">
        <v>7112</v>
      </c>
      <c r="S756" s="2241" t="s">
        <v>7112</v>
      </c>
    </row>
    <row r="757" spans="1:19" ht="12" customHeight="1" x14ac:dyDescent="0.2">
      <c r="A757" s="5838"/>
      <c r="B757" s="5838"/>
      <c r="C757" s="1091" t="s">
        <v>3016</v>
      </c>
      <c r="D757" s="886" t="str">
        <f>D756</f>
        <v>Kagami</v>
      </c>
      <c r="E757" s="503">
        <v>3</v>
      </c>
      <c r="F757" s="503">
        <v>115</v>
      </c>
      <c r="G757" s="2117">
        <f t="shared" si="30"/>
        <v>115</v>
      </c>
      <c r="H757" s="2116" t="s">
        <v>3017</v>
      </c>
      <c r="I757" s="2116" t="s">
        <v>9641</v>
      </c>
      <c r="J757" s="2116" t="s">
        <v>7112</v>
      </c>
      <c r="K757" s="2116"/>
      <c r="L757" s="2116"/>
      <c r="M757" s="2248">
        <f t="shared" si="31"/>
        <v>0</v>
      </c>
      <c r="N757" s="2232" t="s">
        <v>9767</v>
      </c>
      <c r="O757" s="2232" t="s">
        <v>7112</v>
      </c>
      <c r="P757" s="2232" t="s">
        <v>7112</v>
      </c>
      <c r="Q757" s="2232" t="s">
        <v>7112</v>
      </c>
      <c r="R757" s="2232" t="s">
        <v>7112</v>
      </c>
      <c r="S757" s="2241" t="s">
        <v>7112</v>
      </c>
    </row>
    <row r="758" spans="1:19" ht="12" customHeight="1" x14ac:dyDescent="0.2">
      <c r="A758" s="5838"/>
      <c r="B758" s="5838"/>
      <c r="C758" s="1091" t="s">
        <v>3018</v>
      </c>
      <c r="D758" s="886"/>
      <c r="E758" s="2204"/>
      <c r="F758" s="503"/>
      <c r="G758" s="2117" t="str">
        <f t="shared" si="30"/>
        <v/>
      </c>
      <c r="H758" s="2116"/>
      <c r="I758" s="2116" t="s">
        <v>7112</v>
      </c>
      <c r="J758" s="2116" t="s">
        <v>7112</v>
      </c>
      <c r="K758" s="2116"/>
      <c r="L758" s="2116"/>
      <c r="M758" s="2248" t="str">
        <f t="shared" si="31"/>
        <v/>
      </c>
      <c r="N758" s="2232" t="s">
        <v>7112</v>
      </c>
      <c r="O758" s="2232" t="s">
        <v>7112</v>
      </c>
      <c r="P758" s="2232" t="s">
        <v>7112</v>
      </c>
      <c r="Q758" s="2232" t="s">
        <v>7112</v>
      </c>
      <c r="R758" s="2232" t="s">
        <v>7112</v>
      </c>
      <c r="S758" s="2241" t="s">
        <v>7112</v>
      </c>
    </row>
    <row r="759" spans="1:19" ht="12" customHeight="1" x14ac:dyDescent="0.2">
      <c r="A759" s="5838"/>
      <c r="B759" s="5838"/>
      <c r="C759" s="1091" t="s">
        <v>3019</v>
      </c>
      <c r="D759" s="886" t="str">
        <f>PROPER(MID(C758,3,100))</f>
        <v>Magus Abstergo</v>
      </c>
      <c r="E759" s="503">
        <v>1</v>
      </c>
      <c r="F759" s="503">
        <v>30</v>
      </c>
      <c r="G759" s="2117">
        <f t="shared" si="30"/>
        <v>30</v>
      </c>
      <c r="H759" s="2116" t="s">
        <v>3020</v>
      </c>
      <c r="I759" s="2116" t="s">
        <v>9642</v>
      </c>
      <c r="J759" s="2116" t="s">
        <v>7112</v>
      </c>
      <c r="K759" s="2116"/>
      <c r="L759" s="2116"/>
      <c r="M759" s="2248">
        <f t="shared" si="31"/>
        <v>0</v>
      </c>
      <c r="N759" s="2232" t="s">
        <v>9756</v>
      </c>
      <c r="O759" s="2232" t="s">
        <v>7112</v>
      </c>
      <c r="P759" s="2232" t="s">
        <v>7112</v>
      </c>
      <c r="Q759" s="2232" t="s">
        <v>7112</v>
      </c>
      <c r="R759" s="2232" t="s">
        <v>7112</v>
      </c>
      <c r="S759" s="2241" t="s">
        <v>7112</v>
      </c>
    </row>
    <row r="760" spans="1:19" ht="12" customHeight="1" x14ac:dyDescent="0.2">
      <c r="A760" s="5838"/>
      <c r="B760" s="5838"/>
      <c r="C760" s="1091" t="s">
        <v>3021</v>
      </c>
      <c r="D760" s="886" t="str">
        <f>D759</f>
        <v>Magus Abstergo</v>
      </c>
      <c r="E760" s="503">
        <v>1</v>
      </c>
      <c r="F760" s="503">
        <v>25</v>
      </c>
      <c r="G760" s="2117">
        <f t="shared" si="30"/>
        <v>25</v>
      </c>
      <c r="H760" s="2116" t="s">
        <v>3022</v>
      </c>
      <c r="I760" s="2116" t="s">
        <v>9643</v>
      </c>
      <c r="J760" s="2116" t="s">
        <v>9644</v>
      </c>
      <c r="K760" s="2116"/>
      <c r="L760" s="2116"/>
      <c r="M760" s="2248">
        <f t="shared" si="31"/>
        <v>0</v>
      </c>
      <c r="N760" s="2232" t="s">
        <v>9749</v>
      </c>
      <c r="O760" s="2232" t="s">
        <v>9762</v>
      </c>
      <c r="P760" s="2232" t="s">
        <v>7112</v>
      </c>
      <c r="Q760" s="2232" t="s">
        <v>7112</v>
      </c>
      <c r="R760" s="2232" t="s">
        <v>7112</v>
      </c>
      <c r="S760" s="2241" t="s">
        <v>7112</v>
      </c>
    </row>
    <row r="761" spans="1:19" ht="12" customHeight="1" x14ac:dyDescent="0.2">
      <c r="A761" s="5838"/>
      <c r="B761" s="5838"/>
      <c r="C761" s="1091" t="s">
        <v>3023</v>
      </c>
      <c r="D761" s="886" t="str">
        <f>D760</f>
        <v>Magus Abstergo</v>
      </c>
      <c r="E761" s="503">
        <v>2</v>
      </c>
      <c r="F761" s="503">
        <v>70</v>
      </c>
      <c r="G761" s="2117">
        <f t="shared" si="30"/>
        <v>70</v>
      </c>
      <c r="H761" s="2116" t="s">
        <v>3024</v>
      </c>
      <c r="I761" s="2116" t="s">
        <v>9645</v>
      </c>
      <c r="J761" s="2116" t="s">
        <v>9646</v>
      </c>
      <c r="K761" s="2116"/>
      <c r="L761" s="2116"/>
      <c r="M761" s="2248">
        <f t="shared" si="31"/>
        <v>0</v>
      </c>
      <c r="N761" s="2232" t="s">
        <v>9751</v>
      </c>
      <c r="O761" s="2232" t="s">
        <v>7112</v>
      </c>
      <c r="P761" s="2232" t="s">
        <v>7112</v>
      </c>
      <c r="Q761" s="2232" t="s">
        <v>7112</v>
      </c>
      <c r="R761" s="2232" t="s">
        <v>7112</v>
      </c>
      <c r="S761" s="2241" t="s">
        <v>7112</v>
      </c>
    </row>
    <row r="762" spans="1:19" ht="12" customHeight="1" x14ac:dyDescent="0.2">
      <c r="A762" s="5838"/>
      <c r="B762" s="5838"/>
      <c r="C762" s="1091" t="s">
        <v>3025</v>
      </c>
      <c r="D762" s="886" t="str">
        <f>D761</f>
        <v>Magus Abstergo</v>
      </c>
      <c r="E762" s="503">
        <v>2</v>
      </c>
      <c r="F762" s="503">
        <v>65</v>
      </c>
      <c r="G762" s="2117">
        <f t="shared" si="30"/>
        <v>65</v>
      </c>
      <c r="H762" s="2116" t="s">
        <v>3026</v>
      </c>
      <c r="I762" s="2116" t="s">
        <v>9647</v>
      </c>
      <c r="J762" s="2116" t="s">
        <v>9646</v>
      </c>
      <c r="K762" s="2116"/>
      <c r="L762" s="2116"/>
      <c r="M762" s="2248">
        <f t="shared" si="31"/>
        <v>0</v>
      </c>
      <c r="N762" s="2232" t="s">
        <v>9751</v>
      </c>
      <c r="O762" s="2232" t="s">
        <v>9761</v>
      </c>
      <c r="P762" s="2232" t="s">
        <v>7112</v>
      </c>
      <c r="Q762" s="2232" t="s">
        <v>7112</v>
      </c>
      <c r="R762" s="2232" t="s">
        <v>7112</v>
      </c>
      <c r="S762" s="2241" t="s">
        <v>7112</v>
      </c>
    </row>
    <row r="763" spans="1:19" ht="12" customHeight="1" x14ac:dyDescent="0.2">
      <c r="A763" s="5838"/>
      <c r="B763" s="5838"/>
      <c r="C763" s="1091" t="s">
        <v>3027</v>
      </c>
      <c r="D763" s="886" t="str">
        <f>D762</f>
        <v>Magus Abstergo</v>
      </c>
      <c r="E763" s="503">
        <v>2</v>
      </c>
      <c r="F763" s="503">
        <v>100</v>
      </c>
      <c r="G763" s="2117">
        <f t="shared" si="30"/>
        <v>100</v>
      </c>
      <c r="H763" s="2116" t="s">
        <v>3028</v>
      </c>
      <c r="I763" s="2116" t="s">
        <v>9648</v>
      </c>
      <c r="J763" s="2116" t="s">
        <v>7112</v>
      </c>
      <c r="K763" s="2116"/>
      <c r="L763" s="2116"/>
      <c r="M763" s="2248">
        <f t="shared" si="31"/>
        <v>0</v>
      </c>
      <c r="N763" s="2232" t="s">
        <v>9749</v>
      </c>
      <c r="O763" s="2232" t="s">
        <v>9754</v>
      </c>
      <c r="P763" s="2232" t="s">
        <v>7112</v>
      </c>
      <c r="Q763" s="2232" t="s">
        <v>9762</v>
      </c>
      <c r="R763" s="2232" t="s">
        <v>7112</v>
      </c>
      <c r="S763" s="2241" t="s">
        <v>7112</v>
      </c>
    </row>
    <row r="764" spans="1:19" ht="12" customHeight="1" x14ac:dyDescent="0.2">
      <c r="A764" s="5838"/>
      <c r="B764" s="5838"/>
      <c r="C764" s="1091" t="s">
        <v>3029</v>
      </c>
      <c r="D764" s="886"/>
      <c r="E764" s="2204"/>
      <c r="F764" s="503"/>
      <c r="G764" s="2117" t="str">
        <f t="shared" si="30"/>
        <v/>
      </c>
      <c r="H764" s="2116"/>
      <c r="I764" s="2116" t="s">
        <v>7112</v>
      </c>
      <c r="J764" s="2116" t="s">
        <v>7112</v>
      </c>
      <c r="K764" s="2116"/>
      <c r="L764" s="2116"/>
      <c r="M764" s="2248" t="str">
        <f t="shared" si="31"/>
        <v/>
      </c>
      <c r="N764" s="2232" t="s">
        <v>7112</v>
      </c>
      <c r="O764" s="2232" t="s">
        <v>7112</v>
      </c>
      <c r="P764" s="2232" t="s">
        <v>7112</v>
      </c>
      <c r="Q764" s="2232" t="s">
        <v>7112</v>
      </c>
      <c r="R764" s="2232" t="s">
        <v>7112</v>
      </c>
      <c r="S764" s="2241" t="s">
        <v>7112</v>
      </c>
    </row>
    <row r="765" spans="1:19" ht="12" customHeight="1" x14ac:dyDescent="0.2">
      <c r="A765" s="5838"/>
      <c r="B765" s="5838"/>
      <c r="C765" s="1091" t="s">
        <v>3030</v>
      </c>
      <c r="D765" s="886" t="str">
        <f>PROPER(MID(C764,3,100))</f>
        <v>Gunhell</v>
      </c>
      <c r="E765" s="503">
        <v>1</v>
      </c>
      <c r="F765" s="503">
        <v>35</v>
      </c>
      <c r="G765" s="2117">
        <f t="shared" si="30"/>
        <v>35</v>
      </c>
      <c r="H765" s="2116" t="s">
        <v>3031</v>
      </c>
      <c r="I765" s="2116" t="s">
        <v>9649</v>
      </c>
      <c r="J765" s="2116" t="s">
        <v>7112</v>
      </c>
      <c r="K765" s="2116"/>
      <c r="L765" s="2116"/>
      <c r="M765" s="2248">
        <f t="shared" si="31"/>
        <v>0</v>
      </c>
      <c r="N765" s="2232" t="s">
        <v>9757</v>
      </c>
      <c r="O765" s="2232" t="s">
        <v>7112</v>
      </c>
      <c r="P765" s="2232" t="s">
        <v>7112</v>
      </c>
      <c r="Q765" s="2232" t="s">
        <v>7112</v>
      </c>
      <c r="R765" s="2232" t="s">
        <v>7112</v>
      </c>
      <c r="S765" s="2241" t="s">
        <v>7112</v>
      </c>
    </row>
    <row r="766" spans="1:19" ht="12" customHeight="1" x14ac:dyDescent="0.2">
      <c r="A766" s="5838"/>
      <c r="B766" s="5838"/>
      <c r="C766" s="1091" t="s">
        <v>3032</v>
      </c>
      <c r="D766" s="886" t="str">
        <f>D765</f>
        <v>Gunhell</v>
      </c>
      <c r="E766" s="503">
        <v>1</v>
      </c>
      <c r="F766" s="503">
        <v>45</v>
      </c>
      <c r="G766" s="2117">
        <f t="shared" si="30"/>
        <v>45</v>
      </c>
      <c r="H766" s="2116" t="s">
        <v>3033</v>
      </c>
      <c r="I766" s="2116" t="s">
        <v>9650</v>
      </c>
      <c r="J766" s="2116" t="s">
        <v>9651</v>
      </c>
      <c r="K766" s="2116"/>
      <c r="L766" s="2116"/>
      <c r="M766" s="2248">
        <f t="shared" si="31"/>
        <v>0</v>
      </c>
      <c r="N766" s="2232" t="s">
        <v>9748</v>
      </c>
      <c r="O766" s="2232" t="s">
        <v>7112</v>
      </c>
      <c r="P766" s="2232" t="s">
        <v>7112</v>
      </c>
      <c r="Q766" s="2232" t="s">
        <v>7112</v>
      </c>
      <c r="R766" s="2232" t="s">
        <v>7112</v>
      </c>
      <c r="S766" s="2241" t="s">
        <v>7112</v>
      </c>
    </row>
    <row r="767" spans="1:19" ht="12" customHeight="1" x14ac:dyDescent="0.2">
      <c r="A767" s="5838"/>
      <c r="B767" s="5838"/>
      <c r="C767" s="1091" t="s">
        <v>3034</v>
      </c>
      <c r="D767" s="886" t="str">
        <f>D766</f>
        <v>Gunhell</v>
      </c>
      <c r="E767" s="503">
        <v>1</v>
      </c>
      <c r="F767" s="503">
        <v>25</v>
      </c>
      <c r="G767" s="2117">
        <f t="shared" si="30"/>
        <v>25</v>
      </c>
      <c r="H767" s="2116" t="s">
        <v>3035</v>
      </c>
      <c r="I767" s="2116" t="s">
        <v>9740</v>
      </c>
      <c r="J767" s="2116" t="s">
        <v>9651</v>
      </c>
      <c r="K767" s="2116"/>
      <c r="L767" s="2116"/>
      <c r="M767" s="2248">
        <f t="shared" si="31"/>
        <v>0</v>
      </c>
      <c r="N767" s="2232" t="s">
        <v>7112</v>
      </c>
      <c r="O767" s="2232" t="s">
        <v>9748</v>
      </c>
      <c r="P767" s="2232" t="s">
        <v>7112</v>
      </c>
      <c r="Q767" s="2232" t="s">
        <v>7112</v>
      </c>
      <c r="R767" s="2232" t="s">
        <v>7112</v>
      </c>
      <c r="S767" s="2241" t="s">
        <v>7112</v>
      </c>
    </row>
    <row r="768" spans="1:19" ht="12" customHeight="1" x14ac:dyDescent="0.2">
      <c r="A768" s="5838"/>
      <c r="B768" s="5838"/>
      <c r="C768" s="1091" t="s">
        <v>3036</v>
      </c>
      <c r="D768" s="886" t="str">
        <f>D767</f>
        <v>Gunhell</v>
      </c>
      <c r="E768" s="503">
        <v>1</v>
      </c>
      <c r="F768" s="503">
        <v>30</v>
      </c>
      <c r="G768" s="2117">
        <f t="shared" si="30"/>
        <v>30</v>
      </c>
      <c r="H768" s="2116" t="s">
        <v>3035</v>
      </c>
      <c r="I768" s="2116" t="s">
        <v>9652</v>
      </c>
      <c r="J768" s="2116" t="s">
        <v>9653</v>
      </c>
      <c r="K768" s="2116"/>
      <c r="L768" s="2116"/>
      <c r="M768" s="2248">
        <f t="shared" si="31"/>
        <v>0</v>
      </c>
      <c r="N768" s="2232" t="s">
        <v>9754</v>
      </c>
      <c r="O768" s="2232" t="s">
        <v>7112</v>
      </c>
      <c r="P768" s="2232" t="s">
        <v>7112</v>
      </c>
      <c r="Q768" s="2232" t="s">
        <v>7112</v>
      </c>
      <c r="R768" s="2232" t="s">
        <v>7112</v>
      </c>
      <c r="S768" s="2241" t="s">
        <v>7112</v>
      </c>
    </row>
    <row r="769" spans="1:19" ht="12" customHeight="1" x14ac:dyDescent="0.2">
      <c r="A769" s="5838"/>
      <c r="B769" s="5838"/>
      <c r="C769" s="1091" t="s">
        <v>3037</v>
      </c>
      <c r="D769" s="886" t="str">
        <f>D768</f>
        <v>Gunhell</v>
      </c>
      <c r="E769" s="503">
        <v>2</v>
      </c>
      <c r="F769" s="503">
        <v>85</v>
      </c>
      <c r="G769" s="2117">
        <f t="shared" si="30"/>
        <v>85</v>
      </c>
      <c r="H769" s="2116" t="s">
        <v>3038</v>
      </c>
      <c r="I769" s="2116" t="s">
        <v>9654</v>
      </c>
      <c r="J769" s="2116" t="s">
        <v>9651</v>
      </c>
      <c r="K769" s="2116"/>
      <c r="L769" s="2116"/>
      <c r="M769" s="2248">
        <f t="shared" si="31"/>
        <v>0</v>
      </c>
      <c r="N769" s="2232" t="s">
        <v>9749</v>
      </c>
      <c r="O769" s="2232" t="s">
        <v>9755</v>
      </c>
      <c r="P769" s="2232" t="s">
        <v>7112</v>
      </c>
      <c r="Q769" s="2232" t="s">
        <v>7112</v>
      </c>
      <c r="R769" s="2232" t="s">
        <v>7112</v>
      </c>
      <c r="S769" s="2241" t="s">
        <v>7112</v>
      </c>
    </row>
    <row r="770" spans="1:19" ht="12" customHeight="1" x14ac:dyDescent="0.2">
      <c r="A770" s="5838"/>
      <c r="B770" s="5838"/>
      <c r="C770" s="1091" t="s">
        <v>3039</v>
      </c>
      <c r="D770" s="886" t="str">
        <f t="shared" ref="D770:D771" si="32">D769</f>
        <v>Gunhell</v>
      </c>
      <c r="E770" s="503">
        <v>2</v>
      </c>
      <c r="F770" s="503">
        <v>65</v>
      </c>
      <c r="G770" s="2117">
        <f t="shared" si="30"/>
        <v>65</v>
      </c>
      <c r="H770" s="2116" t="s">
        <v>3040</v>
      </c>
      <c r="I770" s="2116" t="s">
        <v>9655</v>
      </c>
      <c r="J770" s="2116" t="s">
        <v>9656</v>
      </c>
      <c r="K770" s="2116"/>
      <c r="L770" s="2116"/>
      <c r="M770" s="2248">
        <f t="shared" si="31"/>
        <v>0</v>
      </c>
      <c r="N770" s="2232" t="s">
        <v>7731</v>
      </c>
      <c r="O770" s="2232" t="s">
        <v>9747</v>
      </c>
      <c r="P770" s="2232" t="s">
        <v>9762</v>
      </c>
      <c r="Q770" s="2232" t="s">
        <v>7112</v>
      </c>
      <c r="R770" s="2232" t="s">
        <v>7112</v>
      </c>
      <c r="S770" s="2241" t="s">
        <v>7112</v>
      </c>
    </row>
    <row r="771" spans="1:19" ht="12" customHeight="1" x14ac:dyDescent="0.2">
      <c r="A771" s="5838"/>
      <c r="B771" s="5838"/>
      <c r="C771" s="1091" t="s">
        <v>3041</v>
      </c>
      <c r="D771" s="886" t="str">
        <f t="shared" si="32"/>
        <v>Gunhell</v>
      </c>
      <c r="E771" s="503">
        <v>3</v>
      </c>
      <c r="F771" s="503">
        <v>90</v>
      </c>
      <c r="G771" s="2117">
        <f t="shared" si="30"/>
        <v>90</v>
      </c>
      <c r="H771" s="2116" t="s">
        <v>3042</v>
      </c>
      <c r="I771" s="2116" t="s">
        <v>9657</v>
      </c>
      <c r="J771" s="2116" t="s">
        <v>9658</v>
      </c>
      <c r="K771" s="2116"/>
      <c r="L771" s="2116"/>
      <c r="M771" s="2248">
        <f t="shared" si="31"/>
        <v>0</v>
      </c>
      <c r="N771" s="2232" t="s">
        <v>9749</v>
      </c>
      <c r="O771" s="2232" t="s">
        <v>9750</v>
      </c>
      <c r="P771" s="2232" t="s">
        <v>7112</v>
      </c>
      <c r="Q771" s="2232" t="s">
        <v>9767</v>
      </c>
      <c r="R771" s="2232" t="s">
        <v>7112</v>
      </c>
      <c r="S771" s="2241" t="s">
        <v>7112</v>
      </c>
    </row>
    <row r="772" spans="1:19" ht="12" customHeight="1" x14ac:dyDescent="0.2">
      <c r="A772" s="5838"/>
      <c r="B772" s="5838"/>
      <c r="C772" s="1091" t="s">
        <v>3043</v>
      </c>
      <c r="D772" s="886"/>
      <c r="E772" s="2204"/>
      <c r="F772" s="503"/>
      <c r="G772" s="2117" t="str">
        <f t="shared" si="30"/>
        <v/>
      </c>
      <c r="H772" s="2116"/>
      <c r="I772" s="2116" t="s">
        <v>7112</v>
      </c>
      <c r="J772" s="2116" t="s">
        <v>7112</v>
      </c>
      <c r="K772" s="2116"/>
      <c r="L772" s="2116"/>
      <c r="M772" s="2248" t="str">
        <f t="shared" si="31"/>
        <v/>
      </c>
      <c r="N772" s="2232" t="s">
        <v>7112</v>
      </c>
      <c r="O772" s="2232" t="s">
        <v>7112</v>
      </c>
      <c r="P772" s="2232" t="s">
        <v>7112</v>
      </c>
      <c r="Q772" s="2232" t="s">
        <v>7112</v>
      </c>
      <c r="R772" s="2232" t="s">
        <v>7112</v>
      </c>
      <c r="S772" s="2241" t="s">
        <v>7112</v>
      </c>
    </row>
    <row r="773" spans="1:19" ht="12" customHeight="1" x14ac:dyDescent="0.2">
      <c r="A773" s="5838"/>
      <c r="B773" s="5838"/>
      <c r="C773" s="1091" t="s">
        <v>3044</v>
      </c>
      <c r="D773" s="886" t="str">
        <f>PROPER(MID(C772,3,100))</f>
        <v>Sattyagraha</v>
      </c>
      <c r="E773" s="503">
        <v>1</v>
      </c>
      <c r="F773" s="503">
        <v>20</v>
      </c>
      <c r="G773" s="2117">
        <f t="shared" si="30"/>
        <v>20</v>
      </c>
      <c r="H773" s="2116" t="s">
        <v>3045</v>
      </c>
      <c r="I773" s="2116" t="s">
        <v>9659</v>
      </c>
      <c r="J773" s="2116" t="s">
        <v>7112</v>
      </c>
      <c r="K773" s="2116"/>
      <c r="L773" s="2116"/>
      <c r="M773" s="2248">
        <f t="shared" si="31"/>
        <v>0</v>
      </c>
      <c r="N773" s="2232" t="s">
        <v>9751</v>
      </c>
      <c r="O773" s="2232" t="s">
        <v>9761</v>
      </c>
      <c r="P773" s="2232" t="s">
        <v>7112</v>
      </c>
      <c r="Q773" s="2232" t="s">
        <v>7112</v>
      </c>
      <c r="R773" s="2232" t="s">
        <v>7112</v>
      </c>
      <c r="S773" s="2241" t="s">
        <v>7112</v>
      </c>
    </row>
    <row r="774" spans="1:19" ht="12" customHeight="1" x14ac:dyDescent="0.2">
      <c r="A774" s="5838"/>
      <c r="B774" s="5838"/>
      <c r="C774" s="1091" t="s">
        <v>3046</v>
      </c>
      <c r="D774" s="886" t="str">
        <f>D773</f>
        <v>Sattyagraha</v>
      </c>
      <c r="E774" s="503">
        <v>1</v>
      </c>
      <c r="F774" s="503">
        <v>35</v>
      </c>
      <c r="G774" s="2117">
        <f t="shared" si="30"/>
        <v>35</v>
      </c>
      <c r="H774" s="2116" t="s">
        <v>3047</v>
      </c>
      <c r="I774" s="2116" t="s">
        <v>9660</v>
      </c>
      <c r="J774" s="2116" t="s">
        <v>7112</v>
      </c>
      <c r="K774" s="2116"/>
      <c r="L774" s="2116"/>
      <c r="M774" s="2248">
        <f t="shared" si="31"/>
        <v>0</v>
      </c>
      <c r="N774" s="2232" t="s">
        <v>9754</v>
      </c>
      <c r="O774" s="2232" t="s">
        <v>7112</v>
      </c>
      <c r="P774" s="2232" t="s">
        <v>7112</v>
      </c>
      <c r="Q774" s="2232" t="s">
        <v>7112</v>
      </c>
      <c r="R774" s="2232" t="s">
        <v>7112</v>
      </c>
      <c r="S774" s="2241" t="s">
        <v>7112</v>
      </c>
    </row>
    <row r="775" spans="1:19" ht="12" customHeight="1" x14ac:dyDescent="0.2">
      <c r="A775" s="5838"/>
      <c r="B775" s="5838"/>
      <c r="C775" s="1091" t="s">
        <v>3048</v>
      </c>
      <c r="D775" s="886" t="str">
        <f>D774</f>
        <v>Sattyagraha</v>
      </c>
      <c r="E775" s="503">
        <v>1</v>
      </c>
      <c r="F775" s="503">
        <v>45</v>
      </c>
      <c r="G775" s="2117">
        <f t="shared" si="30"/>
        <v>45</v>
      </c>
      <c r="H775" s="2116" t="s">
        <v>3045</v>
      </c>
      <c r="I775" s="2116" t="s">
        <v>9661</v>
      </c>
      <c r="J775" s="2116" t="s">
        <v>7112</v>
      </c>
      <c r="K775" s="2116"/>
      <c r="L775" s="2116"/>
      <c r="M775" s="2248">
        <f t="shared" si="31"/>
        <v>0</v>
      </c>
      <c r="N775" s="2232" t="s">
        <v>9758</v>
      </c>
      <c r="O775" s="2232" t="s">
        <v>9751</v>
      </c>
      <c r="P775" s="2232" t="s">
        <v>7112</v>
      </c>
      <c r="Q775" s="2232" t="s">
        <v>7112</v>
      </c>
      <c r="R775" s="2232" t="s">
        <v>7112</v>
      </c>
      <c r="S775" s="2241" t="s">
        <v>7112</v>
      </c>
    </row>
    <row r="776" spans="1:19" ht="12" customHeight="1" x14ac:dyDescent="0.2">
      <c r="A776" s="5838"/>
      <c r="B776" s="5838"/>
      <c r="C776" s="1091" t="s">
        <v>3049</v>
      </c>
      <c r="D776" s="886" t="str">
        <f>D775</f>
        <v>Sattyagraha</v>
      </c>
      <c r="E776" s="503">
        <v>2</v>
      </c>
      <c r="F776" s="503">
        <v>55</v>
      </c>
      <c r="G776" s="2117">
        <f t="shared" si="30"/>
        <v>55</v>
      </c>
      <c r="H776" s="2116" t="s">
        <v>3050</v>
      </c>
      <c r="I776" s="2116" t="s">
        <v>9662</v>
      </c>
      <c r="J776" s="2116" t="s">
        <v>9640</v>
      </c>
      <c r="K776" s="2116"/>
      <c r="L776" s="2116"/>
      <c r="M776" s="2248">
        <f t="shared" si="31"/>
        <v>0</v>
      </c>
      <c r="N776" s="2232" t="s">
        <v>9749</v>
      </c>
      <c r="O776" s="2232" t="s">
        <v>9767</v>
      </c>
      <c r="P776" s="2232" t="s">
        <v>7112</v>
      </c>
      <c r="Q776" s="2232" t="s">
        <v>7112</v>
      </c>
      <c r="R776" s="2232" t="s">
        <v>7112</v>
      </c>
      <c r="S776" s="2241" t="s">
        <v>7112</v>
      </c>
    </row>
    <row r="777" spans="1:19" ht="12" customHeight="1" x14ac:dyDescent="0.2">
      <c r="A777" s="5838"/>
      <c r="B777" s="5838"/>
      <c r="C777" s="1091" t="s">
        <v>3051</v>
      </c>
      <c r="D777" s="886" t="str">
        <f>D776</f>
        <v>Sattyagraha</v>
      </c>
      <c r="E777" s="503">
        <v>2</v>
      </c>
      <c r="F777" s="503">
        <v>90</v>
      </c>
      <c r="G777" s="2117">
        <f t="shared" si="30"/>
        <v>90</v>
      </c>
      <c r="H777" s="2116" t="s">
        <v>3052</v>
      </c>
      <c r="I777" s="2116" t="s">
        <v>9663</v>
      </c>
      <c r="J777" s="2116" t="s">
        <v>7112</v>
      </c>
      <c r="K777" s="2116"/>
      <c r="L777" s="2116"/>
      <c r="M777" s="2248">
        <f t="shared" si="31"/>
        <v>0</v>
      </c>
      <c r="N777" s="2232" t="s">
        <v>9753</v>
      </c>
      <c r="O777" s="2232" t="s">
        <v>7731</v>
      </c>
      <c r="P777" s="2232" t="s">
        <v>9759</v>
      </c>
      <c r="Q777" s="2232" t="s">
        <v>7112</v>
      </c>
      <c r="R777" s="2232" t="s">
        <v>7112</v>
      </c>
      <c r="S777" s="2241" t="s">
        <v>7112</v>
      </c>
    </row>
    <row r="778" spans="1:19" ht="12" customHeight="1" x14ac:dyDescent="0.2">
      <c r="A778" s="5838"/>
      <c r="B778" s="5838"/>
      <c r="C778" s="1091" t="s">
        <v>3053</v>
      </c>
      <c r="D778" s="886" t="str">
        <f t="shared" ref="D778" si="33">D777</f>
        <v>Sattyagraha</v>
      </c>
      <c r="E778" s="503">
        <v>3</v>
      </c>
      <c r="F778" s="503">
        <v>95</v>
      </c>
      <c r="G778" s="2117">
        <f t="shared" si="30"/>
        <v>95</v>
      </c>
      <c r="H778" s="2116" t="s">
        <v>3054</v>
      </c>
      <c r="I778" s="2116" t="s">
        <v>9664</v>
      </c>
      <c r="J778" s="2116" t="s">
        <v>7112</v>
      </c>
      <c r="K778" s="2116"/>
      <c r="L778" s="2116"/>
      <c r="M778" s="2248">
        <f t="shared" si="31"/>
        <v>0</v>
      </c>
      <c r="N778" s="2232" t="s">
        <v>9751</v>
      </c>
      <c r="O778" s="2232" t="s">
        <v>9279</v>
      </c>
      <c r="P778" s="2232" t="s">
        <v>9752</v>
      </c>
      <c r="Q778" s="2232" t="s">
        <v>7112</v>
      </c>
      <c r="R778" s="2232" t="s">
        <v>7112</v>
      </c>
      <c r="S778" s="2241" t="s">
        <v>7112</v>
      </c>
    </row>
    <row r="779" spans="1:19" ht="12" customHeight="1" x14ac:dyDescent="0.2">
      <c r="A779" s="5838"/>
      <c r="B779" s="5838"/>
      <c r="C779" s="1091" t="s">
        <v>3055</v>
      </c>
      <c r="D779" s="886"/>
      <c r="E779" s="2204"/>
      <c r="F779" s="503"/>
      <c r="G779" s="2117" t="str">
        <f t="shared" si="30"/>
        <v/>
      </c>
      <c r="H779" s="2116"/>
      <c r="I779" s="2116" t="s">
        <v>7112</v>
      </c>
      <c r="J779" s="2116" t="s">
        <v>7112</v>
      </c>
      <c r="K779" s="2116"/>
      <c r="L779" s="2116"/>
      <c r="M779" s="2248" t="str">
        <f t="shared" si="31"/>
        <v/>
      </c>
      <c r="N779" s="2232" t="s">
        <v>7112</v>
      </c>
      <c r="O779" s="2232" t="s">
        <v>7112</v>
      </c>
      <c r="P779" s="2232" t="s">
        <v>7112</v>
      </c>
      <c r="Q779" s="2232" t="s">
        <v>7112</v>
      </c>
      <c r="R779" s="2232" t="s">
        <v>7112</v>
      </c>
      <c r="S779" s="2241" t="s">
        <v>7112</v>
      </c>
    </row>
    <row r="780" spans="1:19" ht="12" customHeight="1" x14ac:dyDescent="0.2">
      <c r="A780" s="5838"/>
      <c r="B780" s="5838"/>
      <c r="C780" s="1091" t="s">
        <v>3056</v>
      </c>
      <c r="D780" s="886" t="str">
        <f>PROPER(MID(C779,3,100))</f>
        <v>A’Arab Zaraq</v>
      </c>
      <c r="E780" s="503">
        <v>1</v>
      </c>
      <c r="F780" s="503">
        <v>30</v>
      </c>
      <c r="G780" s="2117">
        <f t="shared" si="30"/>
        <v>30</v>
      </c>
      <c r="H780" s="2116" t="s">
        <v>3057</v>
      </c>
      <c r="I780" s="2116" t="s">
        <v>9665</v>
      </c>
      <c r="J780" s="2116" t="s">
        <v>9666</v>
      </c>
      <c r="K780" s="2116"/>
      <c r="L780" s="2116"/>
      <c r="M780" s="2248">
        <f t="shared" si="31"/>
        <v>0</v>
      </c>
      <c r="N780" s="2232" t="s">
        <v>9760</v>
      </c>
      <c r="O780" s="2232" t="s">
        <v>9761</v>
      </c>
      <c r="P780" s="2232" t="s">
        <v>7112</v>
      </c>
      <c r="Q780" s="2232" t="s">
        <v>7112</v>
      </c>
      <c r="R780" s="2232" t="s">
        <v>7112</v>
      </c>
      <c r="S780" s="2241" t="s">
        <v>7112</v>
      </c>
    </row>
    <row r="781" spans="1:19" ht="12" customHeight="1" x14ac:dyDescent="0.2">
      <c r="A781" s="5838"/>
      <c r="B781" s="5838"/>
      <c r="C781" s="1091" t="s">
        <v>3058</v>
      </c>
      <c r="D781" s="886" t="str">
        <f>D780</f>
        <v>A’Arab Zaraq</v>
      </c>
      <c r="E781" s="503">
        <v>1</v>
      </c>
      <c r="F781" s="503">
        <v>25</v>
      </c>
      <c r="G781" s="2117">
        <f t="shared" si="30"/>
        <v>25</v>
      </c>
      <c r="H781" s="2116" t="s">
        <v>3059</v>
      </c>
      <c r="I781" s="2116" t="s">
        <v>9667</v>
      </c>
      <c r="J781" s="2116" t="s">
        <v>7112</v>
      </c>
      <c r="K781" s="2116"/>
      <c r="L781" s="2116"/>
      <c r="M781" s="2248">
        <f t="shared" si="31"/>
        <v>0</v>
      </c>
      <c r="N781" s="2232" t="s">
        <v>9763</v>
      </c>
      <c r="O781" s="2232" t="s">
        <v>7112</v>
      </c>
      <c r="P781" s="2232" t="s">
        <v>7112</v>
      </c>
      <c r="Q781" s="2232" t="s">
        <v>7112</v>
      </c>
      <c r="R781" s="2232" t="s">
        <v>7112</v>
      </c>
      <c r="S781" s="2241" t="s">
        <v>7112</v>
      </c>
    </row>
    <row r="782" spans="1:19" ht="12" customHeight="1" x14ac:dyDescent="0.2">
      <c r="A782" s="5838"/>
      <c r="B782" s="5838"/>
      <c r="C782" s="1091" t="s">
        <v>3060</v>
      </c>
      <c r="D782" s="886" t="str">
        <f>D781</f>
        <v>A’Arab Zaraq</v>
      </c>
      <c r="E782" s="503">
        <v>1</v>
      </c>
      <c r="F782" s="503">
        <v>35</v>
      </c>
      <c r="G782" s="2117">
        <f t="shared" si="30"/>
        <v>35</v>
      </c>
      <c r="H782" s="2116" t="s">
        <v>3061</v>
      </c>
      <c r="I782" s="2116" t="s">
        <v>9668</v>
      </c>
      <c r="J782" s="2116" t="s">
        <v>3062</v>
      </c>
      <c r="K782" s="2116"/>
      <c r="L782" s="2116"/>
      <c r="M782" s="2248">
        <f t="shared" si="31"/>
        <v>0</v>
      </c>
      <c r="N782" s="2232" t="s">
        <v>9747</v>
      </c>
      <c r="O782" s="2232" t="s">
        <v>9766</v>
      </c>
      <c r="P782" s="2232" t="s">
        <v>7112</v>
      </c>
      <c r="Q782" s="2232" t="s">
        <v>7112</v>
      </c>
      <c r="R782" s="2232" t="s">
        <v>7112</v>
      </c>
      <c r="S782" s="2241" t="s">
        <v>7112</v>
      </c>
    </row>
    <row r="783" spans="1:19" ht="12" customHeight="1" x14ac:dyDescent="0.2">
      <c r="A783" s="5838"/>
      <c r="B783" s="5838"/>
      <c r="C783" s="1091" t="s">
        <v>3063</v>
      </c>
      <c r="D783" s="886" t="str">
        <f>D782</f>
        <v>A’Arab Zaraq</v>
      </c>
      <c r="E783" s="503">
        <v>2</v>
      </c>
      <c r="F783" s="503">
        <v>45</v>
      </c>
      <c r="G783" s="2117">
        <f t="shared" si="30"/>
        <v>45</v>
      </c>
      <c r="H783" s="2116" t="s">
        <v>3064</v>
      </c>
      <c r="I783" s="2116" t="s">
        <v>9669</v>
      </c>
      <c r="J783" s="2116" t="s">
        <v>9670</v>
      </c>
      <c r="K783" s="2116"/>
      <c r="L783" s="2116"/>
      <c r="M783" s="2248">
        <f t="shared" si="31"/>
        <v>0</v>
      </c>
      <c r="N783" s="2232" t="s">
        <v>9750</v>
      </c>
      <c r="O783" s="2232" t="s">
        <v>9762</v>
      </c>
      <c r="P783" s="2232" t="s">
        <v>9763</v>
      </c>
      <c r="Q783" s="2232" t="s">
        <v>7112</v>
      </c>
      <c r="R783" s="2232" t="s">
        <v>7112</v>
      </c>
      <c r="S783" s="2241" t="s">
        <v>7112</v>
      </c>
    </row>
    <row r="784" spans="1:19" ht="12" customHeight="1" x14ac:dyDescent="0.2">
      <c r="A784" s="5838"/>
      <c r="B784" s="5838"/>
      <c r="C784" s="1091" t="s">
        <v>3065</v>
      </c>
      <c r="D784" s="886" t="str">
        <f>D783</f>
        <v>A’Arab Zaraq</v>
      </c>
      <c r="E784" s="503">
        <v>2</v>
      </c>
      <c r="F784" s="503">
        <v>75</v>
      </c>
      <c r="G784" s="2117">
        <f t="shared" si="30"/>
        <v>75</v>
      </c>
      <c r="H784" s="2116" t="s">
        <v>3066</v>
      </c>
      <c r="I784" s="2116" t="s">
        <v>9671</v>
      </c>
      <c r="J784" s="2116" t="s">
        <v>7112</v>
      </c>
      <c r="K784" s="2116"/>
      <c r="L784" s="2116"/>
      <c r="M784" s="2248">
        <f t="shared" si="31"/>
        <v>0</v>
      </c>
      <c r="N784" s="2232" t="s">
        <v>9766</v>
      </c>
      <c r="O784" s="2232" t="s">
        <v>9752</v>
      </c>
      <c r="P784" s="2232" t="s">
        <v>7112</v>
      </c>
      <c r="Q784" s="2232" t="s">
        <v>7112</v>
      </c>
      <c r="R784" s="2232" t="s">
        <v>7112</v>
      </c>
      <c r="S784" s="2241" t="s">
        <v>7112</v>
      </c>
    </row>
    <row r="785" spans="1:19" ht="12" customHeight="1" x14ac:dyDescent="0.2">
      <c r="A785" s="5838"/>
      <c r="B785" s="5838"/>
      <c r="C785" s="1091" t="s">
        <v>3067</v>
      </c>
      <c r="D785" s="886" t="str">
        <f t="shared" ref="D785" si="34">D784</f>
        <v>A’Arab Zaraq</v>
      </c>
      <c r="E785" s="503">
        <v>3</v>
      </c>
      <c r="F785" s="503">
        <v>95</v>
      </c>
      <c r="G785" s="2117">
        <f t="shared" si="30"/>
        <v>95</v>
      </c>
      <c r="H785" s="2116" t="s">
        <v>3068</v>
      </c>
      <c r="I785" s="2116" t="s">
        <v>9672</v>
      </c>
      <c r="J785" s="2116" t="s">
        <v>9604</v>
      </c>
      <c r="K785" s="2116"/>
      <c r="L785" s="2116"/>
      <c r="M785" s="2248">
        <f t="shared" si="31"/>
        <v>0</v>
      </c>
      <c r="N785" s="2232" t="s">
        <v>9749</v>
      </c>
      <c r="O785" s="2232" t="s">
        <v>9747</v>
      </c>
      <c r="P785" s="2232" t="s">
        <v>9767</v>
      </c>
      <c r="Q785" s="2232" t="s">
        <v>7112</v>
      </c>
      <c r="R785" s="2232" t="s">
        <v>7112</v>
      </c>
      <c r="S785" s="2241" t="s">
        <v>7112</v>
      </c>
    </row>
    <row r="786" spans="1:19" ht="12" customHeight="1" x14ac:dyDescent="0.2">
      <c r="A786" s="5838"/>
      <c r="B786" s="5838"/>
      <c r="C786" s="1091" t="s">
        <v>3069</v>
      </c>
      <c r="D786" s="886"/>
      <c r="E786" s="2204"/>
      <c r="F786" s="503"/>
      <c r="G786" s="2117" t="str">
        <f t="shared" si="30"/>
        <v/>
      </c>
      <c r="H786" s="2116"/>
      <c r="I786" s="2116" t="s">
        <v>7112</v>
      </c>
      <c r="J786" s="2116" t="s">
        <v>7112</v>
      </c>
      <c r="K786" s="2116"/>
      <c r="L786" s="2116"/>
      <c r="M786" s="2248" t="str">
        <f t="shared" si="31"/>
        <v/>
      </c>
      <c r="N786" s="2232" t="s">
        <v>7112</v>
      </c>
      <c r="O786" s="2232" t="s">
        <v>7112</v>
      </c>
      <c r="P786" s="2232" t="s">
        <v>7112</v>
      </c>
      <c r="Q786" s="2232" t="s">
        <v>7112</v>
      </c>
      <c r="R786" s="2232" t="s">
        <v>7112</v>
      </c>
      <c r="S786" s="2241" t="s">
        <v>7112</v>
      </c>
    </row>
    <row r="787" spans="1:19" ht="12" customHeight="1" x14ac:dyDescent="0.2">
      <c r="A787" s="5838"/>
      <c r="B787" s="5838"/>
      <c r="C787" s="1091" t="s">
        <v>3070</v>
      </c>
      <c r="D787" s="886" t="str">
        <f>PROPER(MID(C786,3,100))</f>
        <v>Wushu</v>
      </c>
      <c r="E787" s="503">
        <v>1</v>
      </c>
      <c r="F787" s="503">
        <v>20</v>
      </c>
      <c r="G787" s="2117">
        <f t="shared" si="30"/>
        <v>20</v>
      </c>
      <c r="H787" s="2116" t="s">
        <v>3071</v>
      </c>
      <c r="I787" s="2116" t="s">
        <v>9673</v>
      </c>
      <c r="J787" s="2116" t="s">
        <v>7112</v>
      </c>
      <c r="K787" s="2116"/>
      <c r="L787" s="2116"/>
      <c r="M787" s="2248">
        <f t="shared" si="31"/>
        <v>0</v>
      </c>
      <c r="N787" s="2232" t="s">
        <v>9754</v>
      </c>
      <c r="O787" s="2232" t="s">
        <v>9753</v>
      </c>
      <c r="P787" s="2232" t="s">
        <v>7112</v>
      </c>
      <c r="Q787" s="2232" t="s">
        <v>7112</v>
      </c>
      <c r="R787" s="2232" t="s">
        <v>7112</v>
      </c>
      <c r="S787" s="2241" t="s">
        <v>7112</v>
      </c>
    </row>
    <row r="788" spans="1:19" ht="12" customHeight="1" x14ac:dyDescent="0.2">
      <c r="A788" s="5838"/>
      <c r="B788" s="5838"/>
      <c r="C788" s="1091" t="s">
        <v>3072</v>
      </c>
      <c r="D788" s="886" t="str">
        <f t="shared" ref="D788:D795" si="35">D787</f>
        <v>Wushu</v>
      </c>
      <c r="E788" s="503">
        <v>1</v>
      </c>
      <c r="F788" s="503">
        <v>20</v>
      </c>
      <c r="G788" s="2117">
        <f t="shared" si="30"/>
        <v>20</v>
      </c>
      <c r="H788" s="2116" t="s">
        <v>3073</v>
      </c>
      <c r="I788" s="2116" t="s">
        <v>9674</v>
      </c>
      <c r="J788" s="2116" t="s">
        <v>7112</v>
      </c>
      <c r="K788" s="2116"/>
      <c r="L788" s="2116"/>
      <c r="M788" s="2248">
        <f t="shared" si="31"/>
        <v>0</v>
      </c>
      <c r="N788" s="2232" t="s">
        <v>9751</v>
      </c>
      <c r="O788" s="2232" t="s">
        <v>9761</v>
      </c>
      <c r="P788" s="2232" t="s">
        <v>7112</v>
      </c>
      <c r="Q788" s="2232" t="s">
        <v>7112</v>
      </c>
      <c r="R788" s="2232" t="s">
        <v>7112</v>
      </c>
      <c r="S788" s="2241" t="s">
        <v>7112</v>
      </c>
    </row>
    <row r="789" spans="1:19" ht="12" customHeight="1" x14ac:dyDescent="0.2">
      <c r="A789" s="5838"/>
      <c r="B789" s="5838"/>
      <c r="C789" s="1091" t="s">
        <v>3074</v>
      </c>
      <c r="D789" s="886" t="str">
        <f t="shared" si="35"/>
        <v>Wushu</v>
      </c>
      <c r="E789" s="503">
        <v>1</v>
      </c>
      <c r="F789" s="503">
        <v>25</v>
      </c>
      <c r="G789" s="2117">
        <f t="shared" si="30"/>
        <v>25</v>
      </c>
      <c r="H789" s="2116" t="s">
        <v>3075</v>
      </c>
      <c r="I789" s="2116" t="s">
        <v>9675</v>
      </c>
      <c r="J789" s="2116" t="s">
        <v>7112</v>
      </c>
      <c r="K789" s="2116"/>
      <c r="L789" s="2116"/>
      <c r="M789" s="2248">
        <f t="shared" si="31"/>
        <v>0</v>
      </c>
      <c r="N789" s="2232" t="s">
        <v>9762</v>
      </c>
      <c r="O789" s="2232" t="s">
        <v>9765</v>
      </c>
      <c r="P789" s="2232" t="s">
        <v>7112</v>
      </c>
      <c r="Q789" s="2232" t="s">
        <v>7112</v>
      </c>
      <c r="R789" s="2232" t="s">
        <v>7112</v>
      </c>
      <c r="S789" s="2241" t="s">
        <v>7112</v>
      </c>
    </row>
    <row r="790" spans="1:19" ht="12" customHeight="1" x14ac:dyDescent="0.2">
      <c r="A790" s="5838"/>
      <c r="B790" s="5838"/>
      <c r="C790" s="1091" t="s">
        <v>3076</v>
      </c>
      <c r="D790" s="886" t="str">
        <f t="shared" si="35"/>
        <v>Wushu</v>
      </c>
      <c r="E790" s="503">
        <v>1</v>
      </c>
      <c r="F790" s="503">
        <v>30</v>
      </c>
      <c r="G790" s="2117">
        <f t="shared" si="30"/>
        <v>30</v>
      </c>
      <c r="H790" s="2116" t="s">
        <v>3077</v>
      </c>
      <c r="I790" s="2116" t="s">
        <v>9676</v>
      </c>
      <c r="J790" s="2116" t="s">
        <v>9604</v>
      </c>
      <c r="K790" s="2116"/>
      <c r="L790" s="2116"/>
      <c r="M790" s="2248">
        <f t="shared" si="31"/>
        <v>0</v>
      </c>
      <c r="N790" s="2232" t="s">
        <v>9748</v>
      </c>
      <c r="O790" s="2232" t="s">
        <v>7112</v>
      </c>
      <c r="P790" s="2232" t="s">
        <v>7112</v>
      </c>
      <c r="Q790" s="2232" t="s">
        <v>7112</v>
      </c>
      <c r="R790" s="2232" t="s">
        <v>7112</v>
      </c>
      <c r="S790" s="2241" t="s">
        <v>7112</v>
      </c>
    </row>
    <row r="791" spans="1:19" ht="12" customHeight="1" x14ac:dyDescent="0.2">
      <c r="A791" s="5838"/>
      <c r="B791" s="5838"/>
      <c r="C791" s="1091" t="s">
        <v>3078</v>
      </c>
      <c r="D791" s="886" t="str">
        <f t="shared" si="35"/>
        <v>Wushu</v>
      </c>
      <c r="E791" s="503">
        <v>1</v>
      </c>
      <c r="F791" s="503">
        <v>30</v>
      </c>
      <c r="G791" s="2117">
        <f t="shared" si="30"/>
        <v>30</v>
      </c>
      <c r="H791" s="2116" t="s">
        <v>3073</v>
      </c>
      <c r="I791" s="2116" t="s">
        <v>9677</v>
      </c>
      <c r="J791" s="2116" t="s">
        <v>9640</v>
      </c>
      <c r="K791" s="2116"/>
      <c r="L791" s="2116"/>
      <c r="M791" s="2248">
        <f t="shared" si="31"/>
        <v>0</v>
      </c>
      <c r="N791" s="2232" t="s">
        <v>9749</v>
      </c>
      <c r="O791" s="2232" t="s">
        <v>9766</v>
      </c>
      <c r="P791" s="2232" t="s">
        <v>7112</v>
      </c>
      <c r="Q791" s="2232" t="s">
        <v>7112</v>
      </c>
      <c r="R791" s="2232" t="s">
        <v>7112</v>
      </c>
      <c r="S791" s="2241" t="s">
        <v>7112</v>
      </c>
    </row>
    <row r="792" spans="1:19" ht="12" customHeight="1" x14ac:dyDescent="0.2">
      <c r="A792" s="5838"/>
      <c r="B792" s="5838"/>
      <c r="C792" s="1091" t="s">
        <v>3079</v>
      </c>
      <c r="D792" s="886" t="str">
        <f t="shared" si="35"/>
        <v>Wushu</v>
      </c>
      <c r="E792" s="503">
        <v>1</v>
      </c>
      <c r="F792" s="503">
        <v>30</v>
      </c>
      <c r="G792" s="2117">
        <f t="shared" si="30"/>
        <v>30</v>
      </c>
      <c r="H792" s="2116" t="s">
        <v>3080</v>
      </c>
      <c r="I792" s="2116" t="s">
        <v>9678</v>
      </c>
      <c r="J792" s="2116" t="s">
        <v>7112</v>
      </c>
      <c r="K792" s="2116"/>
      <c r="L792" s="2116"/>
      <c r="M792" s="2248">
        <f t="shared" si="31"/>
        <v>0</v>
      </c>
      <c r="N792" s="2232" t="s">
        <v>7731</v>
      </c>
      <c r="O792" s="2232" t="s">
        <v>9763</v>
      </c>
      <c r="P792" s="2232" t="s">
        <v>7731</v>
      </c>
      <c r="Q792" s="2232" t="s">
        <v>7112</v>
      </c>
      <c r="R792" s="2232" t="s">
        <v>7112</v>
      </c>
      <c r="S792" s="2241" t="s">
        <v>7112</v>
      </c>
    </row>
    <row r="793" spans="1:19" ht="12" customHeight="1" x14ac:dyDescent="0.2">
      <c r="A793" s="5838"/>
      <c r="B793" s="5838"/>
      <c r="C793" s="1091" t="s">
        <v>3081</v>
      </c>
      <c r="D793" s="886" t="str">
        <f t="shared" si="35"/>
        <v>Wushu</v>
      </c>
      <c r="E793" s="503">
        <v>2</v>
      </c>
      <c r="F793" s="503">
        <v>50</v>
      </c>
      <c r="G793" s="2117">
        <f t="shared" si="30"/>
        <v>50</v>
      </c>
      <c r="H793" s="2116" t="s">
        <v>3082</v>
      </c>
      <c r="I793" s="2116" t="s">
        <v>9679</v>
      </c>
      <c r="J793" s="2116" t="s">
        <v>7112</v>
      </c>
      <c r="K793" s="2116"/>
      <c r="L793" s="2116"/>
      <c r="M793" s="2248">
        <f t="shared" si="31"/>
        <v>0</v>
      </c>
      <c r="N793" s="2232" t="s">
        <v>9748</v>
      </c>
      <c r="O793" s="2232" t="s">
        <v>9279</v>
      </c>
      <c r="P793" s="2232" t="s">
        <v>7731</v>
      </c>
      <c r="Q793" s="2232" t="s">
        <v>7112</v>
      </c>
      <c r="R793" s="2232" t="s">
        <v>7112</v>
      </c>
      <c r="S793" s="2241" t="s">
        <v>7112</v>
      </c>
    </row>
    <row r="794" spans="1:19" ht="12" customHeight="1" x14ac:dyDescent="0.2">
      <c r="A794" s="5838"/>
      <c r="B794" s="5838"/>
      <c r="C794" s="1091" t="s">
        <v>3083</v>
      </c>
      <c r="D794" s="886" t="str">
        <f t="shared" si="35"/>
        <v>Wushu</v>
      </c>
      <c r="E794" s="503">
        <v>2</v>
      </c>
      <c r="F794" s="503">
        <v>70</v>
      </c>
      <c r="G794" s="2117">
        <f t="shared" si="30"/>
        <v>70</v>
      </c>
      <c r="H794" s="2116" t="s">
        <v>3084</v>
      </c>
      <c r="I794" s="2116" t="s">
        <v>9680</v>
      </c>
      <c r="J794" s="2116" t="s">
        <v>7112</v>
      </c>
      <c r="K794" s="2116"/>
      <c r="L794" s="2116"/>
      <c r="M794" s="2248">
        <f t="shared" si="31"/>
        <v>0</v>
      </c>
      <c r="N794" s="2232" t="s">
        <v>9766</v>
      </c>
      <c r="O794" s="2232" t="s">
        <v>9762</v>
      </c>
      <c r="P794" s="2232" t="s">
        <v>9749</v>
      </c>
      <c r="Q794" s="2232" t="s">
        <v>7112</v>
      </c>
      <c r="R794" s="2232" t="s">
        <v>7112</v>
      </c>
      <c r="S794" s="2241" t="s">
        <v>7112</v>
      </c>
    </row>
    <row r="795" spans="1:19" ht="12" customHeight="1" x14ac:dyDescent="0.2">
      <c r="A795" s="5838"/>
      <c r="B795" s="5838"/>
      <c r="C795" s="1091" t="s">
        <v>3085</v>
      </c>
      <c r="D795" s="886" t="str">
        <f t="shared" si="35"/>
        <v>Wushu</v>
      </c>
      <c r="E795" s="503">
        <v>2</v>
      </c>
      <c r="F795" s="503">
        <v>85</v>
      </c>
      <c r="G795" s="2117">
        <f t="shared" ref="G795:G837" si="36">IF(E795="","",MAX(IF(E795=3,60,IF(E795=2,40,20)),F795+M795))</f>
        <v>85</v>
      </c>
      <c r="H795" s="2116" t="s">
        <v>3086</v>
      </c>
      <c r="I795" s="2116" t="s">
        <v>9681</v>
      </c>
      <c r="J795" s="2116" t="s">
        <v>7112</v>
      </c>
      <c r="K795" s="2116"/>
      <c r="L795" s="2116"/>
      <c r="M795" s="2248">
        <f t="shared" si="31"/>
        <v>0</v>
      </c>
      <c r="N795" s="2232" t="s">
        <v>9749</v>
      </c>
      <c r="O795" s="2232" t="s">
        <v>9279</v>
      </c>
      <c r="P795" s="2232" t="s">
        <v>7112</v>
      </c>
      <c r="Q795" s="2232" t="s">
        <v>7112</v>
      </c>
      <c r="R795" s="2232" t="s">
        <v>7112</v>
      </c>
      <c r="S795" s="2241" t="s">
        <v>7112</v>
      </c>
    </row>
    <row r="796" spans="1:19" ht="12" customHeight="1" x14ac:dyDescent="0.2">
      <c r="A796" s="5838"/>
      <c r="B796" s="5838"/>
      <c r="C796" s="1091" t="s">
        <v>3087</v>
      </c>
      <c r="D796" s="886"/>
      <c r="E796" s="2204"/>
      <c r="F796" s="503"/>
      <c r="G796" s="2117" t="str">
        <f t="shared" si="36"/>
        <v/>
      </c>
      <c r="H796" s="2116"/>
      <c r="I796" s="2116" t="s">
        <v>7112</v>
      </c>
      <c r="J796" s="2116" t="s">
        <v>7112</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7112</v>
      </c>
      <c r="O796" s="2232" t="s">
        <v>7112</v>
      </c>
      <c r="P796" s="2232" t="s">
        <v>7112</v>
      </c>
      <c r="Q796" s="2232" t="s">
        <v>7112</v>
      </c>
      <c r="R796" s="2232" t="s">
        <v>7112</v>
      </c>
      <c r="S796" s="2241" t="s">
        <v>7112</v>
      </c>
    </row>
    <row r="797" spans="1:19" ht="12" customHeight="1" x14ac:dyDescent="0.2">
      <c r="A797" s="5838"/>
      <c r="B797" s="5838"/>
      <c r="C797" s="1091" t="s">
        <v>3088</v>
      </c>
      <c r="D797" s="886" t="str">
        <f>PROPER(MID(C796,3,100))</f>
        <v>La Vía De Meizo</v>
      </c>
      <c r="E797" s="503">
        <v>1</v>
      </c>
      <c r="F797" s="503">
        <v>30</v>
      </c>
      <c r="G797" s="2117">
        <f t="shared" si="36"/>
        <v>30</v>
      </c>
      <c r="H797" s="2116" t="s">
        <v>3089</v>
      </c>
      <c r="I797" s="2116" t="s">
        <v>9682</v>
      </c>
      <c r="J797" s="2116" t="s">
        <v>9683</v>
      </c>
      <c r="K797" s="2116"/>
      <c r="L797" s="2116"/>
      <c r="M797" s="2248">
        <f t="shared" si="37"/>
        <v>0</v>
      </c>
      <c r="N797" s="2232" t="s">
        <v>9762</v>
      </c>
      <c r="O797" s="2232" t="s">
        <v>9761</v>
      </c>
      <c r="P797" s="2232" t="s">
        <v>7112</v>
      </c>
      <c r="Q797" s="2232" t="s">
        <v>7112</v>
      </c>
      <c r="R797" s="2232" t="s">
        <v>7112</v>
      </c>
      <c r="S797" s="2241" t="s">
        <v>7112</v>
      </c>
    </row>
    <row r="798" spans="1:19" ht="12" customHeight="1" x14ac:dyDescent="0.2">
      <c r="A798" s="5838"/>
      <c r="B798" s="5838"/>
      <c r="C798" s="1091" t="s">
        <v>3090</v>
      </c>
      <c r="D798" s="886" t="str">
        <f>D797</f>
        <v>La Vía De Meizo</v>
      </c>
      <c r="E798" s="503">
        <v>1</v>
      </c>
      <c r="F798" s="503">
        <v>20</v>
      </c>
      <c r="G798" s="2117">
        <f t="shared" si="36"/>
        <v>20</v>
      </c>
      <c r="H798" s="2116" t="s">
        <v>3091</v>
      </c>
      <c r="I798" s="2116" t="s">
        <v>9684</v>
      </c>
      <c r="J798" s="2116" t="s">
        <v>7112</v>
      </c>
      <c r="K798" s="2116"/>
      <c r="L798" s="2116"/>
      <c r="M798" s="2248">
        <f t="shared" si="37"/>
        <v>0</v>
      </c>
      <c r="N798" s="2232" t="s">
        <v>7731</v>
      </c>
      <c r="O798" s="2232" t="s">
        <v>9761</v>
      </c>
      <c r="P798" s="2232" t="s">
        <v>7112</v>
      </c>
      <c r="Q798" s="2232" t="s">
        <v>7112</v>
      </c>
      <c r="R798" s="2232" t="s">
        <v>7112</v>
      </c>
      <c r="S798" s="2241" t="s">
        <v>7112</v>
      </c>
    </row>
    <row r="799" spans="1:19" ht="12" customHeight="1" x14ac:dyDescent="0.2">
      <c r="A799" s="5838"/>
      <c r="B799" s="5838"/>
      <c r="C799" s="1091" t="s">
        <v>3092</v>
      </c>
      <c r="D799" s="886" t="str">
        <f>D798</f>
        <v>La Vía De Meizo</v>
      </c>
      <c r="E799" s="503">
        <v>1</v>
      </c>
      <c r="F799" s="503">
        <v>20</v>
      </c>
      <c r="G799" s="2117">
        <f t="shared" si="36"/>
        <v>20</v>
      </c>
      <c r="H799" s="2116" t="s">
        <v>3093</v>
      </c>
      <c r="I799" s="2116" t="s">
        <v>9685</v>
      </c>
      <c r="J799" s="2116" t="s">
        <v>7112</v>
      </c>
      <c r="K799" s="2116"/>
      <c r="L799" s="2116"/>
      <c r="M799" s="2248">
        <f t="shared" si="37"/>
        <v>0</v>
      </c>
      <c r="N799" s="2232" t="s">
        <v>9747</v>
      </c>
      <c r="O799" s="2232" t="s">
        <v>9765</v>
      </c>
      <c r="P799" s="2232" t="s">
        <v>7112</v>
      </c>
      <c r="Q799" s="2232" t="s">
        <v>7112</v>
      </c>
      <c r="R799" s="2232" t="s">
        <v>7112</v>
      </c>
      <c r="S799" s="2241" t="s">
        <v>7112</v>
      </c>
    </row>
    <row r="800" spans="1:19" ht="12" customHeight="1" x14ac:dyDescent="0.2">
      <c r="A800" s="5838"/>
      <c r="B800" s="5838"/>
      <c r="C800" s="1091" t="s">
        <v>3094</v>
      </c>
      <c r="D800" s="886" t="str">
        <f>D799</f>
        <v>La Vía De Meizo</v>
      </c>
      <c r="E800" s="503">
        <v>2</v>
      </c>
      <c r="F800" s="2204">
        <v>50</v>
      </c>
      <c r="G800" s="2117">
        <f t="shared" si="36"/>
        <v>50</v>
      </c>
      <c r="H800" s="2116" t="s">
        <v>3052</v>
      </c>
      <c r="I800" s="2116" t="s">
        <v>9686</v>
      </c>
      <c r="J800" s="2116" t="s">
        <v>7112</v>
      </c>
      <c r="K800" s="2116"/>
      <c r="L800" s="2116"/>
      <c r="M800" s="2248">
        <f t="shared" si="37"/>
        <v>0</v>
      </c>
      <c r="N800" s="2232" t="s">
        <v>9748</v>
      </c>
      <c r="O800" s="2232" t="s">
        <v>7112</v>
      </c>
      <c r="P800" s="2232" t="s">
        <v>7112</v>
      </c>
      <c r="Q800" s="2232" t="s">
        <v>7112</v>
      </c>
      <c r="R800" s="2232" t="s">
        <v>7112</v>
      </c>
      <c r="S800" s="2241" t="s">
        <v>7112</v>
      </c>
    </row>
    <row r="801" spans="1:19" ht="12" customHeight="1" x14ac:dyDescent="0.2">
      <c r="A801" s="5838"/>
      <c r="B801" s="5838"/>
      <c r="C801" s="1091" t="s">
        <v>3095</v>
      </c>
      <c r="D801" s="886" t="str">
        <f>D800</f>
        <v>La Vía De Meizo</v>
      </c>
      <c r="E801" s="503">
        <v>2</v>
      </c>
      <c r="F801" s="2204">
        <v>70</v>
      </c>
      <c r="G801" s="2117">
        <f t="shared" si="36"/>
        <v>70</v>
      </c>
      <c r="H801" s="2116" t="s">
        <v>3096</v>
      </c>
      <c r="I801" s="2116" t="s">
        <v>9687</v>
      </c>
      <c r="J801" s="2116" t="s">
        <v>9688</v>
      </c>
      <c r="K801" s="2116"/>
      <c r="L801" s="2116"/>
      <c r="M801" s="2248">
        <f t="shared" si="37"/>
        <v>0</v>
      </c>
      <c r="N801" s="2232" t="s">
        <v>9750</v>
      </c>
      <c r="O801" s="2232" t="s">
        <v>9762</v>
      </c>
      <c r="P801" s="2232" t="s">
        <v>9749</v>
      </c>
      <c r="Q801" s="2232" t="s">
        <v>7112</v>
      </c>
      <c r="R801" s="2232" t="s">
        <v>7112</v>
      </c>
      <c r="S801" s="2241" t="s">
        <v>7112</v>
      </c>
    </row>
    <row r="802" spans="1:19" ht="12" customHeight="1" x14ac:dyDescent="0.2">
      <c r="A802" s="5838"/>
      <c r="B802" s="5838"/>
      <c r="C802" s="1091" t="s">
        <v>3097</v>
      </c>
      <c r="D802" s="886" t="str">
        <f>D801</f>
        <v>La Vía De Meizo</v>
      </c>
      <c r="E802" s="503">
        <v>3</v>
      </c>
      <c r="F802" s="503">
        <v>75</v>
      </c>
      <c r="G802" s="2117">
        <f t="shared" si="36"/>
        <v>75</v>
      </c>
      <c r="H802" s="2116" t="s">
        <v>3098</v>
      </c>
      <c r="I802" s="2116" t="s">
        <v>9689</v>
      </c>
      <c r="J802" s="2116" t="s">
        <v>9690</v>
      </c>
      <c r="K802" s="2116"/>
      <c r="L802" s="2116"/>
      <c r="M802" s="2248">
        <f t="shared" si="37"/>
        <v>0</v>
      </c>
      <c r="N802" s="2232" t="s">
        <v>9749</v>
      </c>
      <c r="O802" s="2232" t="s">
        <v>7731</v>
      </c>
      <c r="P802" s="2232" t="s">
        <v>9761</v>
      </c>
      <c r="Q802" s="2232" t="s">
        <v>9755</v>
      </c>
      <c r="R802" s="2232" t="s">
        <v>7112</v>
      </c>
      <c r="S802" s="2241" t="s">
        <v>7112</v>
      </c>
    </row>
    <row r="803" spans="1:19" ht="12" customHeight="1" x14ac:dyDescent="0.2">
      <c r="A803" s="5838"/>
      <c r="B803" s="5838"/>
      <c r="C803" s="1091" t="s">
        <v>3099</v>
      </c>
      <c r="D803" s="886"/>
      <c r="E803" s="2204"/>
      <c r="F803" s="503"/>
      <c r="G803" s="2117" t="str">
        <f t="shared" si="36"/>
        <v/>
      </c>
      <c r="H803" s="2116"/>
      <c r="I803" s="2116" t="s">
        <v>7112</v>
      </c>
      <c r="J803" s="2116" t="s">
        <v>7112</v>
      </c>
      <c r="K803" s="2116"/>
      <c r="L803" s="2116"/>
      <c r="M803" s="2248" t="str">
        <f t="shared" si="37"/>
        <v/>
      </c>
      <c r="N803" s="2232" t="s">
        <v>7112</v>
      </c>
      <c r="O803" s="2232" t="s">
        <v>7112</v>
      </c>
      <c r="P803" s="2232" t="s">
        <v>7112</v>
      </c>
      <c r="Q803" s="2232" t="s">
        <v>7112</v>
      </c>
      <c r="R803" s="2232" t="s">
        <v>7112</v>
      </c>
      <c r="S803" s="2241" t="s">
        <v>7112</v>
      </c>
    </row>
    <row r="804" spans="1:19" ht="12" customHeight="1" x14ac:dyDescent="0.2">
      <c r="A804" s="5838"/>
      <c r="B804" s="5838"/>
      <c r="C804" s="1091" t="s">
        <v>3100</v>
      </c>
      <c r="D804" s="886" t="str">
        <f>PROPER(MID(C803,3,100))</f>
        <v>Maestro De Catástrofes</v>
      </c>
      <c r="E804" s="503">
        <v>1</v>
      </c>
      <c r="F804" s="503">
        <v>25</v>
      </c>
      <c r="G804" s="2117">
        <f t="shared" si="36"/>
        <v>25</v>
      </c>
      <c r="H804" s="2116" t="s">
        <v>3101</v>
      </c>
      <c r="I804" s="2116" t="s">
        <v>9691</v>
      </c>
      <c r="J804" s="2116" t="s">
        <v>3062</v>
      </c>
      <c r="K804" s="2116"/>
      <c r="L804" s="2116"/>
      <c r="M804" s="2248">
        <f t="shared" si="37"/>
        <v>0</v>
      </c>
      <c r="N804" s="2232" t="s">
        <v>9750</v>
      </c>
      <c r="O804" s="2232" t="s">
        <v>9762</v>
      </c>
      <c r="P804" s="2232" t="s">
        <v>7112</v>
      </c>
      <c r="Q804" s="2232" t="s">
        <v>7112</v>
      </c>
      <c r="R804" s="2232" t="s">
        <v>7112</v>
      </c>
      <c r="S804" s="2241" t="s">
        <v>7112</v>
      </c>
    </row>
    <row r="805" spans="1:19" ht="12" customHeight="1" x14ac:dyDescent="0.2">
      <c r="A805" s="5838"/>
      <c r="B805" s="5838"/>
      <c r="C805" s="1091" t="s">
        <v>3102</v>
      </c>
      <c r="D805" s="886" t="str">
        <f>D804</f>
        <v>Maestro De Catástrofes</v>
      </c>
      <c r="E805" s="503">
        <v>1</v>
      </c>
      <c r="F805" s="503">
        <v>45</v>
      </c>
      <c r="G805" s="2117">
        <f t="shared" si="36"/>
        <v>45</v>
      </c>
      <c r="H805" s="2116" t="s">
        <v>3103</v>
      </c>
      <c r="I805" s="2116" t="s">
        <v>9692</v>
      </c>
      <c r="J805" s="2116" t="s">
        <v>9693</v>
      </c>
      <c r="K805" s="2116"/>
      <c r="L805" s="2116"/>
      <c r="M805" s="2248">
        <f t="shared" si="37"/>
        <v>0</v>
      </c>
      <c r="N805" s="2232" t="s">
        <v>9750</v>
      </c>
      <c r="O805" s="2232" t="s">
        <v>9762</v>
      </c>
      <c r="P805" s="2232" t="s">
        <v>7112</v>
      </c>
      <c r="Q805" s="2232" t="s">
        <v>7112</v>
      </c>
      <c r="R805" s="2232" t="s">
        <v>7112</v>
      </c>
      <c r="S805" s="2241" t="s">
        <v>7112</v>
      </c>
    </row>
    <row r="806" spans="1:19" ht="12" customHeight="1" x14ac:dyDescent="0.2">
      <c r="A806" s="5838"/>
      <c r="B806" s="5838"/>
      <c r="C806" s="1091" t="s">
        <v>3104</v>
      </c>
      <c r="D806" s="886" t="str">
        <f>D805</f>
        <v>Maestro De Catástrofes</v>
      </c>
      <c r="E806" s="503">
        <v>2</v>
      </c>
      <c r="F806" s="503">
        <v>65</v>
      </c>
      <c r="G806" s="2117">
        <f t="shared" si="36"/>
        <v>65</v>
      </c>
      <c r="H806" s="2116" t="s">
        <v>3105</v>
      </c>
      <c r="I806" s="2116" t="s">
        <v>9694</v>
      </c>
      <c r="J806" s="2116" t="s">
        <v>9695</v>
      </c>
      <c r="K806" s="2116"/>
      <c r="L806" s="2116"/>
      <c r="M806" s="2248">
        <f t="shared" si="37"/>
        <v>0</v>
      </c>
      <c r="N806" s="2232" t="s">
        <v>9750</v>
      </c>
      <c r="O806" s="2232" t="s">
        <v>9749</v>
      </c>
      <c r="P806" s="2232" t="s">
        <v>7112</v>
      </c>
      <c r="Q806" s="2232" t="s">
        <v>7112</v>
      </c>
      <c r="R806" s="2232" t="s">
        <v>7112</v>
      </c>
      <c r="S806" s="2241" t="s">
        <v>7112</v>
      </c>
    </row>
    <row r="807" spans="1:19" ht="12" customHeight="1" x14ac:dyDescent="0.2">
      <c r="A807" s="5838"/>
      <c r="B807" s="5838"/>
      <c r="C807" s="1091" t="s">
        <v>3106</v>
      </c>
      <c r="D807" s="886" t="str">
        <f>D806</f>
        <v>Maestro De Catástrofes</v>
      </c>
      <c r="E807" s="503">
        <v>2</v>
      </c>
      <c r="F807" s="503">
        <v>75</v>
      </c>
      <c r="G807" s="2117">
        <f t="shared" si="36"/>
        <v>75</v>
      </c>
      <c r="H807" s="2116" t="s">
        <v>3107</v>
      </c>
      <c r="I807" s="2116" t="s">
        <v>9696</v>
      </c>
      <c r="J807" s="2116" t="s">
        <v>9697</v>
      </c>
      <c r="K807" s="2116"/>
      <c r="L807" s="2116"/>
      <c r="M807" s="2248">
        <f t="shared" si="37"/>
        <v>0</v>
      </c>
      <c r="N807" s="2232" t="s">
        <v>9767</v>
      </c>
      <c r="O807" s="2232" t="s">
        <v>7112</v>
      </c>
      <c r="P807" s="2232" t="s">
        <v>7112</v>
      </c>
      <c r="Q807" s="2232" t="s">
        <v>7112</v>
      </c>
      <c r="R807" s="2232" t="s">
        <v>7112</v>
      </c>
      <c r="S807" s="2241" t="s">
        <v>7112</v>
      </c>
    </row>
    <row r="808" spans="1:19" ht="12" customHeight="1" x14ac:dyDescent="0.2">
      <c r="A808" s="5838"/>
      <c r="B808" s="5838"/>
      <c r="C808" s="1091" t="s">
        <v>3108</v>
      </c>
      <c r="D808" s="886" t="str">
        <f>D807</f>
        <v>Maestro De Catástrofes</v>
      </c>
      <c r="E808" s="503">
        <v>3</v>
      </c>
      <c r="F808" s="503">
        <v>110</v>
      </c>
      <c r="G808" s="2117">
        <f t="shared" si="36"/>
        <v>110</v>
      </c>
      <c r="H808" s="2116" t="s">
        <v>3109</v>
      </c>
      <c r="I808" s="2116" t="s">
        <v>9732</v>
      </c>
      <c r="J808" s="2116" t="s">
        <v>9693</v>
      </c>
      <c r="K808" s="2116"/>
      <c r="L808" s="2116"/>
      <c r="M808" s="2248">
        <f t="shared" si="37"/>
        <v>0</v>
      </c>
      <c r="N808" s="2232" t="s">
        <v>9750</v>
      </c>
      <c r="O808" s="2232" t="s">
        <v>9763</v>
      </c>
      <c r="P808" s="2232" t="s">
        <v>9762</v>
      </c>
      <c r="Q808" s="2232" t="s">
        <v>9761</v>
      </c>
      <c r="R808" s="2232" t="s">
        <v>7112</v>
      </c>
      <c r="S808" s="2241" t="s">
        <v>7112</v>
      </c>
    </row>
    <row r="809" spans="1:19" ht="12" customHeight="1" x14ac:dyDescent="0.2">
      <c r="A809" s="5838"/>
      <c r="B809" s="5838"/>
      <c r="C809" s="1091" t="s">
        <v>3110</v>
      </c>
      <c r="D809" s="886" t="str">
        <f t="shared" ref="D809" si="38">D808</f>
        <v>Maestro De Catástrofes</v>
      </c>
      <c r="E809" s="503">
        <v>3</v>
      </c>
      <c r="F809" s="503">
        <v>110</v>
      </c>
      <c r="G809" s="2117">
        <f t="shared" si="36"/>
        <v>110</v>
      </c>
      <c r="H809" s="2116" t="s">
        <v>3111</v>
      </c>
      <c r="I809" s="2116" t="s">
        <v>9698</v>
      </c>
      <c r="J809" s="2116" t="s">
        <v>9699</v>
      </c>
      <c r="K809" s="2116"/>
      <c r="L809" s="2116"/>
      <c r="M809" s="2248">
        <f t="shared" si="37"/>
        <v>0</v>
      </c>
      <c r="N809" s="2232" t="s">
        <v>9750</v>
      </c>
      <c r="O809" s="2232" t="s">
        <v>9762</v>
      </c>
      <c r="P809" s="2232" t="s">
        <v>9762</v>
      </c>
      <c r="Q809" s="2232" t="s">
        <v>9757</v>
      </c>
      <c r="R809" s="2232" t="s">
        <v>7112</v>
      </c>
      <c r="S809" s="2241" t="s">
        <v>7112</v>
      </c>
    </row>
    <row r="810" spans="1:19" ht="12" customHeight="1" x14ac:dyDescent="0.2">
      <c r="A810" s="5838"/>
      <c r="B810" s="5838"/>
      <c r="C810" s="1091" t="s">
        <v>3112</v>
      </c>
      <c r="D810" s="886"/>
      <c r="E810" s="2204"/>
      <c r="F810" s="503"/>
      <c r="G810" s="2117" t="str">
        <f t="shared" si="36"/>
        <v/>
      </c>
      <c r="H810" s="2116"/>
      <c r="I810" s="2116" t="s">
        <v>7112</v>
      </c>
      <c r="J810" s="2116" t="s">
        <v>7112</v>
      </c>
      <c r="K810" s="2116"/>
      <c r="L810" s="2116"/>
      <c r="M810" s="2248" t="str">
        <f t="shared" si="37"/>
        <v/>
      </c>
      <c r="N810" s="2232" t="s">
        <v>7112</v>
      </c>
      <c r="O810" s="2232" t="s">
        <v>7112</v>
      </c>
      <c r="P810" s="2232" t="s">
        <v>7112</v>
      </c>
      <c r="Q810" s="2232" t="s">
        <v>7112</v>
      </c>
      <c r="R810" s="2232" t="s">
        <v>7112</v>
      </c>
      <c r="S810" s="2241" t="s">
        <v>7112</v>
      </c>
    </row>
    <row r="811" spans="1:19" ht="12" customHeight="1" x14ac:dyDescent="0.2">
      <c r="A811" s="5838"/>
      <c r="B811" s="5838"/>
      <c r="C811" s="1091" t="s">
        <v>3113</v>
      </c>
      <c r="D811" s="886" t="str">
        <f>PROPER(MID(C810,3,100))</f>
        <v>Thanathos</v>
      </c>
      <c r="E811" s="503">
        <v>1</v>
      </c>
      <c r="F811" s="503">
        <v>20</v>
      </c>
      <c r="G811" s="2117">
        <f t="shared" si="36"/>
        <v>20</v>
      </c>
      <c r="H811" s="2116" t="s">
        <v>3114</v>
      </c>
      <c r="I811" s="2116" t="s">
        <v>9700</v>
      </c>
      <c r="J811" s="2116" t="s">
        <v>9701</v>
      </c>
      <c r="K811" s="2116"/>
      <c r="L811" s="2116"/>
      <c r="M811" s="2248">
        <f t="shared" si="37"/>
        <v>0</v>
      </c>
      <c r="N811" s="2232" t="s">
        <v>9747</v>
      </c>
      <c r="O811" s="2232" t="s">
        <v>9749</v>
      </c>
      <c r="P811" s="2232" t="s">
        <v>7112</v>
      </c>
      <c r="Q811" s="2232" t="s">
        <v>7112</v>
      </c>
      <c r="R811" s="2232" t="s">
        <v>7112</v>
      </c>
      <c r="S811" s="2241" t="s">
        <v>7112</v>
      </c>
    </row>
    <row r="812" spans="1:19" ht="12" customHeight="1" x14ac:dyDescent="0.2">
      <c r="A812" s="5838"/>
      <c r="B812" s="5838"/>
      <c r="C812" s="1091" t="s">
        <v>3115</v>
      </c>
      <c r="D812" s="886" t="str">
        <f t="shared" ref="D812:D816" si="39">D811</f>
        <v>Thanathos</v>
      </c>
      <c r="E812" s="503">
        <v>1</v>
      </c>
      <c r="F812" s="503">
        <v>25</v>
      </c>
      <c r="G812" s="2117">
        <f t="shared" si="36"/>
        <v>25</v>
      </c>
      <c r="H812" s="2116" t="s">
        <v>3116</v>
      </c>
      <c r="I812" s="2116" t="s">
        <v>9702</v>
      </c>
      <c r="J812" s="2116" t="s">
        <v>9701</v>
      </c>
      <c r="K812" s="2116"/>
      <c r="L812" s="2116"/>
      <c r="M812" s="2248">
        <f t="shared" si="37"/>
        <v>0</v>
      </c>
      <c r="N812" s="2232" t="s">
        <v>9749</v>
      </c>
      <c r="O812" s="2232" t="s">
        <v>9762</v>
      </c>
      <c r="P812" s="2232" t="s">
        <v>7112</v>
      </c>
      <c r="Q812" s="2232" t="s">
        <v>7112</v>
      </c>
      <c r="R812" s="2232" t="s">
        <v>7112</v>
      </c>
      <c r="S812" s="2241" t="s">
        <v>7112</v>
      </c>
    </row>
    <row r="813" spans="1:19" ht="12" customHeight="1" x14ac:dyDescent="0.2">
      <c r="A813" s="5838"/>
      <c r="B813" s="5838"/>
      <c r="C813" s="1091" t="s">
        <v>3117</v>
      </c>
      <c r="D813" s="886" t="str">
        <f t="shared" si="39"/>
        <v>Thanathos</v>
      </c>
      <c r="E813" s="503">
        <v>2</v>
      </c>
      <c r="F813" s="503">
        <v>65</v>
      </c>
      <c r="G813" s="2117">
        <f t="shared" si="36"/>
        <v>65</v>
      </c>
      <c r="H813" s="2116" t="s">
        <v>3118</v>
      </c>
      <c r="I813" s="2116" t="s">
        <v>9703</v>
      </c>
      <c r="J813" s="2116" t="s">
        <v>9701</v>
      </c>
      <c r="K813" s="2116"/>
      <c r="L813" s="2116"/>
      <c r="M813" s="2248">
        <f t="shared" si="37"/>
        <v>0</v>
      </c>
      <c r="N813" s="2232" t="s">
        <v>9747</v>
      </c>
      <c r="O813" s="2232" t="s">
        <v>9750</v>
      </c>
      <c r="P813" s="2232" t="s">
        <v>7112</v>
      </c>
      <c r="Q813" s="2232" t="s">
        <v>7112</v>
      </c>
      <c r="R813" s="2232" t="s">
        <v>7112</v>
      </c>
      <c r="S813" s="2241" t="s">
        <v>7112</v>
      </c>
    </row>
    <row r="814" spans="1:19" ht="12" customHeight="1" x14ac:dyDescent="0.2">
      <c r="A814" s="5838"/>
      <c r="B814" s="5838"/>
      <c r="C814" s="1091" t="s">
        <v>3119</v>
      </c>
      <c r="D814" s="886" t="str">
        <f t="shared" si="39"/>
        <v>Thanathos</v>
      </c>
      <c r="E814" s="503">
        <v>2</v>
      </c>
      <c r="F814" s="503">
        <v>50</v>
      </c>
      <c r="G814" s="2117">
        <f t="shared" si="36"/>
        <v>50</v>
      </c>
      <c r="H814" s="2116" t="s">
        <v>3120</v>
      </c>
      <c r="I814" s="2116" t="s">
        <v>9704</v>
      </c>
      <c r="J814" s="2116" t="s">
        <v>9701</v>
      </c>
      <c r="K814" s="2116"/>
      <c r="L814" s="2116"/>
      <c r="M814" s="2248">
        <f t="shared" si="37"/>
        <v>0</v>
      </c>
      <c r="N814" s="2232" t="s">
        <v>9751</v>
      </c>
      <c r="O814" s="2232" t="s">
        <v>9753</v>
      </c>
      <c r="P814" s="2232" t="s">
        <v>7112</v>
      </c>
      <c r="Q814" s="2232" t="s">
        <v>7112</v>
      </c>
      <c r="R814" s="2232" t="s">
        <v>7112</v>
      </c>
      <c r="S814" s="2241" t="s">
        <v>7112</v>
      </c>
    </row>
    <row r="815" spans="1:19" ht="12" customHeight="1" x14ac:dyDescent="0.2">
      <c r="A815" s="5838"/>
      <c r="B815" s="5838"/>
      <c r="C815" s="1091" t="s">
        <v>3121</v>
      </c>
      <c r="D815" s="886" t="str">
        <f t="shared" si="39"/>
        <v>Thanathos</v>
      </c>
      <c r="E815" s="503">
        <v>2</v>
      </c>
      <c r="F815" s="503">
        <v>60</v>
      </c>
      <c r="G815" s="2117">
        <f t="shared" si="36"/>
        <v>60</v>
      </c>
      <c r="H815" s="2116" t="s">
        <v>3120</v>
      </c>
      <c r="I815" s="2116" t="s">
        <v>9705</v>
      </c>
      <c r="J815" s="2116" t="s">
        <v>9701</v>
      </c>
      <c r="K815" s="2116"/>
      <c r="L815" s="2116"/>
      <c r="M815" s="2248">
        <f t="shared" si="37"/>
        <v>0</v>
      </c>
      <c r="N815" s="2232" t="s">
        <v>9754</v>
      </c>
      <c r="O815" s="2232" t="s">
        <v>9753</v>
      </c>
      <c r="P815" s="2232" t="s">
        <v>7112</v>
      </c>
      <c r="Q815" s="2232" t="s">
        <v>7112</v>
      </c>
      <c r="R815" s="2232" t="s">
        <v>7112</v>
      </c>
      <c r="S815" s="2241" t="s">
        <v>7112</v>
      </c>
    </row>
    <row r="816" spans="1:19" ht="12" customHeight="1" x14ac:dyDescent="0.2">
      <c r="A816" s="5838"/>
      <c r="B816" s="5838"/>
      <c r="C816" s="1091" t="s">
        <v>3122</v>
      </c>
      <c r="D816" s="886" t="str">
        <f t="shared" si="39"/>
        <v>Thanathos</v>
      </c>
      <c r="E816" s="503">
        <v>3</v>
      </c>
      <c r="F816" s="503">
        <v>90</v>
      </c>
      <c r="G816" s="2117">
        <f t="shared" si="36"/>
        <v>90</v>
      </c>
      <c r="H816" s="2116" t="s">
        <v>3123</v>
      </c>
      <c r="I816" s="2116" t="s">
        <v>9706</v>
      </c>
      <c r="J816" s="2116" t="s">
        <v>9707</v>
      </c>
      <c r="K816" s="2116"/>
      <c r="L816" s="2116"/>
      <c r="M816" s="2248">
        <f t="shared" si="37"/>
        <v>0</v>
      </c>
      <c r="N816" s="2232" t="s">
        <v>9749</v>
      </c>
      <c r="O816" s="2232" t="s">
        <v>9747</v>
      </c>
      <c r="P816" s="2232" t="s">
        <v>7112</v>
      </c>
      <c r="Q816" s="2232" t="s">
        <v>7112</v>
      </c>
      <c r="R816" s="2232" t="s">
        <v>7112</v>
      </c>
      <c r="S816" s="2241" t="s">
        <v>7112</v>
      </c>
    </row>
    <row r="817" spans="1:19" ht="12" customHeight="1" x14ac:dyDescent="0.2">
      <c r="A817" s="5838"/>
      <c r="B817" s="5838"/>
      <c r="C817" s="1091" t="s">
        <v>3124</v>
      </c>
      <c r="D817" s="886"/>
      <c r="E817" s="2204"/>
      <c r="F817" s="503"/>
      <c r="G817" s="2117" t="str">
        <f t="shared" si="36"/>
        <v/>
      </c>
      <c r="H817" s="2116"/>
      <c r="I817" s="2116" t="s">
        <v>7112</v>
      </c>
      <c r="J817" s="2116" t="s">
        <v>7112</v>
      </c>
      <c r="K817" s="2116"/>
      <c r="L817" s="2116"/>
      <c r="M817" s="2248" t="str">
        <f t="shared" si="37"/>
        <v/>
      </c>
      <c r="N817" s="2232" t="s">
        <v>7112</v>
      </c>
      <c r="O817" s="2232" t="s">
        <v>7112</v>
      </c>
      <c r="P817" s="2232" t="s">
        <v>7112</v>
      </c>
      <c r="Q817" s="2232" t="s">
        <v>7112</v>
      </c>
      <c r="R817" s="2232" t="s">
        <v>7112</v>
      </c>
      <c r="S817" s="2241" t="s">
        <v>7112</v>
      </c>
    </row>
    <row r="818" spans="1:19" ht="12" customHeight="1" x14ac:dyDescent="0.2">
      <c r="A818" s="5838"/>
      <c r="B818" s="5838"/>
      <c r="C818" s="1091" t="s">
        <v>3125</v>
      </c>
      <c r="D818" s="886" t="str">
        <f>PROPER(MID(C817,3,100))</f>
        <v>Legado De Sólomon</v>
      </c>
      <c r="E818" s="503">
        <v>1</v>
      </c>
      <c r="F818" s="503">
        <v>50</v>
      </c>
      <c r="G818" s="2117">
        <f t="shared" si="36"/>
        <v>50</v>
      </c>
      <c r="H818" s="2116" t="s">
        <v>3126</v>
      </c>
      <c r="I818" s="2116" t="s">
        <v>9708</v>
      </c>
      <c r="J818" s="2116" t="s">
        <v>9709</v>
      </c>
      <c r="K818" s="2116"/>
      <c r="L818" s="2116"/>
      <c r="M818" s="2248">
        <f t="shared" si="37"/>
        <v>0</v>
      </c>
      <c r="N818" s="2232" t="s">
        <v>9751</v>
      </c>
      <c r="O818" s="2232" t="s">
        <v>9279</v>
      </c>
      <c r="P818" s="2232" t="s">
        <v>7112</v>
      </c>
      <c r="Q818" s="2232" t="s">
        <v>7112</v>
      </c>
      <c r="R818" s="2232" t="s">
        <v>7112</v>
      </c>
      <c r="S818" s="2241" t="s">
        <v>7112</v>
      </c>
    </row>
    <row r="819" spans="1:19" ht="12" customHeight="1" x14ac:dyDescent="0.2">
      <c r="A819" s="5838"/>
      <c r="B819" s="5838"/>
      <c r="C819" s="1091" t="s">
        <v>3127</v>
      </c>
      <c r="D819" s="886" t="str">
        <f>D818</f>
        <v>Legado De Sólomon</v>
      </c>
      <c r="E819" s="503">
        <v>1</v>
      </c>
      <c r="F819" s="503">
        <v>25</v>
      </c>
      <c r="G819" s="2117">
        <f t="shared" si="36"/>
        <v>25</v>
      </c>
      <c r="H819" s="2116" t="s">
        <v>3093</v>
      </c>
      <c r="I819" s="2116" t="s">
        <v>9710</v>
      </c>
      <c r="J819" s="2116" t="s">
        <v>9709</v>
      </c>
      <c r="K819" s="2116"/>
      <c r="L819" s="2116"/>
      <c r="M819" s="2248">
        <f t="shared" si="37"/>
        <v>0</v>
      </c>
      <c r="N819" s="2232" t="s">
        <v>9760</v>
      </c>
      <c r="O819" s="2232" t="s">
        <v>7112</v>
      </c>
      <c r="P819" s="2232" t="s">
        <v>7112</v>
      </c>
      <c r="Q819" s="2232" t="s">
        <v>7112</v>
      </c>
      <c r="R819" s="2232" t="s">
        <v>7112</v>
      </c>
      <c r="S819" s="2241" t="s">
        <v>7112</v>
      </c>
    </row>
    <row r="820" spans="1:19" ht="12" customHeight="1" x14ac:dyDescent="0.2">
      <c r="A820" s="5838"/>
      <c r="B820" s="5838"/>
      <c r="C820" s="1091" t="s">
        <v>3128</v>
      </c>
      <c r="D820" s="886" t="str">
        <f>D819</f>
        <v>Legado De Sólomon</v>
      </c>
      <c r="E820" s="503">
        <v>1</v>
      </c>
      <c r="F820" s="503">
        <v>35</v>
      </c>
      <c r="G820" s="2117">
        <f t="shared" si="36"/>
        <v>35</v>
      </c>
      <c r="H820" s="2116" t="s">
        <v>3096</v>
      </c>
      <c r="I820" s="2116" t="s">
        <v>9711</v>
      </c>
      <c r="J820" s="2116" t="s">
        <v>9709</v>
      </c>
      <c r="K820" s="2116"/>
      <c r="L820" s="2116"/>
      <c r="M820" s="2248">
        <f t="shared" si="37"/>
        <v>0</v>
      </c>
      <c r="N820" s="2232" t="s">
        <v>9761</v>
      </c>
      <c r="O820" s="2232" t="s">
        <v>9757</v>
      </c>
      <c r="P820" s="2232" t="s">
        <v>9761</v>
      </c>
      <c r="Q820" s="2232" t="s">
        <v>7112</v>
      </c>
      <c r="R820" s="2232" t="s">
        <v>7112</v>
      </c>
      <c r="S820" s="2241" t="s">
        <v>7112</v>
      </c>
    </row>
    <row r="821" spans="1:19" ht="12" customHeight="1" x14ac:dyDescent="0.2">
      <c r="A821" s="5838"/>
      <c r="B821" s="5838"/>
      <c r="C821" s="1091" t="s">
        <v>3129</v>
      </c>
      <c r="D821" s="886" t="str">
        <f>D820</f>
        <v>Legado De Sólomon</v>
      </c>
      <c r="E821" s="503">
        <v>2</v>
      </c>
      <c r="F821" s="503">
        <v>65</v>
      </c>
      <c r="G821" s="2117">
        <f t="shared" si="36"/>
        <v>65</v>
      </c>
      <c r="H821" s="2116" t="s">
        <v>3130</v>
      </c>
      <c r="I821" s="2116" t="s">
        <v>9712</v>
      </c>
      <c r="J821" s="2116" t="s">
        <v>9709</v>
      </c>
      <c r="K821" s="2116"/>
      <c r="L821" s="2116"/>
      <c r="M821" s="2248">
        <f t="shared" si="37"/>
        <v>0</v>
      </c>
      <c r="N821" s="2232" t="s">
        <v>9751</v>
      </c>
      <c r="O821" s="2232" t="s">
        <v>9279</v>
      </c>
      <c r="P821" s="2232" t="s">
        <v>7112</v>
      </c>
      <c r="Q821" s="2232" t="s">
        <v>7112</v>
      </c>
      <c r="R821" s="2232" t="s">
        <v>7112</v>
      </c>
      <c r="S821" s="2241" t="s">
        <v>7112</v>
      </c>
    </row>
    <row r="822" spans="1:19" ht="12" customHeight="1" x14ac:dyDescent="0.2">
      <c r="A822" s="5838"/>
      <c r="B822" s="5838"/>
      <c r="C822" s="1091" t="s">
        <v>3131</v>
      </c>
      <c r="D822" s="886" t="str">
        <f>D821</f>
        <v>Legado De Sólomon</v>
      </c>
      <c r="E822" s="503">
        <v>2</v>
      </c>
      <c r="F822" s="503">
        <v>60</v>
      </c>
      <c r="G822" s="2117">
        <f t="shared" si="36"/>
        <v>60</v>
      </c>
      <c r="H822" s="2116" t="s">
        <v>3132</v>
      </c>
      <c r="I822" s="2116" t="s">
        <v>9713</v>
      </c>
      <c r="J822" s="2116" t="s">
        <v>9709</v>
      </c>
      <c r="K822" s="2116"/>
      <c r="L822" s="2116"/>
      <c r="M822" s="2248">
        <f t="shared" si="37"/>
        <v>0</v>
      </c>
      <c r="N822" s="2232" t="s">
        <v>9754</v>
      </c>
      <c r="O822" s="2232" t="s">
        <v>7112</v>
      </c>
      <c r="P822" s="2232" t="s">
        <v>7112</v>
      </c>
      <c r="Q822" s="2232" t="s">
        <v>7112</v>
      </c>
      <c r="R822" s="2232" t="s">
        <v>7112</v>
      </c>
      <c r="S822" s="2241" t="s">
        <v>7112</v>
      </c>
    </row>
    <row r="823" spans="1:19" ht="12" customHeight="1" x14ac:dyDescent="0.2">
      <c r="A823" s="5838"/>
      <c r="B823" s="5838"/>
      <c r="C823" s="1091" t="s">
        <v>3133</v>
      </c>
      <c r="D823" s="886" t="str">
        <f t="shared" ref="D823:D826" si="40">D822</f>
        <v>Legado De Sólomon</v>
      </c>
      <c r="E823" s="503">
        <v>2</v>
      </c>
      <c r="F823" s="503">
        <v>100</v>
      </c>
      <c r="G823" s="2117">
        <f t="shared" si="36"/>
        <v>100</v>
      </c>
      <c r="H823" s="2116" t="s">
        <v>3134</v>
      </c>
      <c r="I823" s="2116" t="s">
        <v>9714</v>
      </c>
      <c r="J823" s="2116" t="s">
        <v>9709</v>
      </c>
      <c r="K823" s="2116"/>
      <c r="L823" s="2116"/>
      <c r="M823" s="2248">
        <f t="shared" si="37"/>
        <v>0</v>
      </c>
      <c r="N823" s="2232" t="s">
        <v>9761</v>
      </c>
      <c r="O823" s="2232" t="s">
        <v>9757</v>
      </c>
      <c r="P823" s="2232" t="s">
        <v>9747</v>
      </c>
      <c r="Q823" s="2232" t="s">
        <v>7112</v>
      </c>
      <c r="R823" s="2232" t="s">
        <v>7112</v>
      </c>
      <c r="S823" s="2241" t="s">
        <v>7112</v>
      </c>
    </row>
    <row r="824" spans="1:19" ht="12" customHeight="1" x14ac:dyDescent="0.2">
      <c r="A824" s="5838"/>
      <c r="B824" s="5838"/>
      <c r="C824" s="1091" t="s">
        <v>3135</v>
      </c>
      <c r="D824" s="886" t="str">
        <f t="shared" si="40"/>
        <v>Legado De Sólomon</v>
      </c>
      <c r="E824" s="503">
        <v>2</v>
      </c>
      <c r="F824" s="503">
        <v>65</v>
      </c>
      <c r="G824" s="2117">
        <f t="shared" si="36"/>
        <v>65</v>
      </c>
      <c r="H824" s="2116" t="s">
        <v>3093</v>
      </c>
      <c r="I824" s="2116" t="s">
        <v>9715</v>
      </c>
      <c r="J824" s="2116" t="s">
        <v>9716</v>
      </c>
      <c r="K824" s="2116"/>
      <c r="L824" s="2116"/>
      <c r="M824" s="2248">
        <f t="shared" si="37"/>
        <v>0</v>
      </c>
      <c r="N824" s="2232" t="s">
        <v>9750</v>
      </c>
      <c r="O824" s="2232" t="s">
        <v>7112</v>
      </c>
      <c r="P824" s="2232" t="s">
        <v>7112</v>
      </c>
      <c r="Q824" s="2232" t="s">
        <v>7112</v>
      </c>
      <c r="R824" s="2232" t="s">
        <v>7112</v>
      </c>
      <c r="S824" s="2241" t="s">
        <v>7112</v>
      </c>
    </row>
    <row r="825" spans="1:19" ht="12" customHeight="1" x14ac:dyDescent="0.2">
      <c r="A825" s="5838"/>
      <c r="B825" s="5838"/>
      <c r="C825" s="1091" t="s">
        <v>3136</v>
      </c>
      <c r="D825" s="886" t="str">
        <f t="shared" si="40"/>
        <v>Legado De Sólomon</v>
      </c>
      <c r="E825" s="503">
        <v>3</v>
      </c>
      <c r="F825" s="503">
        <v>95</v>
      </c>
      <c r="G825" s="2117">
        <f t="shared" si="36"/>
        <v>95</v>
      </c>
      <c r="H825" s="2116" t="s">
        <v>3137</v>
      </c>
      <c r="I825" s="2116" t="s">
        <v>9717</v>
      </c>
      <c r="J825" s="2116" t="s">
        <v>9709</v>
      </c>
      <c r="K825" s="2116"/>
      <c r="L825" s="2116"/>
      <c r="M825" s="2248">
        <f t="shared" si="37"/>
        <v>0</v>
      </c>
      <c r="N825" s="2232" t="s">
        <v>9751</v>
      </c>
      <c r="O825" s="2232" t="s">
        <v>9279</v>
      </c>
      <c r="P825" s="2232" t="s">
        <v>7112</v>
      </c>
      <c r="Q825" s="2232" t="s">
        <v>7112</v>
      </c>
      <c r="R825" s="2232" t="s">
        <v>7112</v>
      </c>
      <c r="S825" s="2241" t="s">
        <v>7112</v>
      </c>
    </row>
    <row r="826" spans="1:19" ht="12" customHeight="1" x14ac:dyDescent="0.2">
      <c r="A826" s="5838"/>
      <c r="B826" s="5838"/>
      <c r="C826" s="1091" t="s">
        <v>3138</v>
      </c>
      <c r="D826" s="886" t="str">
        <f t="shared" si="40"/>
        <v>Legado De Sólomon</v>
      </c>
      <c r="E826" s="503">
        <v>3</v>
      </c>
      <c r="F826" s="503">
        <v>80</v>
      </c>
      <c r="G826" s="2117">
        <f t="shared" si="36"/>
        <v>80</v>
      </c>
      <c r="H826" s="2116" t="s">
        <v>3139</v>
      </c>
      <c r="I826" s="2116" t="s">
        <v>9718</v>
      </c>
      <c r="J826" s="2116" t="s">
        <v>9719</v>
      </c>
      <c r="K826" s="2116"/>
      <c r="L826" s="2116"/>
      <c r="M826" s="2248">
        <f t="shared" si="37"/>
        <v>0</v>
      </c>
      <c r="N826" s="2232" t="s">
        <v>9757</v>
      </c>
      <c r="O826" s="2232" t="s">
        <v>9762</v>
      </c>
      <c r="P826" s="2232" t="s">
        <v>7112</v>
      </c>
      <c r="Q826" s="2232" t="s">
        <v>7112</v>
      </c>
      <c r="R826" s="2232" t="s">
        <v>7112</v>
      </c>
      <c r="S826" s="2241" t="s">
        <v>7112</v>
      </c>
    </row>
    <row r="827" spans="1:19" ht="12" customHeight="1" x14ac:dyDescent="0.2">
      <c r="A827" s="5838"/>
      <c r="B827" s="5838"/>
      <c r="C827" s="1091" t="s">
        <v>3140</v>
      </c>
      <c r="D827" s="886"/>
      <c r="E827" s="2204"/>
      <c r="F827" s="503"/>
      <c r="G827" s="2117" t="str">
        <f t="shared" si="36"/>
        <v/>
      </c>
      <c r="H827" s="2116"/>
      <c r="I827" s="2116" t="s">
        <v>7112</v>
      </c>
      <c r="J827" s="2116" t="s">
        <v>7112</v>
      </c>
      <c r="K827" s="2116"/>
      <c r="L827" s="2116"/>
      <c r="M827" s="2248" t="str">
        <f t="shared" si="37"/>
        <v/>
      </c>
      <c r="N827" s="2232" t="s">
        <v>7112</v>
      </c>
      <c r="O827" s="2232" t="s">
        <v>7112</v>
      </c>
      <c r="P827" s="2232" t="s">
        <v>7112</v>
      </c>
      <c r="Q827" s="2232" t="s">
        <v>7112</v>
      </c>
      <c r="R827" s="2232" t="s">
        <v>7112</v>
      </c>
      <c r="S827" s="2241" t="s">
        <v>7112</v>
      </c>
    </row>
    <row r="828" spans="1:19" ht="12" customHeight="1" x14ac:dyDescent="0.2">
      <c r="A828" s="5838"/>
      <c r="B828" s="5838"/>
      <c r="C828" s="1091" t="s">
        <v>3141</v>
      </c>
      <c r="D828" s="886" t="str">
        <f>PROPER(MID(C827,3,100))</f>
        <v>Frostkolier</v>
      </c>
      <c r="E828" s="503">
        <v>1</v>
      </c>
      <c r="F828" s="503">
        <v>35</v>
      </c>
      <c r="G828" s="2117">
        <f t="shared" si="36"/>
        <v>35</v>
      </c>
      <c r="H828" s="2116" t="s">
        <v>3142</v>
      </c>
      <c r="I828" s="2116" t="s">
        <v>9720</v>
      </c>
      <c r="J828" s="2116" t="s">
        <v>9721</v>
      </c>
      <c r="K828" s="2116"/>
      <c r="L828" s="2116"/>
      <c r="M828" s="2248">
        <f t="shared" si="37"/>
        <v>0</v>
      </c>
      <c r="N828" s="2232" t="s">
        <v>9747</v>
      </c>
      <c r="O828" s="2232" t="s">
        <v>9279</v>
      </c>
      <c r="P828" s="2232" t="s">
        <v>7112</v>
      </c>
      <c r="Q828" s="2232" t="s">
        <v>7112</v>
      </c>
      <c r="R828" s="2232" t="s">
        <v>7112</v>
      </c>
      <c r="S828" s="2241" t="s">
        <v>7112</v>
      </c>
    </row>
    <row r="829" spans="1:19" ht="12" customHeight="1" x14ac:dyDescent="0.2">
      <c r="A829" s="5838"/>
      <c r="B829" s="5838"/>
      <c r="C829" s="1091" t="s">
        <v>3143</v>
      </c>
      <c r="D829" s="886" t="str">
        <f>D828</f>
        <v>Frostkolier</v>
      </c>
      <c r="E829" s="503">
        <v>1</v>
      </c>
      <c r="F829" s="503">
        <v>25</v>
      </c>
      <c r="G829" s="2117">
        <f t="shared" si="36"/>
        <v>25</v>
      </c>
      <c r="H829" s="2116" t="s">
        <v>3144</v>
      </c>
      <c r="I829" s="2116" t="s">
        <v>9722</v>
      </c>
      <c r="J829" s="2116" t="s">
        <v>9721</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9761</v>
      </c>
      <c r="O829" s="2232" t="s">
        <v>9761</v>
      </c>
      <c r="P829" s="2232" t="s">
        <v>7112</v>
      </c>
      <c r="Q829" s="2232" t="s">
        <v>7112</v>
      </c>
      <c r="R829" s="2232" t="s">
        <v>7112</v>
      </c>
      <c r="S829" s="2241" t="s">
        <v>7112</v>
      </c>
    </row>
    <row r="830" spans="1:19" ht="12" customHeight="1" x14ac:dyDescent="0.2">
      <c r="A830" s="5838"/>
      <c r="B830" s="5838"/>
      <c r="C830" s="1091" t="s">
        <v>3145</v>
      </c>
      <c r="D830" s="886" t="str">
        <f>D829</f>
        <v>Frostkolier</v>
      </c>
      <c r="E830" s="503">
        <v>2</v>
      </c>
      <c r="F830" s="503">
        <v>45</v>
      </c>
      <c r="G830" s="2117">
        <f t="shared" si="36"/>
        <v>45</v>
      </c>
      <c r="H830" s="2116" t="s">
        <v>3146</v>
      </c>
      <c r="I830" s="2116" t="s">
        <v>9645</v>
      </c>
      <c r="J830" s="2116" t="s">
        <v>9721</v>
      </c>
      <c r="K830" s="2116"/>
      <c r="L830" s="2116"/>
      <c r="M830" s="2248">
        <f t="shared" si="37"/>
        <v>0</v>
      </c>
      <c r="N830" s="2232" t="s">
        <v>9751</v>
      </c>
      <c r="O830" s="2232" t="s">
        <v>9761</v>
      </c>
      <c r="P830" s="2232" t="s">
        <v>7112</v>
      </c>
      <c r="Q830" s="2232" t="s">
        <v>7112</v>
      </c>
      <c r="R830" s="2232" t="s">
        <v>7112</v>
      </c>
      <c r="S830" s="2241" t="s">
        <v>7112</v>
      </c>
    </row>
    <row r="831" spans="1:19" ht="12" customHeight="1" x14ac:dyDescent="0.2">
      <c r="A831" s="5838"/>
      <c r="B831" s="5838"/>
      <c r="C831" s="1091" t="s">
        <v>3147</v>
      </c>
      <c r="D831" s="886" t="str">
        <f>D830</f>
        <v>Frostkolier</v>
      </c>
      <c r="E831" s="503">
        <v>2</v>
      </c>
      <c r="F831" s="503">
        <v>45</v>
      </c>
      <c r="G831" s="2117">
        <f t="shared" si="36"/>
        <v>45</v>
      </c>
      <c r="H831" s="2116" t="s">
        <v>3148</v>
      </c>
      <c r="I831" s="2116" t="s">
        <v>9733</v>
      </c>
      <c r="J831" s="2116" t="s">
        <v>9721</v>
      </c>
      <c r="K831" s="2116"/>
      <c r="L831" s="2116"/>
      <c r="M831" s="2248">
        <f t="shared" si="37"/>
        <v>0</v>
      </c>
      <c r="N831" s="2232" t="s">
        <v>9751</v>
      </c>
      <c r="O831" s="2232" t="s">
        <v>9753</v>
      </c>
      <c r="P831" s="2232" t="s">
        <v>7112</v>
      </c>
      <c r="Q831" s="2232" t="s">
        <v>9761</v>
      </c>
      <c r="R831" s="2232" t="s">
        <v>9761</v>
      </c>
      <c r="S831" s="2241" t="s">
        <v>7112</v>
      </c>
    </row>
    <row r="832" spans="1:19" ht="12" customHeight="1" x14ac:dyDescent="0.2">
      <c r="A832" s="5838"/>
      <c r="B832" s="5838"/>
      <c r="C832" s="1091" t="s">
        <v>3149</v>
      </c>
      <c r="D832" s="886" t="str">
        <f>D831</f>
        <v>Frostkolier</v>
      </c>
      <c r="E832" s="503">
        <v>3</v>
      </c>
      <c r="F832" s="503">
        <v>75</v>
      </c>
      <c r="G832" s="2117">
        <f t="shared" si="36"/>
        <v>75</v>
      </c>
      <c r="H832" s="2116" t="s">
        <v>3150</v>
      </c>
      <c r="I832" s="2116" t="s">
        <v>10179</v>
      </c>
      <c r="J832" s="2116" t="s">
        <v>9721</v>
      </c>
      <c r="K832" s="2116"/>
      <c r="L832" s="2116"/>
      <c r="M832" s="2248">
        <f t="shared" si="37"/>
        <v>0</v>
      </c>
      <c r="N832" s="2232" t="s">
        <v>9748</v>
      </c>
      <c r="O832" s="2232"/>
      <c r="P832" s="2232" t="s">
        <v>7112</v>
      </c>
      <c r="Q832" s="2232" t="s">
        <v>7112</v>
      </c>
      <c r="R832" s="2232" t="s">
        <v>7112</v>
      </c>
      <c r="S832" s="2241" t="s">
        <v>7112</v>
      </c>
    </row>
    <row r="833" spans="1:19" ht="12" customHeight="1" x14ac:dyDescent="0.2">
      <c r="A833" s="5838"/>
      <c r="B833" s="5838"/>
      <c r="C833" s="1091" t="s">
        <v>3151</v>
      </c>
      <c r="D833" s="886"/>
      <c r="E833" s="2204"/>
      <c r="F833" s="503"/>
      <c r="G833" s="2117" t="str">
        <f t="shared" si="36"/>
        <v/>
      </c>
      <c r="H833" s="2116"/>
      <c r="I833" s="2116" t="s">
        <v>7112</v>
      </c>
      <c r="J833" s="2116" t="s">
        <v>7112</v>
      </c>
      <c r="K833" s="2116"/>
      <c r="L833" s="2116"/>
      <c r="M833" s="2248" t="str">
        <f t="shared" si="37"/>
        <v/>
      </c>
      <c r="N833" s="2232" t="s">
        <v>7112</v>
      </c>
      <c r="O833" s="2232" t="s">
        <v>7112</v>
      </c>
      <c r="P833" s="2232" t="s">
        <v>7112</v>
      </c>
      <c r="Q833" s="2232" t="s">
        <v>7112</v>
      </c>
      <c r="R833" s="2232" t="s">
        <v>7112</v>
      </c>
      <c r="S833" s="2241" t="s">
        <v>7112</v>
      </c>
    </row>
    <row r="834" spans="1:19" ht="12" customHeight="1" x14ac:dyDescent="0.2">
      <c r="A834" s="5838"/>
      <c r="B834" s="5838"/>
      <c r="C834" s="1091" t="s">
        <v>3153</v>
      </c>
      <c r="D834" s="886" t="str">
        <f>PROPER(MID(C833,3,100))</f>
        <v>Anima, La Canción De Los Ángeles Caídos</v>
      </c>
      <c r="E834" s="503">
        <v>1</v>
      </c>
      <c r="F834" s="503">
        <v>50</v>
      </c>
      <c r="G834" s="2117">
        <f t="shared" si="36"/>
        <v>50</v>
      </c>
      <c r="H834" s="2116" t="s">
        <v>3154</v>
      </c>
      <c r="I834" s="2116" t="s">
        <v>9723</v>
      </c>
      <c r="J834" s="2116" t="s">
        <v>7112</v>
      </c>
      <c r="K834" s="2116"/>
      <c r="L834" s="2116"/>
      <c r="M834" s="2248">
        <f t="shared" si="37"/>
        <v>0</v>
      </c>
      <c r="N834" s="2232" t="s">
        <v>9749</v>
      </c>
      <c r="O834" s="2232" t="s">
        <v>9279</v>
      </c>
      <c r="P834" s="2232" t="s">
        <v>7112</v>
      </c>
      <c r="Q834" s="2232" t="s">
        <v>7112</v>
      </c>
      <c r="R834" s="2232" t="s">
        <v>7112</v>
      </c>
      <c r="S834" s="2241" t="s">
        <v>7112</v>
      </c>
    </row>
    <row r="835" spans="1:19" ht="12" customHeight="1" x14ac:dyDescent="0.2">
      <c r="A835" s="5838"/>
      <c r="B835" s="5838"/>
      <c r="C835" s="1091" t="s">
        <v>3156</v>
      </c>
      <c r="D835" s="886" t="str">
        <f>D834</f>
        <v>Anima, La Canción De Los Ángeles Caídos</v>
      </c>
      <c r="E835" s="503">
        <v>1</v>
      </c>
      <c r="F835" s="503">
        <v>40</v>
      </c>
      <c r="G835" s="2117">
        <f t="shared" si="36"/>
        <v>40</v>
      </c>
      <c r="H835" s="2116" t="s">
        <v>3157</v>
      </c>
      <c r="I835" s="2116" t="s">
        <v>9724</v>
      </c>
      <c r="J835" s="2116" t="s">
        <v>7112</v>
      </c>
      <c r="K835" s="2116"/>
      <c r="L835" s="2116"/>
      <c r="M835" s="2248">
        <f t="shared" si="37"/>
        <v>0</v>
      </c>
      <c r="N835" s="2232" t="s">
        <v>9754</v>
      </c>
      <c r="O835" s="2232" t="s">
        <v>9764</v>
      </c>
      <c r="P835" s="2232" t="s">
        <v>7112</v>
      </c>
      <c r="Q835" s="2232" t="s">
        <v>7112</v>
      </c>
      <c r="R835" s="2232" t="s">
        <v>7112</v>
      </c>
      <c r="S835" s="2241" t="s">
        <v>7112</v>
      </c>
    </row>
    <row r="836" spans="1:19" ht="12" customHeight="1" x14ac:dyDescent="0.2">
      <c r="A836" s="5838"/>
      <c r="B836" s="5838"/>
      <c r="C836" s="1091" t="s">
        <v>3159</v>
      </c>
      <c r="D836" s="886" t="str">
        <f>D835</f>
        <v>Anima, La Canción De Los Ángeles Caídos</v>
      </c>
      <c r="E836" s="503">
        <v>2</v>
      </c>
      <c r="F836" s="503">
        <v>100</v>
      </c>
      <c r="G836" s="2117">
        <f t="shared" si="36"/>
        <v>100</v>
      </c>
      <c r="H836" s="2116" t="s">
        <v>3160</v>
      </c>
      <c r="I836" s="2116" t="s">
        <v>9725</v>
      </c>
      <c r="J836" s="2116" t="s">
        <v>3214</v>
      </c>
      <c r="K836" s="2116"/>
      <c r="L836" s="2116"/>
      <c r="M836" s="2248">
        <f t="shared" si="37"/>
        <v>0</v>
      </c>
      <c r="N836" s="2232" t="s">
        <v>9749</v>
      </c>
      <c r="O836" s="2232" t="s">
        <v>9747</v>
      </c>
      <c r="P836" s="2232" t="s">
        <v>9750</v>
      </c>
      <c r="Q836" s="2232" t="s">
        <v>7112</v>
      </c>
      <c r="R836" s="2232" t="s">
        <v>7112</v>
      </c>
      <c r="S836" s="2241" t="s">
        <v>7112</v>
      </c>
    </row>
    <row r="837" spans="1:19" ht="12" customHeight="1" x14ac:dyDescent="0.2">
      <c r="A837" s="5838"/>
      <c r="B837" s="5838"/>
      <c r="C837" s="1091" t="s">
        <v>3162</v>
      </c>
      <c r="D837" s="886" t="str">
        <f>D836</f>
        <v>Anima, La Canción De Los Ángeles Caídos</v>
      </c>
      <c r="E837" s="503">
        <v>2</v>
      </c>
      <c r="F837" s="503">
        <v>100</v>
      </c>
      <c r="G837" s="2117">
        <f t="shared" si="36"/>
        <v>100</v>
      </c>
      <c r="H837" s="2116" t="s">
        <v>3163</v>
      </c>
      <c r="I837" s="2116" t="s">
        <v>9726</v>
      </c>
      <c r="J837" s="2116" t="s">
        <v>7112</v>
      </c>
      <c r="K837" s="2116"/>
      <c r="L837" s="2116"/>
      <c r="M837" s="2248">
        <f t="shared" si="37"/>
        <v>0</v>
      </c>
      <c r="N837" s="2232" t="s">
        <v>9749</v>
      </c>
      <c r="O837" s="2232" t="s">
        <v>9748</v>
      </c>
      <c r="P837" s="2232" t="s">
        <v>7112</v>
      </c>
      <c r="Q837" s="2232" t="s">
        <v>7112</v>
      </c>
      <c r="R837" s="2232" t="s">
        <v>7112</v>
      </c>
      <c r="S837" s="2241" t="s">
        <v>7112</v>
      </c>
    </row>
    <row r="838" spans="1:19" ht="12" customHeight="1" thickBot="1" x14ac:dyDescent="0.25">
      <c r="A838" s="5838"/>
      <c r="B838" s="5838"/>
      <c r="C838" s="1454" t="s">
        <v>3164</v>
      </c>
      <c r="D838" s="2118" t="str">
        <f>D837</f>
        <v>Anima, La Canción De Los Ángeles Caídos</v>
      </c>
      <c r="E838" s="551">
        <v>3</v>
      </c>
      <c r="F838" s="551">
        <v>200</v>
      </c>
      <c r="G838" s="2242">
        <f>IF(E838="","",MAX(IF(E838=3,60,IF(E838=2,40,20)),F838+M838))</f>
        <v>200</v>
      </c>
      <c r="H838" s="2243" t="s">
        <v>3165</v>
      </c>
      <c r="I838" s="2243" t="s">
        <v>9734</v>
      </c>
      <c r="J838" s="2243" t="s">
        <v>9727</v>
      </c>
      <c r="K838" s="2243"/>
      <c r="L838" s="2243" t="s">
        <v>9472</v>
      </c>
      <c r="M838" s="2249">
        <f t="shared" si="37"/>
        <v>0</v>
      </c>
      <c r="N838" s="2244" t="s">
        <v>9749</v>
      </c>
      <c r="O838" s="2244" t="s">
        <v>9750</v>
      </c>
      <c r="P838" s="2244" t="s">
        <v>9762</v>
      </c>
      <c r="Q838" s="2244" t="s">
        <v>9767</v>
      </c>
      <c r="R838" s="2244" t="s">
        <v>7112</v>
      </c>
      <c r="S838" s="2245" t="s">
        <v>9765</v>
      </c>
    </row>
  </sheetData>
  <sheetProtection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3" t="s">
        <v>3219</v>
      </c>
      <c r="D2" s="6084"/>
      <c r="E2" s="6084"/>
      <c r="F2" s="6084"/>
      <c r="G2" s="6084"/>
      <c r="H2" s="6084"/>
      <c r="I2" s="6084"/>
      <c r="J2" s="6084"/>
      <c r="K2" s="6084"/>
      <c r="L2" s="6084"/>
      <c r="M2" s="6084"/>
      <c r="N2" s="6084"/>
      <c r="O2" s="6084"/>
      <c r="P2" s="6084"/>
      <c r="Q2" s="6084"/>
      <c r="R2" s="6084"/>
      <c r="S2" s="6084"/>
      <c r="T2" s="6084"/>
      <c r="U2" s="6084"/>
      <c r="V2" s="6084"/>
      <c r="W2" s="6084"/>
      <c r="X2" s="6084"/>
      <c r="Y2" s="6084"/>
      <c r="Z2" s="6085"/>
    </row>
    <row r="3" spans="1:26" ht="12.75" customHeight="1" x14ac:dyDescent="0.2">
      <c r="B3" s="851"/>
      <c r="C3" s="6086"/>
      <c r="D3" s="6087"/>
      <c r="E3" s="6087"/>
      <c r="F3" s="6087"/>
      <c r="G3" s="6087"/>
      <c r="H3" s="6087"/>
      <c r="I3" s="6087"/>
      <c r="J3" s="6087"/>
      <c r="K3" s="6087"/>
      <c r="L3" s="6087"/>
      <c r="M3" s="6087"/>
      <c r="N3" s="6087"/>
      <c r="O3" s="6087"/>
      <c r="P3" s="6087"/>
      <c r="Q3" s="6087"/>
      <c r="R3" s="6087"/>
      <c r="S3" s="6087"/>
      <c r="T3" s="6087"/>
      <c r="U3" s="6087"/>
      <c r="V3" s="6087"/>
      <c r="W3" s="6087"/>
      <c r="X3" s="6087"/>
      <c r="Y3" s="6087"/>
      <c r="Z3" s="6088"/>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05"/>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05"/>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05"/>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05"/>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05"/>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05"/>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05"/>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05"/>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05"/>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05"/>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05"/>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05"/>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05"/>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05"/>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05"/>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05"/>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05"/>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05"/>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05"/>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05"/>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05"/>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9894</v>
      </c>
    </row>
    <row r="27" spans="1:26" ht="12.75" customHeight="1" x14ac:dyDescent="0.2">
      <c r="A27" s="6105"/>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05"/>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05"/>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05"/>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7237</v>
      </c>
      <c r="W30" s="396" t="s">
        <v>3351</v>
      </c>
      <c r="X30" s="396" t="s">
        <v>7238</v>
      </c>
      <c r="Y30" s="396" t="s">
        <v>7239</v>
      </c>
      <c r="Z30" s="397" t="s">
        <v>7240</v>
      </c>
    </row>
    <row r="31" spans="1:26" ht="12.75" customHeight="1" x14ac:dyDescent="0.2">
      <c r="A31" s="6105"/>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05"/>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05"/>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05"/>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05"/>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05"/>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05"/>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05"/>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7249</v>
      </c>
    </row>
    <row r="39" spans="1:26" ht="12.75" customHeight="1" x14ac:dyDescent="0.2">
      <c r="A39" s="6105"/>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05"/>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05"/>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05"/>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05"/>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05"/>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05"/>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05"/>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05"/>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05"/>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05"/>
      <c r="B49" s="261" t="str">
        <f t="shared" si="0"/>
        <v>Oscuridad6</v>
      </c>
      <c r="C49" s="398"/>
      <c r="D49" s="282" t="s">
        <v>9920</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05"/>
      <c r="B50" s="261" t="str">
        <f t="shared" si="0"/>
        <v>Oscuridad8</v>
      </c>
      <c r="C50" s="398"/>
      <c r="D50" s="282" t="s">
        <v>9921</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05"/>
      <c r="B51" s="261" t="str">
        <f t="shared" si="0"/>
        <v>Oscuridad10</v>
      </c>
      <c r="C51" s="398"/>
      <c r="D51" s="282" t="s">
        <v>9922</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05"/>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05"/>
      <c r="B53" s="261" t="str">
        <f t="shared" si="0"/>
        <v>Oscuridad16</v>
      </c>
      <c r="C53" s="398"/>
      <c r="D53" s="282" t="s">
        <v>9923</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05"/>
      <c r="B54" s="261" t="str">
        <f t="shared" si="0"/>
        <v>Oscuridad18</v>
      </c>
      <c r="C54" s="398"/>
      <c r="D54" s="282" t="s">
        <v>9924</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05"/>
      <c r="B55" s="261" t="str">
        <f t="shared" si="0"/>
        <v>Oscuridad20</v>
      </c>
      <c r="C55" s="398"/>
      <c r="D55" s="282" t="s">
        <v>9925</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05"/>
      <c r="B56" s="261" t="str">
        <f t="shared" si="0"/>
        <v>Oscuridad22</v>
      </c>
      <c r="C56" s="398"/>
      <c r="D56" s="282" t="s">
        <v>9926</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05"/>
      <c r="B57" s="261" t="str">
        <f t="shared" si="0"/>
        <v>Oscuridad26</v>
      </c>
      <c r="C57" s="398"/>
      <c r="D57" s="282" t="s">
        <v>9927</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05"/>
      <c r="B58" s="261" t="str">
        <f t="shared" si="0"/>
        <v>Oscuridad28</v>
      </c>
      <c r="C58" s="398"/>
      <c r="D58" s="282" t="s">
        <v>9928</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05"/>
      <c r="B59" s="261" t="str">
        <f t="shared" si="0"/>
        <v>Oscuridad30</v>
      </c>
      <c r="C59" s="398"/>
      <c r="D59" s="282" t="s">
        <v>9929</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05"/>
      <c r="B60" s="261" t="str">
        <f t="shared" si="0"/>
        <v>Oscuridad32</v>
      </c>
      <c r="C60" s="398"/>
      <c r="D60" s="282" t="s">
        <v>9930</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05"/>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05"/>
      <c r="B62" s="261" t="str">
        <f t="shared" si="0"/>
        <v>Oscuridad38</v>
      </c>
      <c r="C62" s="398"/>
      <c r="D62" s="282" t="s">
        <v>9931</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05"/>
      <c r="B63" s="261" t="str">
        <f t="shared" si="0"/>
        <v>Oscuridad40</v>
      </c>
      <c r="C63" s="398"/>
      <c r="D63" s="282" t="s">
        <v>9932</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05"/>
      <c r="B64" s="261" t="str">
        <f t="shared" si="0"/>
        <v>Oscuridad42</v>
      </c>
      <c r="C64" s="398"/>
      <c r="D64" s="282" t="s">
        <v>9933</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05"/>
      <c r="B65" s="261" t="str">
        <f t="shared" si="0"/>
        <v>Oscuridad46</v>
      </c>
      <c r="C65" s="398"/>
      <c r="D65" s="282" t="s">
        <v>9934</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05"/>
      <c r="B66" s="261" t="str">
        <f t="shared" si="0"/>
        <v>Oscuridad48</v>
      </c>
      <c r="C66" s="398"/>
      <c r="D66" s="282" t="s">
        <v>9936</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10269</v>
      </c>
      <c r="X66" s="396" t="s">
        <v>3498</v>
      </c>
      <c r="Y66" s="396" t="s">
        <v>3499</v>
      </c>
      <c r="Z66" s="397" t="s">
        <v>3500</v>
      </c>
    </row>
    <row r="67" spans="1:26" ht="12.75" customHeight="1" x14ac:dyDescent="0.2">
      <c r="A67" s="6105"/>
      <c r="B67" s="261" t="str">
        <f t="shared" si="0"/>
        <v>Oscuridad50</v>
      </c>
      <c r="C67" s="398"/>
      <c r="D67" s="282" t="s">
        <v>9935</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7250</v>
      </c>
    </row>
    <row r="68" spans="1:26" ht="12.75" customHeight="1" x14ac:dyDescent="0.2">
      <c r="A68" s="6105"/>
      <c r="B68" s="261" t="str">
        <f t="shared" si="0"/>
        <v>Oscuridad52</v>
      </c>
      <c r="C68" s="398"/>
      <c r="D68" s="282" t="s">
        <v>9937</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05"/>
      <c r="B69" s="261" t="str">
        <f t="shared" si="0"/>
        <v>Oscuridad56</v>
      </c>
      <c r="C69" s="398"/>
      <c r="D69" s="282" t="s">
        <v>9938</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05"/>
      <c r="B70" s="261" t="str">
        <f t="shared" si="0"/>
        <v>Oscuridad58</v>
      </c>
      <c r="C70" s="398"/>
      <c r="D70" s="282" t="s">
        <v>9939</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05"/>
      <c r="B71" s="261" t="str">
        <f t="shared" si="0"/>
        <v>Oscuridad60</v>
      </c>
      <c r="C71" s="398"/>
      <c r="D71" s="282" t="s">
        <v>9940</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05"/>
      <c r="B72" s="261" t="str">
        <f t="shared" ref="B72:B135" si="1">E72&amp;F72</f>
        <v>Oscuridad62</v>
      </c>
      <c r="C72" s="398"/>
      <c r="D72" s="282" t="s">
        <v>9941</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05"/>
      <c r="B73" s="261" t="str">
        <f t="shared" si="1"/>
        <v>Oscuridad66</v>
      </c>
      <c r="C73" s="398"/>
      <c r="D73" s="282" t="s">
        <v>9942</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05"/>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05"/>
      <c r="B75" s="261" t="str">
        <f t="shared" si="1"/>
        <v>Oscuridad70</v>
      </c>
      <c r="C75" s="398"/>
      <c r="D75" s="282" t="s">
        <v>9943</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05"/>
      <c r="B76" s="261" t="str">
        <f t="shared" si="1"/>
        <v>Oscuridad72</v>
      </c>
      <c r="C76" s="398"/>
      <c r="D76" s="282" t="s">
        <v>9944</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05"/>
      <c r="B77" s="261" t="str">
        <f t="shared" si="1"/>
        <v>Oscuridad76</v>
      </c>
      <c r="C77" s="398"/>
      <c r="D77" s="282" t="s">
        <v>9945</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05"/>
      <c r="B78" s="261" t="str">
        <f t="shared" si="1"/>
        <v>Oscuridad78</v>
      </c>
      <c r="C78" s="398"/>
      <c r="D78" s="282" t="s">
        <v>9946</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05"/>
      <c r="B79" s="261" t="str">
        <f t="shared" si="1"/>
        <v>Oscuridad80</v>
      </c>
      <c r="C79" s="398"/>
      <c r="D79" s="282" t="s">
        <v>9947</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7251</v>
      </c>
    </row>
    <row r="80" spans="1:26" ht="12.75" customHeight="1" x14ac:dyDescent="0.2">
      <c r="A80" s="6105"/>
      <c r="B80" s="261" t="str">
        <f t="shared" si="1"/>
        <v>Oscuridad82</v>
      </c>
      <c r="C80" s="398"/>
      <c r="D80" s="282" t="s">
        <v>9948</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05"/>
      <c r="B81" s="261" t="str">
        <f t="shared" si="1"/>
        <v>Oscuridad86</v>
      </c>
      <c r="C81" s="398"/>
      <c r="D81" s="282" t="s">
        <v>9949</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05"/>
      <c r="B82" s="261" t="str">
        <f t="shared" si="1"/>
        <v>Oscuridad88</v>
      </c>
      <c r="C82" s="398"/>
      <c r="D82" s="282" t="s">
        <v>9950</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05"/>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05"/>
      <c r="B84" s="261" t="str">
        <f t="shared" si="1"/>
        <v>Oscuridad92</v>
      </c>
      <c r="C84" s="398"/>
      <c r="D84" s="282" t="s">
        <v>9951</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05"/>
      <c r="B85" s="261" t="str">
        <f t="shared" si="1"/>
        <v>Oscuridad96</v>
      </c>
      <c r="C85" s="398"/>
      <c r="D85" s="282" t="s">
        <v>9952</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05"/>
      <c r="B86" s="261" t="str">
        <f t="shared" si="1"/>
        <v>Oscuridad98</v>
      </c>
      <c r="C86" s="398"/>
      <c r="D86" s="282" t="s">
        <v>9953</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05"/>
      <c r="B87" s="261" t="str">
        <f t="shared" si="1"/>
        <v>Oscuridad100</v>
      </c>
      <c r="C87" s="398"/>
      <c r="D87" s="282" t="s">
        <v>9954</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05"/>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05"/>
      <c r="B89" s="261" t="str">
        <f t="shared" si="1"/>
        <v>Creación2</v>
      </c>
      <c r="C89" s="398"/>
      <c r="D89" s="282" t="s">
        <v>9955</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05"/>
      <c r="B90" s="261" t="str">
        <f t="shared" si="1"/>
        <v>Creación6</v>
      </c>
      <c r="C90" s="398"/>
      <c r="D90" s="282" t="s">
        <v>9956</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05"/>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05"/>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05"/>
      <c r="B93" s="261" t="str">
        <f t="shared" si="1"/>
        <v>Creación12</v>
      </c>
      <c r="C93" s="398"/>
      <c r="D93" s="282" t="s">
        <v>9957</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05"/>
      <c r="B94" s="261" t="str">
        <f t="shared" si="1"/>
        <v>Creación16</v>
      </c>
      <c r="C94" s="398"/>
      <c r="D94" s="282" t="s">
        <v>9958</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05"/>
      <c r="B95" s="261" t="str">
        <f t="shared" si="1"/>
        <v>Creación18</v>
      </c>
      <c r="C95" s="398"/>
      <c r="D95" s="282" t="s">
        <v>9959</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05"/>
      <c r="B96" s="261" t="str">
        <f t="shared" si="1"/>
        <v>Creación20</v>
      </c>
      <c r="C96" s="398"/>
      <c r="D96" s="282" t="s">
        <v>6582</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05"/>
      <c r="B97" s="261" t="str">
        <f t="shared" si="1"/>
        <v>Creación22</v>
      </c>
      <c r="C97" s="398"/>
      <c r="D97" s="282" t="s">
        <v>7536</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05"/>
      <c r="B98" s="261" t="str">
        <f t="shared" si="1"/>
        <v>Creación26</v>
      </c>
      <c r="C98" s="398"/>
      <c r="D98" s="282" t="s">
        <v>9960</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05"/>
      <c r="B99" s="261" t="str">
        <f t="shared" si="1"/>
        <v>Creación28</v>
      </c>
      <c r="C99" s="398"/>
      <c r="D99" s="282" t="s">
        <v>9961</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05"/>
      <c r="B100" s="261" t="str">
        <f t="shared" si="1"/>
        <v>Creación30</v>
      </c>
      <c r="C100" s="398"/>
      <c r="D100" s="282" t="s">
        <v>9962</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05"/>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05"/>
      <c r="B102" s="261" t="str">
        <f t="shared" si="1"/>
        <v>Creación36</v>
      </c>
      <c r="C102" s="398"/>
      <c r="D102" s="282" t="s">
        <v>7545</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05"/>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05"/>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05"/>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05"/>
      <c r="B106" s="261" t="str">
        <f t="shared" si="1"/>
        <v>Creación46</v>
      </c>
      <c r="C106" s="398"/>
      <c r="D106" s="282" t="s">
        <v>9963</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05"/>
      <c r="B107" s="261" t="str">
        <f t="shared" si="1"/>
        <v>Creación48</v>
      </c>
      <c r="C107" s="398"/>
      <c r="D107" s="282" t="s">
        <v>9964</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05"/>
      <c r="B108" s="261" t="str">
        <f t="shared" si="1"/>
        <v>Creación50</v>
      </c>
      <c r="C108" s="398"/>
      <c r="D108" s="282" t="s">
        <v>9965</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05"/>
      <c r="B109" s="261" t="str">
        <f t="shared" si="1"/>
        <v>Creación52</v>
      </c>
      <c r="C109" s="398"/>
      <c r="D109" s="282" t="s">
        <v>9966</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05"/>
      <c r="B110" s="261" t="str">
        <f t="shared" si="1"/>
        <v>Creación56</v>
      </c>
      <c r="C110" s="398"/>
      <c r="D110" s="282" t="s">
        <v>9967</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05"/>
      <c r="B111" s="261" t="str">
        <f t="shared" si="1"/>
        <v>Creación58</v>
      </c>
      <c r="C111" s="398"/>
      <c r="D111" s="282" t="s">
        <v>9968</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05"/>
      <c r="B112" s="261" t="str">
        <f t="shared" si="1"/>
        <v>Creación60</v>
      </c>
      <c r="C112" s="398"/>
      <c r="D112" s="282" t="s">
        <v>9969</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05"/>
      <c r="B113" s="261" t="str">
        <f t="shared" si="1"/>
        <v>Creación62</v>
      </c>
      <c r="C113" s="398"/>
      <c r="D113" s="282" t="s">
        <v>9970</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05"/>
      <c r="B114" s="261" t="str">
        <f t="shared" si="1"/>
        <v>Creación66</v>
      </c>
      <c r="C114" s="398"/>
      <c r="D114" s="282" t="s">
        <v>9971</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05"/>
      <c r="B115" s="261" t="str">
        <f t="shared" si="1"/>
        <v>Creación68</v>
      </c>
      <c r="C115" s="398"/>
      <c r="D115" s="282" t="s">
        <v>9972</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05"/>
      <c r="B116" s="261" t="str">
        <f t="shared" si="1"/>
        <v>Creación70</v>
      </c>
      <c r="C116" s="398"/>
      <c r="D116" s="282" t="s">
        <v>9973</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05"/>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05"/>
      <c r="B118" s="261" t="str">
        <f t="shared" si="1"/>
        <v>Creación76</v>
      </c>
      <c r="C118" s="398"/>
      <c r="D118" s="282" t="s">
        <v>9974</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05"/>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05"/>
      <c r="B120" s="261" t="str">
        <f t="shared" si="1"/>
        <v>Creación80</v>
      </c>
      <c r="C120" s="398"/>
      <c r="D120" s="282" t="s">
        <v>9975</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05"/>
      <c r="B121" s="261" t="str">
        <f t="shared" si="1"/>
        <v>Creación82</v>
      </c>
      <c r="C121" s="398"/>
      <c r="D121" s="282" t="s">
        <v>9976</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10271</v>
      </c>
      <c r="Y121" s="396" t="s">
        <v>10272</v>
      </c>
      <c r="Z121" s="397" t="s">
        <v>3704</v>
      </c>
    </row>
    <row r="122" spans="1:26" ht="12.75" customHeight="1" x14ac:dyDescent="0.2">
      <c r="A122" s="6105"/>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05"/>
      <c r="B123" s="261" t="str">
        <f t="shared" si="1"/>
        <v>Creación88</v>
      </c>
      <c r="C123" s="398"/>
      <c r="D123" s="282" t="s">
        <v>9977</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05"/>
      <c r="B124" s="261" t="str">
        <f t="shared" si="1"/>
        <v>Creación90</v>
      </c>
      <c r="C124" s="398"/>
      <c r="D124" s="282" t="s">
        <v>9978</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7235</v>
      </c>
    </row>
    <row r="125" spans="1:26" ht="12.75" customHeight="1" x14ac:dyDescent="0.2">
      <c r="A125" s="6105"/>
      <c r="B125" s="261" t="str">
        <f t="shared" si="1"/>
        <v>Creación92</v>
      </c>
      <c r="C125" s="398"/>
      <c r="D125" s="282" t="s">
        <v>9979</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05"/>
      <c r="B126" s="261" t="str">
        <f t="shared" si="1"/>
        <v>Creación96</v>
      </c>
      <c r="C126" s="398"/>
      <c r="D126" s="282" t="s">
        <v>9980</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05"/>
      <c r="B127" s="261" t="str">
        <f t="shared" si="1"/>
        <v>Creación98</v>
      </c>
      <c r="C127" s="398"/>
      <c r="D127" s="282" t="s">
        <v>9981</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05"/>
      <c r="B128" s="261" t="str">
        <f t="shared" si="1"/>
        <v>Creación100</v>
      </c>
      <c r="C128" s="398"/>
      <c r="D128" s="282" t="s">
        <v>9982</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05"/>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05"/>
      <c r="B130" s="261" t="str">
        <f t="shared" si="1"/>
        <v>Destrucción2</v>
      </c>
      <c r="C130" s="398"/>
      <c r="D130" s="282" t="s">
        <v>9983</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05"/>
      <c r="B131" s="261" t="str">
        <f t="shared" si="1"/>
        <v>Destrucción6</v>
      </c>
      <c r="C131" s="398"/>
      <c r="D131" s="282" t="s">
        <v>9984</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05"/>
      <c r="B132" s="261" t="str">
        <f t="shared" si="1"/>
        <v>Destrucción8</v>
      </c>
      <c r="C132" s="398"/>
      <c r="D132" s="282" t="s">
        <v>9985</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05"/>
      <c r="B133" s="261" t="str">
        <f t="shared" si="1"/>
        <v>Destrucción10</v>
      </c>
      <c r="C133" s="398"/>
      <c r="D133" s="282" t="s">
        <v>9986</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05"/>
      <c r="B134" s="261" t="str">
        <f t="shared" si="1"/>
        <v>Destrucción12</v>
      </c>
      <c r="C134" s="398"/>
      <c r="D134" s="282" t="s">
        <v>9987</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05"/>
      <c r="B135" s="261" t="str">
        <f t="shared" si="1"/>
        <v>Destrucción16</v>
      </c>
      <c r="C135" s="398"/>
      <c r="D135" s="282" t="s">
        <v>9988</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05"/>
      <c r="B136" s="261" t="str">
        <f t="shared" ref="B136:B199" si="2">E136&amp;F136</f>
        <v>Destrucción18</v>
      </c>
      <c r="C136" s="398"/>
      <c r="D136" s="282" t="s">
        <v>9989</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05"/>
      <c r="B137" s="261" t="str">
        <f t="shared" si="2"/>
        <v>Destrucción20</v>
      </c>
      <c r="C137" s="398"/>
      <c r="D137" s="282" t="s">
        <v>9990</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05"/>
      <c r="B138" s="261" t="str">
        <f t="shared" si="2"/>
        <v>Destrucción22</v>
      </c>
      <c r="C138" s="398"/>
      <c r="D138" s="282" t="s">
        <v>9991</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05"/>
      <c r="B139" s="261" t="str">
        <f t="shared" si="2"/>
        <v>Destrucción26</v>
      </c>
      <c r="C139" s="398"/>
      <c r="D139" s="282" t="s">
        <v>9992</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05"/>
      <c r="B140" s="261" t="str">
        <f t="shared" si="2"/>
        <v>Destrucción28</v>
      </c>
      <c r="C140" s="398"/>
      <c r="D140" s="282" t="s">
        <v>9993</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05"/>
      <c r="B141" s="261" t="str">
        <f t="shared" si="2"/>
        <v>Destrucción30</v>
      </c>
      <c r="C141" s="398"/>
      <c r="D141" s="282" t="s">
        <v>9994</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05"/>
      <c r="B142" s="261" t="str">
        <f t="shared" si="2"/>
        <v>Destrucción32</v>
      </c>
      <c r="C142" s="398"/>
      <c r="D142" s="282" t="s">
        <v>9995</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05"/>
      <c r="B143" s="261" t="str">
        <f t="shared" si="2"/>
        <v>Destrucción36</v>
      </c>
      <c r="C143" s="398"/>
      <c r="D143" s="282" t="s">
        <v>9996</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05"/>
      <c r="B144" s="261" t="str">
        <f t="shared" si="2"/>
        <v>Destrucción38</v>
      </c>
      <c r="C144" s="398"/>
      <c r="D144" s="282" t="s">
        <v>9997</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3792</v>
      </c>
      <c r="S144" s="390" t="s">
        <v>1384</v>
      </c>
      <c r="T144" s="394" t="s">
        <v>1384</v>
      </c>
      <c r="U144" s="399" t="s">
        <v>1384</v>
      </c>
      <c r="V144" s="396" t="s">
        <v>3752</v>
      </c>
      <c r="W144" s="396" t="s">
        <v>3753</v>
      </c>
      <c r="X144" s="396" t="s">
        <v>3754</v>
      </c>
      <c r="Y144" s="396" t="s">
        <v>3755</v>
      </c>
      <c r="Z144" s="397" t="s">
        <v>3793</v>
      </c>
    </row>
    <row r="145" spans="1:26" ht="12.75" customHeight="1" x14ac:dyDescent="0.2">
      <c r="A145" s="6105"/>
      <c r="B145" s="261" t="str">
        <f t="shared" si="2"/>
        <v>Destrucción40</v>
      </c>
      <c r="C145" s="398"/>
      <c r="D145" s="282" t="s">
        <v>9998</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3794</v>
      </c>
      <c r="Z145" s="397" t="s">
        <v>3795</v>
      </c>
    </row>
    <row r="146" spans="1:26" ht="12.75" customHeight="1" x14ac:dyDescent="0.2">
      <c r="A146" s="6105"/>
      <c r="B146" s="261" t="str">
        <f t="shared" si="2"/>
        <v>Destrucción42</v>
      </c>
      <c r="C146" s="398"/>
      <c r="D146" s="282" t="s">
        <v>9999</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3796</v>
      </c>
      <c r="W146" s="396" t="s">
        <v>3797</v>
      </c>
      <c r="X146" s="396" t="s">
        <v>3798</v>
      </c>
      <c r="Y146" s="396" t="s">
        <v>3799</v>
      </c>
      <c r="Z146" s="397" t="s">
        <v>3800</v>
      </c>
    </row>
    <row r="147" spans="1:26" ht="12.75" customHeight="1" x14ac:dyDescent="0.2">
      <c r="A147" s="6105"/>
      <c r="B147" s="261" t="str">
        <f t="shared" si="2"/>
        <v>Destrucción46</v>
      </c>
      <c r="C147" s="398"/>
      <c r="D147" s="282" t="s">
        <v>10000</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3801</v>
      </c>
      <c r="W147" s="396" t="s">
        <v>3802</v>
      </c>
      <c r="X147" s="396" t="s">
        <v>3803</v>
      </c>
      <c r="Y147" s="396" t="s">
        <v>3804</v>
      </c>
      <c r="Z147" s="397" t="s">
        <v>3805</v>
      </c>
    </row>
    <row r="148" spans="1:26" ht="12.75" customHeight="1" x14ac:dyDescent="0.2">
      <c r="A148" s="6105"/>
      <c r="B148" s="261" t="str">
        <f t="shared" si="2"/>
        <v>Destrucción48</v>
      </c>
      <c r="C148" s="398"/>
      <c r="D148" s="282" t="s">
        <v>10001</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3806</v>
      </c>
      <c r="W148" s="396" t="s">
        <v>3807</v>
      </c>
      <c r="X148" s="396" t="s">
        <v>3808</v>
      </c>
      <c r="Y148" s="396" t="s">
        <v>3809</v>
      </c>
      <c r="Z148" s="397" t="s">
        <v>3810</v>
      </c>
    </row>
    <row r="149" spans="1:26" ht="12.75" customHeight="1" x14ac:dyDescent="0.2">
      <c r="A149" s="6105"/>
      <c r="B149" s="261" t="str">
        <f t="shared" si="2"/>
        <v>Destrucción50</v>
      </c>
      <c r="C149" s="398"/>
      <c r="D149" s="282" t="s">
        <v>10002</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3811</v>
      </c>
      <c r="W149" s="396" t="s">
        <v>3812</v>
      </c>
      <c r="X149" s="396" t="s">
        <v>3813</v>
      </c>
      <c r="Y149" s="396" t="s">
        <v>3814</v>
      </c>
      <c r="Z149" s="397" t="s">
        <v>3815</v>
      </c>
    </row>
    <row r="150" spans="1:26" ht="12.75" customHeight="1" x14ac:dyDescent="0.2">
      <c r="A150" s="6105"/>
      <c r="B150" s="261" t="str">
        <f t="shared" si="2"/>
        <v>Destrucción52</v>
      </c>
      <c r="C150" s="398"/>
      <c r="D150" s="282" t="s">
        <v>10003</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3816</v>
      </c>
    </row>
    <row r="151" spans="1:26" ht="12.75" customHeight="1" x14ac:dyDescent="0.2">
      <c r="A151" s="6105"/>
      <c r="B151" s="261" t="str">
        <f t="shared" si="2"/>
        <v>Destrucción56</v>
      </c>
      <c r="C151" s="398"/>
      <c r="D151" s="282" t="s">
        <v>10004</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3817</v>
      </c>
    </row>
    <row r="152" spans="1:26" ht="12.75" customHeight="1" x14ac:dyDescent="0.2">
      <c r="A152" s="6105"/>
      <c r="B152" s="261" t="str">
        <f t="shared" si="2"/>
        <v>Destrucción58</v>
      </c>
      <c r="C152" s="398"/>
      <c r="D152" s="282" t="s">
        <v>10005</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3818</v>
      </c>
    </row>
    <row r="153" spans="1:26" ht="12.75" customHeight="1" x14ac:dyDescent="0.2">
      <c r="A153" s="6105"/>
      <c r="B153" s="261" t="str">
        <f t="shared" si="2"/>
        <v>Destrucción60</v>
      </c>
      <c r="C153" s="398"/>
      <c r="D153" s="282" t="s">
        <v>10006</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3819</v>
      </c>
      <c r="Z153" s="397" t="s">
        <v>3820</v>
      </c>
    </row>
    <row r="154" spans="1:26" ht="12.75" customHeight="1" x14ac:dyDescent="0.2">
      <c r="A154" s="6105"/>
      <c r="B154" s="261" t="str">
        <f t="shared" si="2"/>
        <v>Destrucción62</v>
      </c>
      <c r="C154" s="398"/>
      <c r="D154" s="282" t="s">
        <v>10007</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3821</v>
      </c>
      <c r="X154" s="396" t="s">
        <v>3822</v>
      </c>
      <c r="Y154" s="396" t="s">
        <v>3823</v>
      </c>
      <c r="Z154" s="397" t="s">
        <v>3824</v>
      </c>
    </row>
    <row r="155" spans="1:26" ht="12.75" customHeight="1" x14ac:dyDescent="0.2">
      <c r="A155" s="6105"/>
      <c r="B155" s="261" t="str">
        <f t="shared" si="2"/>
        <v>Destrucción66</v>
      </c>
      <c r="C155" s="398"/>
      <c r="D155" s="282" t="s">
        <v>10008</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3825</v>
      </c>
      <c r="W155" s="396" t="s">
        <v>3826</v>
      </c>
      <c r="X155" s="396" t="s">
        <v>3827</v>
      </c>
      <c r="Y155" s="396" t="s">
        <v>3828</v>
      </c>
      <c r="Z155" s="397" t="s">
        <v>3829</v>
      </c>
    </row>
    <row r="156" spans="1:26" ht="12.75" customHeight="1" x14ac:dyDescent="0.2">
      <c r="A156" s="6105"/>
      <c r="B156" s="261" t="str">
        <f t="shared" si="2"/>
        <v>Destrucción68</v>
      </c>
      <c r="C156" s="398"/>
      <c r="D156" s="282" t="s">
        <v>10009</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3830</v>
      </c>
      <c r="W156" s="396" t="s">
        <v>3831</v>
      </c>
      <c r="X156" s="396" t="s">
        <v>3832</v>
      </c>
      <c r="Y156" s="396" t="s">
        <v>3833</v>
      </c>
      <c r="Z156" s="397" t="s">
        <v>3834</v>
      </c>
    </row>
    <row r="157" spans="1:26" ht="12.75" customHeight="1" x14ac:dyDescent="0.2">
      <c r="A157" s="6105"/>
      <c r="B157" s="261" t="str">
        <f t="shared" si="2"/>
        <v>Destrucción70</v>
      </c>
      <c r="C157" s="398"/>
      <c r="D157" s="282" t="s">
        <v>10010</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3835</v>
      </c>
      <c r="W157" s="396" t="s">
        <v>3836</v>
      </c>
      <c r="X157" s="396" t="s">
        <v>3837</v>
      </c>
      <c r="Y157" s="396" t="s">
        <v>3838</v>
      </c>
      <c r="Z157" s="397" t="s">
        <v>3839</v>
      </c>
    </row>
    <row r="158" spans="1:26" ht="12.75" customHeight="1" x14ac:dyDescent="0.2">
      <c r="A158" s="6105"/>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3840</v>
      </c>
      <c r="W158" s="396" t="s">
        <v>3841</v>
      </c>
      <c r="X158" s="396" t="s">
        <v>3842</v>
      </c>
      <c r="Y158" s="396" t="s">
        <v>3843</v>
      </c>
      <c r="Z158" s="397" t="s">
        <v>3844</v>
      </c>
    </row>
    <row r="159" spans="1:26" ht="12.75" customHeight="1" x14ac:dyDescent="0.2">
      <c r="A159" s="6105"/>
      <c r="B159" s="261" t="str">
        <f t="shared" si="2"/>
        <v>Destrucción76</v>
      </c>
      <c r="C159" s="398"/>
      <c r="D159" s="282" t="s">
        <v>10011</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3845</v>
      </c>
      <c r="W159" s="396" t="s">
        <v>3846</v>
      </c>
      <c r="X159" s="396" t="s">
        <v>3847</v>
      </c>
      <c r="Y159" s="396" t="s">
        <v>3848</v>
      </c>
      <c r="Z159" s="397" t="s">
        <v>3849</v>
      </c>
    </row>
    <row r="160" spans="1:26" ht="12.75" customHeight="1" x14ac:dyDescent="0.2">
      <c r="A160" s="6105"/>
      <c r="B160" s="261" t="str">
        <f t="shared" si="2"/>
        <v>Destrucción78</v>
      </c>
      <c r="C160" s="398"/>
      <c r="D160" s="282" t="s">
        <v>10012</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3850</v>
      </c>
      <c r="W160" s="396" t="s">
        <v>3851</v>
      </c>
      <c r="X160" s="396" t="s">
        <v>3852</v>
      </c>
      <c r="Y160" s="396" t="s">
        <v>3853</v>
      </c>
      <c r="Z160" s="397" t="s">
        <v>3854</v>
      </c>
    </row>
    <row r="161" spans="1:26" ht="12.75" customHeight="1" x14ac:dyDescent="0.2">
      <c r="A161" s="6105"/>
      <c r="B161" s="261" t="str">
        <f t="shared" si="2"/>
        <v>Destrucción80</v>
      </c>
      <c r="C161" s="398"/>
      <c r="D161" s="282" t="s">
        <v>10013</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3855</v>
      </c>
      <c r="W161" s="396" t="s">
        <v>3856</v>
      </c>
      <c r="X161" s="396" t="s">
        <v>3857</v>
      </c>
      <c r="Y161" s="396" t="s">
        <v>3858</v>
      </c>
      <c r="Z161" s="397" t="s">
        <v>3859</v>
      </c>
    </row>
    <row r="162" spans="1:26" ht="12.75" customHeight="1" x14ac:dyDescent="0.2">
      <c r="A162" s="6105"/>
      <c r="B162" s="261" t="str">
        <f t="shared" si="2"/>
        <v>Destrucción82</v>
      </c>
      <c r="C162" s="398"/>
      <c r="D162" s="282" t="s">
        <v>10014</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3860</v>
      </c>
      <c r="W162" s="396" t="s">
        <v>3861</v>
      </c>
      <c r="X162" s="396" t="s">
        <v>3862</v>
      </c>
      <c r="Y162" s="396" t="s">
        <v>3863</v>
      </c>
      <c r="Z162" s="397" t="s">
        <v>3864</v>
      </c>
    </row>
    <row r="163" spans="1:26" ht="12.75" customHeight="1" x14ac:dyDescent="0.2">
      <c r="A163" s="6105"/>
      <c r="B163" s="261" t="str">
        <f t="shared" si="2"/>
        <v>Destrucción86</v>
      </c>
      <c r="C163" s="398"/>
      <c r="D163" s="282" t="s">
        <v>10015</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3865</v>
      </c>
      <c r="W163" s="396" t="s">
        <v>3866</v>
      </c>
      <c r="X163" s="396" t="s">
        <v>3867</v>
      </c>
      <c r="Y163" s="396" t="s">
        <v>3868</v>
      </c>
      <c r="Z163" s="397" t="s">
        <v>3869</v>
      </c>
    </row>
    <row r="164" spans="1:26" ht="12.75" customHeight="1" x14ac:dyDescent="0.2">
      <c r="A164" s="6105"/>
      <c r="B164" s="261" t="str">
        <f t="shared" si="2"/>
        <v>Destrucción88</v>
      </c>
      <c r="C164" s="398"/>
      <c r="D164" s="282" t="s">
        <v>10016</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3870</v>
      </c>
      <c r="W164" s="396" t="s">
        <v>3871</v>
      </c>
      <c r="X164" s="396" t="s">
        <v>3872</v>
      </c>
      <c r="Y164" s="396" t="s">
        <v>3873</v>
      </c>
      <c r="Z164" s="397" t="s">
        <v>3874</v>
      </c>
    </row>
    <row r="165" spans="1:26" ht="12.75" customHeight="1" x14ac:dyDescent="0.2">
      <c r="A165" s="6105"/>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3875</v>
      </c>
      <c r="W165" s="396" t="s">
        <v>3876</v>
      </c>
      <c r="X165" s="396" t="s">
        <v>3877</v>
      </c>
      <c r="Y165" s="396" t="s">
        <v>3878</v>
      </c>
      <c r="Z165" s="397" t="s">
        <v>3879</v>
      </c>
    </row>
    <row r="166" spans="1:26" ht="12.75" customHeight="1" x14ac:dyDescent="0.2">
      <c r="A166" s="6105"/>
      <c r="B166" s="261" t="str">
        <f t="shared" si="2"/>
        <v>Destrucción92</v>
      </c>
      <c r="C166" s="398"/>
      <c r="D166" s="282" t="s">
        <v>10017</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3880</v>
      </c>
      <c r="Y166" s="396" t="s">
        <v>3693</v>
      </c>
      <c r="Z166" s="397" t="s">
        <v>3881</v>
      </c>
    </row>
    <row r="167" spans="1:26" ht="12.75" customHeight="1" x14ac:dyDescent="0.2">
      <c r="A167" s="6105"/>
      <c r="B167" s="261" t="str">
        <f t="shared" si="2"/>
        <v>Destrucción96</v>
      </c>
      <c r="C167" s="398"/>
      <c r="D167" s="282" t="s">
        <v>10018</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3882</v>
      </c>
      <c r="W167" s="396" t="s">
        <v>3883</v>
      </c>
      <c r="X167" s="396" t="s">
        <v>3884</v>
      </c>
      <c r="Y167" s="396" t="s">
        <v>3885</v>
      </c>
      <c r="Z167" s="397" t="s">
        <v>3886</v>
      </c>
    </row>
    <row r="168" spans="1:26" ht="12.75" customHeight="1" x14ac:dyDescent="0.2">
      <c r="A168" s="6105"/>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3887</v>
      </c>
      <c r="W168" s="396" t="s">
        <v>3888</v>
      </c>
      <c r="X168" s="396" t="s">
        <v>3889</v>
      </c>
      <c r="Y168" s="396" t="s">
        <v>3890</v>
      </c>
      <c r="Z168" s="397" t="s">
        <v>3891</v>
      </c>
    </row>
    <row r="169" spans="1:26" ht="12.75" customHeight="1" x14ac:dyDescent="0.2">
      <c r="A169" s="6105"/>
      <c r="B169" s="261" t="str">
        <f t="shared" si="2"/>
        <v>Destrucción100</v>
      </c>
      <c r="C169" s="398"/>
      <c r="D169" s="282" t="s">
        <v>10019</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3892</v>
      </c>
    </row>
    <row r="170" spans="1:26" ht="12.75" customHeight="1" x14ac:dyDescent="0.2">
      <c r="A170" s="6105"/>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05"/>
      <c r="B171" s="261" t="str">
        <f t="shared" si="2"/>
        <v>Aire2</v>
      </c>
      <c r="C171" s="398"/>
      <c r="D171" s="282" t="s">
        <v>10020</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3893</v>
      </c>
      <c r="W171" s="396" t="s">
        <v>3894</v>
      </c>
      <c r="X171" s="396" t="s">
        <v>3895</v>
      </c>
      <c r="Y171" s="396" t="s">
        <v>3896</v>
      </c>
      <c r="Z171" s="397" t="s">
        <v>3897</v>
      </c>
    </row>
    <row r="172" spans="1:26" ht="12.75" customHeight="1" x14ac:dyDescent="0.2">
      <c r="A172" s="6105"/>
      <c r="B172" s="261" t="str">
        <f t="shared" si="2"/>
        <v>Aire6</v>
      </c>
      <c r="C172" s="398"/>
      <c r="D172" s="282" t="s">
        <v>10021</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3898</v>
      </c>
      <c r="W172" s="396" t="s">
        <v>3899</v>
      </c>
      <c r="X172" s="396" t="s">
        <v>3900</v>
      </c>
      <c r="Y172" s="396" t="s">
        <v>3901</v>
      </c>
      <c r="Z172" s="397" t="s">
        <v>3902</v>
      </c>
    </row>
    <row r="173" spans="1:26" ht="12.75" customHeight="1" x14ac:dyDescent="0.2">
      <c r="A173" s="6105"/>
      <c r="B173" s="261" t="str">
        <f t="shared" si="2"/>
        <v>Aire10</v>
      </c>
      <c r="C173" s="398"/>
      <c r="D173" s="282" t="s">
        <v>10022</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3903</v>
      </c>
      <c r="W173" s="396" t="s">
        <v>3904</v>
      </c>
      <c r="X173" s="396" t="s">
        <v>3905</v>
      </c>
      <c r="Y173" s="396" t="s">
        <v>3906</v>
      </c>
      <c r="Z173" s="397" t="s">
        <v>3907</v>
      </c>
    </row>
    <row r="174" spans="1:26" ht="12.75" customHeight="1" x14ac:dyDescent="0.2">
      <c r="A174" s="6105"/>
      <c r="B174" s="261" t="str">
        <f t="shared" si="2"/>
        <v>Aire12</v>
      </c>
      <c r="C174" s="398"/>
      <c r="D174" s="282" t="s">
        <v>10023</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3908</v>
      </c>
      <c r="W174" s="396" t="s">
        <v>3909</v>
      </c>
      <c r="X174" s="396" t="s">
        <v>3910</v>
      </c>
      <c r="Y174" s="396" t="s">
        <v>3911</v>
      </c>
      <c r="Z174" s="397" t="s">
        <v>3912</v>
      </c>
    </row>
    <row r="175" spans="1:26" ht="12.75" customHeight="1" x14ac:dyDescent="0.2">
      <c r="A175" s="6105"/>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3908</v>
      </c>
      <c r="W175" s="396" t="s">
        <v>3913</v>
      </c>
      <c r="X175" s="396" t="s">
        <v>3914</v>
      </c>
      <c r="Y175" s="396" t="s">
        <v>3915</v>
      </c>
      <c r="Z175" s="397" t="s">
        <v>3916</v>
      </c>
    </row>
    <row r="176" spans="1:26" ht="12.75" customHeight="1" x14ac:dyDescent="0.2">
      <c r="A176" s="6105"/>
      <c r="B176" s="261" t="str">
        <f t="shared" si="2"/>
        <v>Aire20</v>
      </c>
      <c r="C176" s="398"/>
      <c r="D176" s="282" t="s">
        <v>10024</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3917</v>
      </c>
      <c r="W176" s="396" t="s">
        <v>3918</v>
      </c>
      <c r="X176" s="396" t="s">
        <v>3919</v>
      </c>
      <c r="Y176" s="396" t="s">
        <v>3920</v>
      </c>
      <c r="Z176" s="397" t="s">
        <v>3921</v>
      </c>
    </row>
    <row r="177" spans="1:26" ht="12.75" customHeight="1" x14ac:dyDescent="0.2">
      <c r="A177" s="6105"/>
      <c r="B177" s="261" t="str">
        <f t="shared" si="2"/>
        <v>Aire22</v>
      </c>
      <c r="C177" s="398"/>
      <c r="D177" s="282" t="s">
        <v>10025</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3922</v>
      </c>
      <c r="W177" s="396" t="s">
        <v>3923</v>
      </c>
      <c r="X177" s="396" t="s">
        <v>3924</v>
      </c>
      <c r="Y177" s="396" t="s">
        <v>3925</v>
      </c>
      <c r="Z177" s="397" t="s">
        <v>3926</v>
      </c>
    </row>
    <row r="178" spans="1:26" ht="12.75" customHeight="1" x14ac:dyDescent="0.2">
      <c r="A178" s="6105"/>
      <c r="B178" s="261" t="str">
        <f t="shared" si="2"/>
        <v>Aire26</v>
      </c>
      <c r="C178" s="398"/>
      <c r="D178" s="282" t="s">
        <v>7567</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3927</v>
      </c>
      <c r="W178" s="396" t="s">
        <v>3928</v>
      </c>
      <c r="X178" s="396" t="s">
        <v>3929</v>
      </c>
      <c r="Y178" s="396" t="s">
        <v>3930</v>
      </c>
      <c r="Z178" s="397" t="s">
        <v>3931</v>
      </c>
    </row>
    <row r="179" spans="1:26" ht="12.75" customHeight="1" x14ac:dyDescent="0.2">
      <c r="A179" s="6105"/>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3932</v>
      </c>
      <c r="W179" s="396" t="s">
        <v>3933</v>
      </c>
      <c r="X179" s="396" t="s">
        <v>3934</v>
      </c>
      <c r="Y179" s="396" t="s">
        <v>3935</v>
      </c>
      <c r="Z179" s="397" t="s">
        <v>3936</v>
      </c>
    </row>
    <row r="180" spans="1:26" ht="12.75" customHeight="1" x14ac:dyDescent="0.2">
      <c r="A180" s="6105"/>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3937</v>
      </c>
      <c r="W180" s="396" t="s">
        <v>3938</v>
      </c>
      <c r="X180" s="396" t="s">
        <v>3939</v>
      </c>
      <c r="Y180" s="1490" t="s">
        <v>9893</v>
      </c>
      <c r="Z180" s="397" t="s">
        <v>3940</v>
      </c>
    </row>
    <row r="181" spans="1:26" ht="12.75" customHeight="1" x14ac:dyDescent="0.2">
      <c r="A181" s="6105"/>
      <c r="B181" s="261" t="str">
        <f t="shared" si="2"/>
        <v>Aire36</v>
      </c>
      <c r="C181" s="398"/>
      <c r="D181" s="282" t="s">
        <v>10026</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3941</v>
      </c>
      <c r="W181" s="396" t="s">
        <v>3942</v>
      </c>
      <c r="X181" s="396" t="s">
        <v>3943</v>
      </c>
      <c r="Y181" s="396" t="s">
        <v>3944</v>
      </c>
      <c r="Z181" s="397" t="s">
        <v>3945</v>
      </c>
    </row>
    <row r="182" spans="1:26" ht="12.75" customHeight="1" x14ac:dyDescent="0.2">
      <c r="A182" s="6105"/>
      <c r="B182" s="261" t="str">
        <f t="shared" si="2"/>
        <v>Aire40</v>
      </c>
      <c r="C182" s="398"/>
      <c r="D182" s="282" t="s">
        <v>10027</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3946</v>
      </c>
      <c r="W182" s="396" t="s">
        <v>3947</v>
      </c>
      <c r="X182" s="396" t="s">
        <v>3948</v>
      </c>
      <c r="Y182" s="396" t="s">
        <v>3949</v>
      </c>
      <c r="Z182" s="397" t="s">
        <v>3950</v>
      </c>
    </row>
    <row r="183" spans="1:26" ht="12.75" customHeight="1" x14ac:dyDescent="0.2">
      <c r="A183" s="6105"/>
      <c r="B183" s="261" t="str">
        <f t="shared" si="2"/>
        <v>Aire42</v>
      </c>
      <c r="C183" s="398"/>
      <c r="D183" s="282" t="s">
        <v>10028</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3951</v>
      </c>
      <c r="W183" s="396" t="s">
        <v>3952</v>
      </c>
      <c r="X183" s="396" t="s">
        <v>3953</v>
      </c>
      <c r="Y183" s="396" t="s">
        <v>3914</v>
      </c>
      <c r="Z183" s="397" t="s">
        <v>3954</v>
      </c>
    </row>
    <row r="184" spans="1:26" ht="12.75" customHeight="1" x14ac:dyDescent="0.2">
      <c r="A184" s="6105"/>
      <c r="B184" s="261" t="str">
        <f t="shared" si="2"/>
        <v>Aire46</v>
      </c>
      <c r="C184" s="398"/>
      <c r="D184" s="282" t="s">
        <v>10029</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3955</v>
      </c>
      <c r="W184" s="396" t="s">
        <v>3956</v>
      </c>
      <c r="X184" s="396" t="s">
        <v>3957</v>
      </c>
      <c r="Y184" s="396" t="s">
        <v>3958</v>
      </c>
      <c r="Z184" s="397" t="s">
        <v>3959</v>
      </c>
    </row>
    <row r="185" spans="1:26" ht="12.75" customHeight="1" x14ac:dyDescent="0.2">
      <c r="A185" s="6105"/>
      <c r="B185" s="261" t="str">
        <f t="shared" si="2"/>
        <v>Aire50</v>
      </c>
      <c r="C185" s="398"/>
      <c r="D185" s="282" t="s">
        <v>10030</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3960</v>
      </c>
      <c r="W185" s="396" t="s">
        <v>3961</v>
      </c>
      <c r="X185" s="396" t="s">
        <v>3962</v>
      </c>
      <c r="Y185" s="396" t="s">
        <v>3431</v>
      </c>
      <c r="Z185" s="397" t="s">
        <v>3963</v>
      </c>
    </row>
    <row r="186" spans="1:26" ht="12.75" customHeight="1" x14ac:dyDescent="0.2">
      <c r="A186" s="6105"/>
      <c r="B186" s="261" t="str">
        <f t="shared" si="2"/>
        <v>Aire52</v>
      </c>
      <c r="C186" s="398"/>
      <c r="D186" s="282" t="s">
        <v>10031</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3964</v>
      </c>
      <c r="W186" s="396" t="s">
        <v>3965</v>
      </c>
      <c r="X186" s="396" t="s">
        <v>3966</v>
      </c>
      <c r="Y186" s="396" t="s">
        <v>3967</v>
      </c>
      <c r="Z186" s="397" t="s">
        <v>3968</v>
      </c>
    </row>
    <row r="187" spans="1:26" ht="12.75" customHeight="1" x14ac:dyDescent="0.2">
      <c r="A187" s="6105"/>
      <c r="B187" s="261" t="str">
        <f t="shared" si="2"/>
        <v>Aire56</v>
      </c>
      <c r="C187" s="398"/>
      <c r="D187" s="282" t="s">
        <v>10032</v>
      </c>
      <c r="E187" s="394" t="s">
        <v>1607</v>
      </c>
      <c r="F187" s="394">
        <v>56</v>
      </c>
      <c r="G187" s="403" t="s">
        <v>1384</v>
      </c>
      <c r="H187" s="403" t="s">
        <v>3969</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3970</v>
      </c>
      <c r="W187" s="396" t="s">
        <v>3971</v>
      </c>
      <c r="X187" s="396" t="s">
        <v>3972</v>
      </c>
      <c r="Y187" s="396" t="s">
        <v>3973</v>
      </c>
      <c r="Z187" s="397" t="s">
        <v>3974</v>
      </c>
    </row>
    <row r="188" spans="1:26" ht="12.75" customHeight="1" x14ac:dyDescent="0.2">
      <c r="A188" s="6105"/>
      <c r="B188" s="261" t="str">
        <f t="shared" si="2"/>
        <v>Aire60</v>
      </c>
      <c r="C188" s="398"/>
      <c r="D188" s="282" t="s">
        <v>10033</v>
      </c>
      <c r="E188" s="394" t="s">
        <v>1607</v>
      </c>
      <c r="F188" s="394">
        <v>60</v>
      </c>
      <c r="G188" s="403" t="s">
        <v>1384</v>
      </c>
      <c r="H188" s="403" t="s">
        <v>3969</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3975</v>
      </c>
      <c r="W188" s="396" t="s">
        <v>3976</v>
      </c>
      <c r="X188" s="396" t="s">
        <v>3977</v>
      </c>
      <c r="Y188" s="396" t="s">
        <v>3978</v>
      </c>
      <c r="Z188" s="397" t="s">
        <v>3979</v>
      </c>
    </row>
    <row r="189" spans="1:26" ht="12.75" customHeight="1" x14ac:dyDescent="0.2">
      <c r="A189" s="6105"/>
      <c r="B189" s="261" t="str">
        <f t="shared" si="2"/>
        <v>Aire62</v>
      </c>
      <c r="C189" s="398"/>
      <c r="D189" s="282" t="s">
        <v>10034</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3980</v>
      </c>
      <c r="W189" s="396" t="s">
        <v>3981</v>
      </c>
      <c r="X189" s="396" t="s">
        <v>3982</v>
      </c>
      <c r="Y189" s="396" t="s">
        <v>3983</v>
      </c>
      <c r="Z189" s="397" t="s">
        <v>3984</v>
      </c>
    </row>
    <row r="190" spans="1:26" ht="12.75" customHeight="1" x14ac:dyDescent="0.2">
      <c r="A190" s="6105"/>
      <c r="B190" s="261" t="str">
        <f t="shared" si="2"/>
        <v>Aire66</v>
      </c>
      <c r="C190" s="398"/>
      <c r="D190" s="282" t="s">
        <v>10035</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3985</v>
      </c>
      <c r="W190" s="396" t="s">
        <v>3986</v>
      </c>
      <c r="X190" s="396" t="s">
        <v>3987</v>
      </c>
      <c r="Y190" s="396" t="s">
        <v>3988</v>
      </c>
      <c r="Z190" s="397" t="s">
        <v>3989</v>
      </c>
    </row>
    <row r="191" spans="1:26" ht="12.75" customHeight="1" x14ac:dyDescent="0.2">
      <c r="A191" s="6105"/>
      <c r="B191" s="261" t="str">
        <f t="shared" si="2"/>
        <v>Aire70</v>
      </c>
      <c r="C191" s="398"/>
      <c r="D191" s="282" t="s">
        <v>10036</v>
      </c>
      <c r="E191" s="394" t="s">
        <v>1607</v>
      </c>
      <c r="F191" s="394">
        <v>70</v>
      </c>
      <c r="G191" s="403" t="s">
        <v>2094</v>
      </c>
      <c r="H191" s="403" t="s">
        <v>3969</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3990</v>
      </c>
      <c r="W191" s="396" t="s">
        <v>3991</v>
      </c>
      <c r="X191" s="396" t="s">
        <v>3992</v>
      </c>
      <c r="Y191" s="396" t="s">
        <v>3993</v>
      </c>
      <c r="Z191" s="397" t="s">
        <v>3994</v>
      </c>
    </row>
    <row r="192" spans="1:26" ht="12.75" customHeight="1" x14ac:dyDescent="0.2">
      <c r="A192" s="6105"/>
      <c r="B192" s="261" t="str">
        <f t="shared" si="2"/>
        <v>Aire72</v>
      </c>
      <c r="C192" s="398"/>
      <c r="D192" s="282" t="s">
        <v>10037</v>
      </c>
      <c r="E192" s="394" t="s">
        <v>1607</v>
      </c>
      <c r="F192" s="394">
        <v>72</v>
      </c>
      <c r="G192" s="403" t="s">
        <v>1384</v>
      </c>
      <c r="H192" s="403" t="s">
        <v>3995</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3996</v>
      </c>
      <c r="W192" s="396" t="s">
        <v>3997</v>
      </c>
      <c r="X192" s="396" t="s">
        <v>3998</v>
      </c>
      <c r="Y192" s="396" t="s">
        <v>3999</v>
      </c>
      <c r="Z192" s="397" t="s">
        <v>4000</v>
      </c>
    </row>
    <row r="193" spans="1:26" ht="12.75" customHeight="1" x14ac:dyDescent="0.2">
      <c r="A193" s="6105"/>
      <c r="B193" s="261" t="str">
        <f t="shared" si="2"/>
        <v>Aire76</v>
      </c>
      <c r="C193" s="398"/>
      <c r="D193" s="282" t="s">
        <v>10038</v>
      </c>
      <c r="E193" s="394" t="s">
        <v>1607</v>
      </c>
      <c r="F193" s="394">
        <v>76</v>
      </c>
      <c r="G193" s="403" t="s">
        <v>1384</v>
      </c>
      <c r="H193" s="403" t="s">
        <v>4001</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4002</v>
      </c>
      <c r="W193" s="396" t="s">
        <v>4003</v>
      </c>
      <c r="X193" s="396" t="s">
        <v>4004</v>
      </c>
      <c r="Y193" s="396" t="s">
        <v>4005</v>
      </c>
      <c r="Z193" s="397" t="s">
        <v>4006</v>
      </c>
    </row>
    <row r="194" spans="1:26" ht="12.75" customHeight="1" x14ac:dyDescent="0.2">
      <c r="A194" s="6105"/>
      <c r="B194" s="261" t="str">
        <f t="shared" si="2"/>
        <v>Aire80</v>
      </c>
      <c r="C194" s="398"/>
      <c r="D194" s="282" t="s">
        <v>10039</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4007</v>
      </c>
      <c r="W194" s="396" t="s">
        <v>4008</v>
      </c>
      <c r="X194" s="396" t="s">
        <v>4009</v>
      </c>
      <c r="Y194" s="396" t="s">
        <v>4010</v>
      </c>
      <c r="Z194" s="397" t="s">
        <v>4011</v>
      </c>
    </row>
    <row r="195" spans="1:26" ht="12.75" customHeight="1" x14ac:dyDescent="0.2">
      <c r="A195" s="6105"/>
      <c r="B195" s="261" t="str">
        <f t="shared" si="2"/>
        <v>Aire82</v>
      </c>
      <c r="C195" s="398"/>
      <c r="D195" s="282" t="s">
        <v>10040</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4012</v>
      </c>
    </row>
    <row r="196" spans="1:26" ht="12.75" customHeight="1" x14ac:dyDescent="0.2">
      <c r="A196" s="6105"/>
      <c r="B196" s="261" t="str">
        <f t="shared" si="2"/>
        <v>Aire86</v>
      </c>
      <c r="C196" s="398"/>
      <c r="D196" s="282" t="s">
        <v>10041</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4013</v>
      </c>
      <c r="W196" s="396" t="s">
        <v>4014</v>
      </c>
      <c r="X196" s="396" t="s">
        <v>4015</v>
      </c>
      <c r="Y196" s="396" t="s">
        <v>4016</v>
      </c>
      <c r="Z196" s="397" t="s">
        <v>4017</v>
      </c>
    </row>
    <row r="197" spans="1:26" ht="12.75" customHeight="1" x14ac:dyDescent="0.2">
      <c r="A197" s="6105"/>
      <c r="B197" s="261" t="str">
        <f t="shared" si="2"/>
        <v>Aire90</v>
      </c>
      <c r="C197" s="398"/>
      <c r="D197" s="282" t="s">
        <v>10042</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4018</v>
      </c>
      <c r="W197" s="396" t="s">
        <v>4019</v>
      </c>
      <c r="X197" s="396" t="s">
        <v>4020</v>
      </c>
      <c r="Y197" s="396" t="s">
        <v>4021</v>
      </c>
      <c r="Z197" s="397" t="s">
        <v>4022</v>
      </c>
    </row>
    <row r="198" spans="1:26" ht="12.75" customHeight="1" x14ac:dyDescent="0.2">
      <c r="A198" s="6105"/>
      <c r="B198" s="261" t="str">
        <f t="shared" si="2"/>
        <v>Aire92</v>
      </c>
      <c r="C198" s="398"/>
      <c r="D198" s="282" t="s">
        <v>9914</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4023</v>
      </c>
      <c r="W198" s="396" t="s">
        <v>3540</v>
      </c>
      <c r="X198" s="396" t="s">
        <v>3541</v>
      </c>
      <c r="Y198" s="396" t="s">
        <v>3542</v>
      </c>
      <c r="Z198" s="397" t="s">
        <v>4024</v>
      </c>
    </row>
    <row r="199" spans="1:26" ht="12.75" customHeight="1" x14ac:dyDescent="0.2">
      <c r="A199" s="6105"/>
      <c r="B199" s="261" t="str">
        <f t="shared" si="2"/>
        <v>Aire96</v>
      </c>
      <c r="C199" s="398"/>
      <c r="D199" s="282" t="s">
        <v>9915</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4025</v>
      </c>
      <c r="W199" s="396" t="s">
        <v>4026</v>
      </c>
      <c r="X199" s="396" t="s">
        <v>4027</v>
      </c>
      <c r="Y199" s="396" t="s">
        <v>4028</v>
      </c>
      <c r="Z199" s="397" t="s">
        <v>4029</v>
      </c>
    </row>
    <row r="200" spans="1:26" ht="12.75" customHeight="1" x14ac:dyDescent="0.2">
      <c r="A200" s="6105"/>
      <c r="B200" s="261" t="str">
        <f t="shared" ref="B200:B263" si="3">E200&amp;F200</f>
        <v>Aire100</v>
      </c>
      <c r="C200" s="398"/>
      <c r="D200" s="282" t="s">
        <v>9916</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4030</v>
      </c>
      <c r="W200" s="396" t="s">
        <v>4031</v>
      </c>
      <c r="X200" s="396" t="s">
        <v>4032</v>
      </c>
      <c r="Y200" s="396" t="s">
        <v>4033</v>
      </c>
      <c r="Z200" s="397" t="s">
        <v>4034</v>
      </c>
    </row>
    <row r="201" spans="1:26" ht="12.75" customHeight="1" x14ac:dyDescent="0.2">
      <c r="A201" s="6105"/>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05"/>
      <c r="B202" s="261" t="str">
        <f t="shared" si="3"/>
        <v>Agua2</v>
      </c>
      <c r="C202" s="398"/>
      <c r="D202" s="282" t="s">
        <v>9913</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4035</v>
      </c>
      <c r="W202" s="396" t="s">
        <v>4036</v>
      </c>
      <c r="X202" s="396" t="s">
        <v>4037</v>
      </c>
      <c r="Y202" s="396" t="s">
        <v>4038</v>
      </c>
      <c r="Z202" s="397" t="s">
        <v>4039</v>
      </c>
    </row>
    <row r="203" spans="1:26" ht="12.75" customHeight="1" x14ac:dyDescent="0.2">
      <c r="A203" s="6105"/>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4040</v>
      </c>
      <c r="W203" s="396" t="s">
        <v>4041</v>
      </c>
      <c r="X203" s="396" t="s">
        <v>4042</v>
      </c>
      <c r="Y203" s="396" t="s">
        <v>4043</v>
      </c>
      <c r="Z203" s="397" t="s">
        <v>4044</v>
      </c>
    </row>
    <row r="204" spans="1:26" ht="12.75" customHeight="1" x14ac:dyDescent="0.2">
      <c r="A204" s="6105"/>
      <c r="B204" s="261" t="str">
        <f t="shared" si="3"/>
        <v>Agua10</v>
      </c>
      <c r="C204" s="398"/>
      <c r="D204" s="282" t="s">
        <v>9917</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4045</v>
      </c>
      <c r="W204" s="396" t="s">
        <v>4046</v>
      </c>
      <c r="X204" s="396" t="s">
        <v>4047</v>
      </c>
      <c r="Y204" s="396" t="s">
        <v>4048</v>
      </c>
      <c r="Z204" s="397" t="s">
        <v>4049</v>
      </c>
    </row>
    <row r="205" spans="1:26" ht="12.75" customHeight="1" x14ac:dyDescent="0.2">
      <c r="A205" s="6105"/>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4050</v>
      </c>
      <c r="W205" s="396" t="s">
        <v>4051</v>
      </c>
      <c r="X205" s="396" t="s">
        <v>4052</v>
      </c>
      <c r="Y205" s="396" t="s">
        <v>4053</v>
      </c>
      <c r="Z205" s="397" t="s">
        <v>4054</v>
      </c>
    </row>
    <row r="206" spans="1:26" ht="12.75" customHeight="1" x14ac:dyDescent="0.2">
      <c r="A206" s="6105"/>
      <c r="B206" s="261" t="str">
        <f t="shared" si="3"/>
        <v>Agua16</v>
      </c>
      <c r="C206" s="398"/>
      <c r="D206" s="282" t="s">
        <v>9918</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4055</v>
      </c>
      <c r="W206" s="396" t="s">
        <v>4056</v>
      </c>
      <c r="X206" s="396" t="s">
        <v>4057</v>
      </c>
      <c r="Y206" s="396" t="s">
        <v>4058</v>
      </c>
      <c r="Z206" s="397" t="s">
        <v>4059</v>
      </c>
    </row>
    <row r="207" spans="1:26" ht="12.75" customHeight="1" x14ac:dyDescent="0.2">
      <c r="A207" s="6105"/>
      <c r="B207" s="261" t="str">
        <f t="shared" si="3"/>
        <v>Agua20</v>
      </c>
      <c r="C207" s="398"/>
      <c r="D207" s="282" t="s">
        <v>9919</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4060</v>
      </c>
      <c r="W207" s="396" t="s">
        <v>4061</v>
      </c>
      <c r="X207" s="396" t="s">
        <v>4062</v>
      </c>
      <c r="Y207" s="396" t="s">
        <v>4063</v>
      </c>
      <c r="Z207" s="397" t="s">
        <v>4064</v>
      </c>
    </row>
    <row r="208" spans="1:26" ht="12.75" customHeight="1" x14ac:dyDescent="0.2">
      <c r="A208" s="6105"/>
      <c r="B208" s="261" t="str">
        <f t="shared" si="3"/>
        <v>Agua22</v>
      </c>
      <c r="C208" s="398"/>
      <c r="D208" s="282" t="s">
        <v>9912</v>
      </c>
      <c r="E208" s="394" t="s">
        <v>1610</v>
      </c>
      <c r="F208" s="394">
        <v>22</v>
      </c>
      <c r="G208" s="403" t="s">
        <v>2094</v>
      </c>
      <c r="H208" s="403" t="s">
        <v>4065</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4066</v>
      </c>
      <c r="W208" s="396" t="s">
        <v>4067</v>
      </c>
      <c r="X208" s="396" t="s">
        <v>4068</v>
      </c>
      <c r="Y208" s="396" t="s">
        <v>4069</v>
      </c>
      <c r="Z208" s="397" t="s">
        <v>4070</v>
      </c>
    </row>
    <row r="209" spans="1:26" ht="12.75" customHeight="1" x14ac:dyDescent="0.2">
      <c r="A209" s="6105"/>
      <c r="B209" s="261" t="str">
        <f t="shared" si="3"/>
        <v>Agua26</v>
      </c>
      <c r="C209" s="398"/>
      <c r="D209" s="282" t="s">
        <v>9911</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4071</v>
      </c>
      <c r="W209" s="396" t="s">
        <v>4072</v>
      </c>
      <c r="X209" s="396" t="s">
        <v>9910</v>
      </c>
      <c r="Y209" s="396" t="s">
        <v>10143</v>
      </c>
      <c r="Z209" s="397" t="s">
        <v>4073</v>
      </c>
    </row>
    <row r="210" spans="1:26" ht="12.75" customHeight="1" x14ac:dyDescent="0.2">
      <c r="A210" s="6105"/>
      <c r="B210" s="261" t="str">
        <f t="shared" si="3"/>
        <v>Agua30</v>
      </c>
      <c r="C210" s="398"/>
      <c r="D210" s="282" t="s">
        <v>10043</v>
      </c>
      <c r="E210" s="394" t="s">
        <v>1610</v>
      </c>
      <c r="F210" s="394">
        <v>30</v>
      </c>
      <c r="G210" s="403" t="s">
        <v>2094</v>
      </c>
      <c r="H210" s="403" t="s">
        <v>4065</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4074</v>
      </c>
      <c r="W210" s="396" t="s">
        <v>4075</v>
      </c>
      <c r="X210" s="396" t="s">
        <v>4076</v>
      </c>
      <c r="Y210" s="396" t="s">
        <v>4077</v>
      </c>
      <c r="Z210" s="397" t="s">
        <v>4078</v>
      </c>
    </row>
    <row r="211" spans="1:26" ht="12.75" customHeight="1" x14ac:dyDescent="0.2">
      <c r="A211" s="6105"/>
      <c r="B211" s="261" t="str">
        <f t="shared" si="3"/>
        <v>Agua32</v>
      </c>
      <c r="C211" s="398"/>
      <c r="D211" s="282" t="s">
        <v>167</v>
      </c>
      <c r="E211" s="394" t="s">
        <v>1610</v>
      </c>
      <c r="F211" s="394">
        <v>32</v>
      </c>
      <c r="G211" s="403" t="s">
        <v>2094</v>
      </c>
      <c r="H211" s="403" t="s">
        <v>4065</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4079</v>
      </c>
      <c r="W211" s="396" t="s">
        <v>4080</v>
      </c>
      <c r="X211" s="396" t="s">
        <v>4081</v>
      </c>
      <c r="Y211" s="396" t="s">
        <v>4082</v>
      </c>
      <c r="Z211" s="397" t="s">
        <v>4083</v>
      </c>
    </row>
    <row r="212" spans="1:26" ht="12.75" customHeight="1" x14ac:dyDescent="0.2">
      <c r="A212" s="6105"/>
      <c r="B212" s="261" t="str">
        <f t="shared" si="3"/>
        <v>Agua36</v>
      </c>
      <c r="C212" s="398"/>
      <c r="D212" s="282" t="s">
        <v>10044</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4084</v>
      </c>
      <c r="W212" s="396" t="s">
        <v>4085</v>
      </c>
      <c r="X212" s="396" t="s">
        <v>4086</v>
      </c>
      <c r="Y212" s="396" t="s">
        <v>4087</v>
      </c>
      <c r="Z212" s="400" t="s">
        <v>4088</v>
      </c>
    </row>
    <row r="213" spans="1:26" ht="12.75" customHeight="1" x14ac:dyDescent="0.2">
      <c r="A213" s="6105"/>
      <c r="B213" s="261" t="str">
        <f t="shared" si="3"/>
        <v>Agua40</v>
      </c>
      <c r="C213" s="398"/>
      <c r="D213" s="282" t="s">
        <v>10045</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4089</v>
      </c>
      <c r="W213" s="396" t="s">
        <v>4090</v>
      </c>
      <c r="X213" s="396" t="s">
        <v>4091</v>
      </c>
      <c r="Y213" s="396" t="s">
        <v>4092</v>
      </c>
      <c r="Z213" s="397" t="s">
        <v>4093</v>
      </c>
    </row>
    <row r="214" spans="1:26" ht="12.75" customHeight="1" x14ac:dyDescent="0.2">
      <c r="A214" s="6105"/>
      <c r="B214" s="261" t="str">
        <f t="shared" si="3"/>
        <v>Agua42</v>
      </c>
      <c r="C214" s="398"/>
      <c r="D214" s="282" t="s">
        <v>10046</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4094</v>
      </c>
      <c r="W214" s="396" t="s">
        <v>3280</v>
      </c>
      <c r="X214" s="396" t="s">
        <v>4095</v>
      </c>
      <c r="Y214" s="396" t="s">
        <v>4096</v>
      </c>
      <c r="Z214" s="397" t="s">
        <v>4097</v>
      </c>
    </row>
    <row r="215" spans="1:26" ht="12.75" customHeight="1" x14ac:dyDescent="0.2">
      <c r="A215" s="6105"/>
      <c r="B215" s="261" t="str">
        <f t="shared" si="3"/>
        <v>Agua46</v>
      </c>
      <c r="C215" s="398"/>
      <c r="D215" s="282" t="s">
        <v>10047</v>
      </c>
      <c r="E215" s="394" t="s">
        <v>1610</v>
      </c>
      <c r="F215" s="394">
        <v>46</v>
      </c>
      <c r="G215" s="403" t="s">
        <v>1384</v>
      </c>
      <c r="H215" s="403" t="s">
        <v>4065</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4098</v>
      </c>
      <c r="W215" s="396" t="s">
        <v>4099</v>
      </c>
      <c r="X215" s="396" t="s">
        <v>4100</v>
      </c>
      <c r="Y215" s="396" t="s">
        <v>4101</v>
      </c>
      <c r="Z215" s="397" t="s">
        <v>4102</v>
      </c>
    </row>
    <row r="216" spans="1:26" ht="12.75" customHeight="1" x14ac:dyDescent="0.2">
      <c r="A216" s="6105"/>
      <c r="B216" s="261" t="str">
        <f t="shared" si="3"/>
        <v>Agua50</v>
      </c>
      <c r="C216" s="398"/>
      <c r="D216" s="282" t="s">
        <v>10048</v>
      </c>
      <c r="E216" s="394" t="s">
        <v>1610</v>
      </c>
      <c r="F216" s="394">
        <v>50</v>
      </c>
      <c r="G216" s="403" t="s">
        <v>1384</v>
      </c>
      <c r="H216" s="403" t="s">
        <v>4065</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4103</v>
      </c>
      <c r="W216" s="396" t="s">
        <v>4104</v>
      </c>
      <c r="X216" s="396" t="s">
        <v>4105</v>
      </c>
      <c r="Y216" s="396" t="s">
        <v>4106</v>
      </c>
      <c r="Z216" s="397" t="s">
        <v>4107</v>
      </c>
    </row>
    <row r="217" spans="1:26" ht="12.75" customHeight="1" x14ac:dyDescent="0.2">
      <c r="A217" s="6105"/>
      <c r="B217" s="261" t="str">
        <f t="shared" si="3"/>
        <v>Agua52</v>
      </c>
      <c r="C217" s="398"/>
      <c r="D217" s="282" t="s">
        <v>10049</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4108</v>
      </c>
      <c r="W217" s="396" t="s">
        <v>4109</v>
      </c>
      <c r="X217" s="396" t="s">
        <v>4110</v>
      </c>
      <c r="Y217" s="396" t="s">
        <v>4111</v>
      </c>
      <c r="Z217" s="397" t="s">
        <v>4112</v>
      </c>
    </row>
    <row r="218" spans="1:26" ht="12.75" customHeight="1" x14ac:dyDescent="0.2">
      <c r="A218" s="6105"/>
      <c r="B218" s="261" t="str">
        <f t="shared" si="3"/>
        <v>Agua56</v>
      </c>
      <c r="C218" s="398"/>
      <c r="D218" s="282" t="s">
        <v>10050</v>
      </c>
      <c r="E218" s="394" t="s">
        <v>1610</v>
      </c>
      <c r="F218" s="394">
        <v>56</v>
      </c>
      <c r="G218" s="403" t="s">
        <v>1384</v>
      </c>
      <c r="H218" s="403" t="s">
        <v>4113</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4114</v>
      </c>
      <c r="X218" s="396" t="s">
        <v>4115</v>
      </c>
      <c r="Y218" s="396" t="s">
        <v>3359</v>
      </c>
      <c r="Z218" s="397" t="s">
        <v>4116</v>
      </c>
    </row>
    <row r="219" spans="1:26" ht="12.75" customHeight="1" x14ac:dyDescent="0.2">
      <c r="A219" s="6105"/>
      <c r="B219" s="261" t="str">
        <f t="shared" si="3"/>
        <v>Agua60</v>
      </c>
      <c r="C219" s="398"/>
      <c r="D219" s="282" t="s">
        <v>10051</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4117</v>
      </c>
      <c r="X219" s="396" t="s">
        <v>4118</v>
      </c>
      <c r="Y219" s="396" t="s">
        <v>4119</v>
      </c>
      <c r="Z219" s="397" t="s">
        <v>4120</v>
      </c>
    </row>
    <row r="220" spans="1:26" ht="12.75" customHeight="1" x14ac:dyDescent="0.2">
      <c r="A220" s="6105"/>
      <c r="B220" s="261" t="str">
        <f t="shared" si="3"/>
        <v>Agua62</v>
      </c>
      <c r="C220" s="398"/>
      <c r="D220" s="282" t="s">
        <v>10052</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4121</v>
      </c>
      <c r="W220" s="396" t="s">
        <v>4122</v>
      </c>
      <c r="X220" s="396" t="s">
        <v>4123</v>
      </c>
      <c r="Y220" s="396" t="s">
        <v>4124</v>
      </c>
      <c r="Z220" s="397" t="s">
        <v>4125</v>
      </c>
    </row>
    <row r="221" spans="1:26" ht="12.75" customHeight="1" x14ac:dyDescent="0.2">
      <c r="A221" s="6105"/>
      <c r="B221" s="261" t="str">
        <f t="shared" si="3"/>
        <v>Agua66</v>
      </c>
      <c r="C221" s="398"/>
      <c r="D221" s="282" t="s">
        <v>10053</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4126</v>
      </c>
      <c r="W221" s="396" t="s">
        <v>4127</v>
      </c>
      <c r="X221" s="396" t="s">
        <v>4128</v>
      </c>
      <c r="Y221" s="396" t="s">
        <v>4129</v>
      </c>
      <c r="Z221" s="397" t="s">
        <v>4130</v>
      </c>
    </row>
    <row r="222" spans="1:26" ht="12.75" customHeight="1" x14ac:dyDescent="0.2">
      <c r="A222" s="6105"/>
      <c r="B222" s="261" t="str">
        <f t="shared" si="3"/>
        <v>Agua70</v>
      </c>
      <c r="C222" s="398"/>
      <c r="D222" s="282" t="s">
        <v>10054</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4131</v>
      </c>
      <c r="W222" s="396" t="s">
        <v>4132</v>
      </c>
      <c r="X222" s="396" t="s">
        <v>4133</v>
      </c>
      <c r="Y222" s="396" t="s">
        <v>4134</v>
      </c>
      <c r="Z222" s="397" t="s">
        <v>4135</v>
      </c>
    </row>
    <row r="223" spans="1:26" ht="12.75" customHeight="1" x14ac:dyDescent="0.2">
      <c r="A223" s="6105"/>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4136</v>
      </c>
      <c r="W223" s="396" t="s">
        <v>4137</v>
      </c>
      <c r="X223" s="396" t="s">
        <v>4138</v>
      </c>
      <c r="Y223" s="396" t="s">
        <v>4139</v>
      </c>
      <c r="Z223" s="397" t="s">
        <v>4140</v>
      </c>
    </row>
    <row r="224" spans="1:26" ht="12.75" customHeight="1" x14ac:dyDescent="0.2">
      <c r="A224" s="6105"/>
      <c r="B224" s="261" t="str">
        <f t="shared" si="3"/>
        <v>Agua76</v>
      </c>
      <c r="C224" s="398"/>
      <c r="D224" s="282" t="s">
        <v>10055</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4141</v>
      </c>
      <c r="W224" s="396" t="s">
        <v>4142</v>
      </c>
      <c r="X224" s="396" t="s">
        <v>4143</v>
      </c>
      <c r="Y224" s="396" t="s">
        <v>4144</v>
      </c>
      <c r="Z224" s="397" t="s">
        <v>4145</v>
      </c>
    </row>
    <row r="225" spans="1:26" ht="12.75" customHeight="1" x14ac:dyDescent="0.2">
      <c r="A225" s="6105"/>
      <c r="B225" s="261" t="str">
        <f t="shared" si="3"/>
        <v>Agua80</v>
      </c>
      <c r="C225" s="398"/>
      <c r="D225" s="282" t="s">
        <v>10056</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4146</v>
      </c>
      <c r="W225" s="396" t="s">
        <v>4147</v>
      </c>
      <c r="X225" s="396" t="s">
        <v>4148</v>
      </c>
      <c r="Y225" s="396" t="s">
        <v>4149</v>
      </c>
      <c r="Z225" s="397" t="s">
        <v>4150</v>
      </c>
    </row>
    <row r="226" spans="1:26" ht="12.75" customHeight="1" x14ac:dyDescent="0.2">
      <c r="A226" s="6105"/>
      <c r="B226" s="261" t="str">
        <f t="shared" si="3"/>
        <v>Agua82</v>
      </c>
      <c r="C226" s="398"/>
      <c r="D226" s="282" t="s">
        <v>10057</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4151</v>
      </c>
    </row>
    <row r="227" spans="1:26" ht="12.75" customHeight="1" x14ac:dyDescent="0.2">
      <c r="A227" s="6105"/>
      <c r="B227" s="261" t="str">
        <f t="shared" si="3"/>
        <v>Agua86</v>
      </c>
      <c r="C227" s="398"/>
      <c r="D227" s="282" t="s">
        <v>10058</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4152</v>
      </c>
      <c r="W227" s="396" t="s">
        <v>4153</v>
      </c>
      <c r="X227" s="396" t="s">
        <v>4154</v>
      </c>
      <c r="Y227" s="396" t="s">
        <v>4155</v>
      </c>
      <c r="Z227" s="397" t="s">
        <v>4156</v>
      </c>
    </row>
    <row r="228" spans="1:26" ht="12.75" customHeight="1" x14ac:dyDescent="0.2">
      <c r="A228" s="6105"/>
      <c r="B228" s="261" t="str">
        <f t="shared" si="3"/>
        <v>Agua90</v>
      </c>
      <c r="C228" s="398"/>
      <c r="D228" s="282" t="s">
        <v>10059</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4157</v>
      </c>
      <c r="W228" s="396" t="s">
        <v>4158</v>
      </c>
      <c r="X228" s="396" t="s">
        <v>4159</v>
      </c>
      <c r="Y228" s="396" t="s">
        <v>4160</v>
      </c>
      <c r="Z228" s="397" t="s">
        <v>4161</v>
      </c>
    </row>
    <row r="229" spans="1:26" ht="12.75" customHeight="1" x14ac:dyDescent="0.2">
      <c r="A229" s="6105"/>
      <c r="B229" s="261" t="str">
        <f t="shared" si="3"/>
        <v>Agua92</v>
      </c>
      <c r="C229" s="398"/>
      <c r="D229" s="282" t="s">
        <v>10060</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4162</v>
      </c>
      <c r="W229" s="396" t="s">
        <v>4163</v>
      </c>
      <c r="X229" s="396" t="s">
        <v>4164</v>
      </c>
      <c r="Y229" s="396" t="s">
        <v>4165</v>
      </c>
      <c r="Z229" s="397" t="s">
        <v>4166</v>
      </c>
    </row>
    <row r="230" spans="1:26" ht="12.75" customHeight="1" x14ac:dyDescent="0.2">
      <c r="A230" s="6105"/>
      <c r="B230" s="261" t="str">
        <f t="shared" si="3"/>
        <v>Agua96</v>
      </c>
      <c r="C230" s="398"/>
      <c r="D230" s="282" t="s">
        <v>10061</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4162</v>
      </c>
      <c r="W230" s="396" t="s">
        <v>4163</v>
      </c>
      <c r="X230" s="396" t="s">
        <v>4164</v>
      </c>
      <c r="Y230" s="396" t="s">
        <v>4167</v>
      </c>
      <c r="Z230" s="397" t="s">
        <v>4168</v>
      </c>
    </row>
    <row r="231" spans="1:26" ht="12.75" customHeight="1" x14ac:dyDescent="0.2">
      <c r="A231" s="6105"/>
      <c r="B231" s="261" t="str">
        <f t="shared" si="3"/>
        <v>Agua100</v>
      </c>
      <c r="C231" s="398"/>
      <c r="D231" s="282" t="s">
        <v>10062</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4115</v>
      </c>
      <c r="X231" s="396" t="s">
        <v>3359</v>
      </c>
      <c r="Y231" s="396" t="s">
        <v>3360</v>
      </c>
      <c r="Z231" s="397" t="s">
        <v>4169</v>
      </c>
    </row>
    <row r="232" spans="1:26" ht="12.75" customHeight="1" x14ac:dyDescent="0.2">
      <c r="A232" s="6105"/>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05"/>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4170</v>
      </c>
      <c r="W233" s="396" t="s">
        <v>4171</v>
      </c>
      <c r="X233" s="396" t="s">
        <v>4172</v>
      </c>
      <c r="Y233" s="396" t="s">
        <v>4173</v>
      </c>
      <c r="Z233" s="397" t="s">
        <v>4174</v>
      </c>
    </row>
    <row r="234" spans="1:26" ht="12.75" customHeight="1" x14ac:dyDescent="0.2">
      <c r="A234" s="6105"/>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4175</v>
      </c>
      <c r="W234" s="396" t="s">
        <v>4176</v>
      </c>
      <c r="X234" s="396" t="s">
        <v>4177</v>
      </c>
      <c r="Y234" s="396" t="s">
        <v>4178</v>
      </c>
      <c r="Z234" s="397" t="s">
        <v>4179</v>
      </c>
    </row>
    <row r="235" spans="1:26" ht="12.75" customHeight="1" x14ac:dyDescent="0.2">
      <c r="A235" s="6105"/>
      <c r="B235" s="261" t="str">
        <f t="shared" si="3"/>
        <v>Fuego10</v>
      </c>
      <c r="C235" s="398"/>
      <c r="D235" s="282" t="s">
        <v>10063</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4180</v>
      </c>
      <c r="W235" s="396" t="s">
        <v>4181</v>
      </c>
      <c r="X235" s="396" t="s">
        <v>4182</v>
      </c>
      <c r="Y235" s="396" t="s">
        <v>4183</v>
      </c>
      <c r="Z235" s="397" t="s">
        <v>4184</v>
      </c>
    </row>
    <row r="236" spans="1:26" ht="12.75" customHeight="1" x14ac:dyDescent="0.2">
      <c r="A236" s="6105"/>
      <c r="B236" s="261" t="str">
        <f t="shared" si="3"/>
        <v>Fuego12</v>
      </c>
      <c r="C236" s="398"/>
      <c r="D236" s="282" t="s">
        <v>10064</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4185</v>
      </c>
      <c r="W236" s="396" t="s">
        <v>4186</v>
      </c>
      <c r="X236" s="396" t="s">
        <v>4187</v>
      </c>
      <c r="Y236" s="396" t="s">
        <v>4188</v>
      </c>
      <c r="Z236" s="397" t="s">
        <v>4189</v>
      </c>
    </row>
    <row r="237" spans="1:26" ht="12.75" customHeight="1" x14ac:dyDescent="0.2">
      <c r="A237" s="6105"/>
      <c r="B237" s="261" t="str">
        <f t="shared" si="3"/>
        <v>Fuego16</v>
      </c>
      <c r="C237" s="398"/>
      <c r="D237" s="282" t="s">
        <v>10065</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4190</v>
      </c>
      <c r="W237" s="396" t="s">
        <v>4191</v>
      </c>
      <c r="X237" s="396" t="s">
        <v>4192</v>
      </c>
      <c r="Y237" s="396" t="s">
        <v>4193</v>
      </c>
      <c r="Z237" s="397" t="s">
        <v>4194</v>
      </c>
    </row>
    <row r="238" spans="1:26" ht="12.75" customHeight="1" x14ac:dyDescent="0.2">
      <c r="A238" s="6105"/>
      <c r="B238" s="261" t="str">
        <f t="shared" si="3"/>
        <v>Fuego20</v>
      </c>
      <c r="C238" s="398"/>
      <c r="D238" s="282" t="s">
        <v>10066</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4195</v>
      </c>
      <c r="W238" s="396" t="s">
        <v>4196</v>
      </c>
      <c r="X238" s="396" t="s">
        <v>4197</v>
      </c>
      <c r="Y238" s="396" t="s">
        <v>4198</v>
      </c>
      <c r="Z238" s="397" t="s">
        <v>4199</v>
      </c>
    </row>
    <row r="239" spans="1:26" ht="12.75" customHeight="1" x14ac:dyDescent="0.2">
      <c r="A239" s="6105"/>
      <c r="B239" s="261" t="str">
        <f t="shared" si="3"/>
        <v>Fuego22</v>
      </c>
      <c r="C239" s="398"/>
      <c r="D239" s="282" t="s">
        <v>10067</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4200</v>
      </c>
      <c r="W239" s="396" t="s">
        <v>4201</v>
      </c>
      <c r="X239" s="396" t="s">
        <v>4202</v>
      </c>
      <c r="Y239" s="396" t="s">
        <v>4203</v>
      </c>
      <c r="Z239" s="397" t="s">
        <v>4204</v>
      </c>
    </row>
    <row r="240" spans="1:26" ht="12.75" customHeight="1" x14ac:dyDescent="0.2">
      <c r="A240" s="6105"/>
      <c r="B240" s="261" t="str">
        <f t="shared" si="3"/>
        <v>Fuego26</v>
      </c>
      <c r="C240" s="398"/>
      <c r="D240" s="282" t="s">
        <v>10068</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4205</v>
      </c>
      <c r="W240" s="396" t="s">
        <v>4206</v>
      </c>
      <c r="X240" s="396" t="s">
        <v>4207</v>
      </c>
      <c r="Y240" s="396" t="s">
        <v>4208</v>
      </c>
      <c r="Z240" s="397" t="s">
        <v>4209</v>
      </c>
    </row>
    <row r="241" spans="1:26" ht="12.75" customHeight="1" x14ac:dyDescent="0.2">
      <c r="A241" s="6105"/>
      <c r="B241" s="261" t="str">
        <f t="shared" si="3"/>
        <v>Fuego30</v>
      </c>
      <c r="C241" s="398"/>
      <c r="D241" s="282" t="s">
        <v>10069</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4210</v>
      </c>
      <c r="W241" s="396" t="s">
        <v>4211</v>
      </c>
      <c r="X241" s="396" t="s">
        <v>4212</v>
      </c>
      <c r="Y241" s="396" t="s">
        <v>4213</v>
      </c>
      <c r="Z241" s="397" t="s">
        <v>4214</v>
      </c>
    </row>
    <row r="242" spans="1:26" ht="12.75" customHeight="1" x14ac:dyDescent="0.2">
      <c r="A242" s="6105"/>
      <c r="B242" s="261" t="str">
        <f t="shared" si="3"/>
        <v>Fuego32</v>
      </c>
      <c r="C242" s="398"/>
      <c r="D242" s="282" t="s">
        <v>10070</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4215</v>
      </c>
      <c r="W242" s="396" t="s">
        <v>4216</v>
      </c>
      <c r="X242" s="396" t="s">
        <v>4217</v>
      </c>
      <c r="Y242" s="396" t="s">
        <v>4218</v>
      </c>
      <c r="Z242" s="397" t="s">
        <v>4219</v>
      </c>
    </row>
    <row r="243" spans="1:26" ht="12.75" customHeight="1" x14ac:dyDescent="0.2">
      <c r="A243" s="6105"/>
      <c r="B243" s="261" t="str">
        <f t="shared" si="3"/>
        <v>Fuego36</v>
      </c>
      <c r="C243" s="398"/>
      <c r="D243" s="282" t="s">
        <v>10071</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4220</v>
      </c>
      <c r="W243" s="396" t="s">
        <v>4221</v>
      </c>
      <c r="X243" s="396" t="s">
        <v>4222</v>
      </c>
      <c r="Y243" s="396" t="s">
        <v>4223</v>
      </c>
      <c r="Z243" s="397" t="s">
        <v>4224</v>
      </c>
    </row>
    <row r="244" spans="1:26" ht="12.75" customHeight="1" x14ac:dyDescent="0.2">
      <c r="A244" s="6105"/>
      <c r="B244" s="261" t="str">
        <f t="shared" si="3"/>
        <v>Fuego40</v>
      </c>
      <c r="C244" s="398"/>
      <c r="D244" s="282" t="s">
        <v>10072</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4225</v>
      </c>
      <c r="W244" s="396" t="s">
        <v>4226</v>
      </c>
      <c r="X244" s="396" t="s">
        <v>4227</v>
      </c>
      <c r="Y244" s="396" t="s">
        <v>4228</v>
      </c>
      <c r="Z244" s="397" t="s">
        <v>4229</v>
      </c>
    </row>
    <row r="245" spans="1:26" ht="12.75" customHeight="1" x14ac:dyDescent="0.2">
      <c r="A245" s="6105"/>
      <c r="B245" s="261" t="str">
        <f t="shared" si="3"/>
        <v>Fuego42</v>
      </c>
      <c r="C245" s="398"/>
      <c r="D245" s="282" t="s">
        <v>10073</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4230</v>
      </c>
      <c r="W245" s="396" t="s">
        <v>4231</v>
      </c>
      <c r="X245" s="396" t="s">
        <v>4232</v>
      </c>
      <c r="Y245" s="396" t="s">
        <v>4233</v>
      </c>
      <c r="Z245" s="397" t="s">
        <v>4234</v>
      </c>
    </row>
    <row r="246" spans="1:26" ht="12.75" customHeight="1" x14ac:dyDescent="0.2">
      <c r="A246" s="6105"/>
      <c r="B246" s="261" t="str">
        <f t="shared" si="3"/>
        <v>Fuego46</v>
      </c>
      <c r="C246" s="398"/>
      <c r="D246" s="282" t="s">
        <v>10074</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4235</v>
      </c>
      <c r="W246" s="396" t="s">
        <v>4236</v>
      </c>
      <c r="X246" s="396" t="s">
        <v>4237</v>
      </c>
      <c r="Y246" s="396" t="s">
        <v>4238</v>
      </c>
      <c r="Z246" s="397" t="s">
        <v>4239</v>
      </c>
    </row>
    <row r="247" spans="1:26" ht="12.75" customHeight="1" x14ac:dyDescent="0.2">
      <c r="A247" s="6105"/>
      <c r="B247" s="261" t="str">
        <f t="shared" si="3"/>
        <v>Fuego50</v>
      </c>
      <c r="C247" s="398"/>
      <c r="D247" s="282" t="s">
        <v>10075</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4240</v>
      </c>
      <c r="W247" s="396" t="s">
        <v>4241</v>
      </c>
      <c r="X247" s="396" t="s">
        <v>4242</v>
      </c>
      <c r="Y247" s="396" t="s">
        <v>4243</v>
      </c>
      <c r="Z247" s="397" t="s">
        <v>4244</v>
      </c>
    </row>
    <row r="248" spans="1:26" ht="12.75" customHeight="1" x14ac:dyDescent="0.2">
      <c r="A248" s="6105"/>
      <c r="B248" s="261" t="str">
        <f t="shared" si="3"/>
        <v>Fuego52</v>
      </c>
      <c r="C248" s="398"/>
      <c r="D248" s="282" t="s">
        <v>10076</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3964</v>
      </c>
      <c r="W248" s="396" t="s">
        <v>4245</v>
      </c>
      <c r="X248" s="396" t="s">
        <v>4246</v>
      </c>
      <c r="Y248" s="396" t="s">
        <v>4247</v>
      </c>
      <c r="Z248" s="397" t="s">
        <v>4248</v>
      </c>
    </row>
    <row r="249" spans="1:26" ht="12.75" customHeight="1" x14ac:dyDescent="0.2">
      <c r="A249" s="6105"/>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4249</v>
      </c>
      <c r="W249" s="396" t="s">
        <v>4250</v>
      </c>
      <c r="X249" s="396" t="s">
        <v>4251</v>
      </c>
      <c r="Y249" s="396" t="s">
        <v>4252</v>
      </c>
      <c r="Z249" s="397" t="s">
        <v>4253</v>
      </c>
    </row>
    <row r="250" spans="1:26" ht="12.75" customHeight="1" x14ac:dyDescent="0.2">
      <c r="A250" s="6105"/>
      <c r="B250" s="261" t="str">
        <f t="shared" si="3"/>
        <v>Fuego60</v>
      </c>
      <c r="C250" s="398"/>
      <c r="D250" s="282" t="s">
        <v>10077</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4254</v>
      </c>
      <c r="W250" s="396" t="s">
        <v>4255</v>
      </c>
      <c r="X250" s="396" t="s">
        <v>4256</v>
      </c>
      <c r="Y250" s="396" t="s">
        <v>4257</v>
      </c>
      <c r="Z250" s="397" t="s">
        <v>4258</v>
      </c>
    </row>
    <row r="251" spans="1:26" ht="12.75" customHeight="1" x14ac:dyDescent="0.2">
      <c r="A251" s="6105"/>
      <c r="B251" s="261" t="str">
        <f t="shared" si="3"/>
        <v>Fuego62</v>
      </c>
      <c r="C251" s="398"/>
      <c r="D251" s="282" t="s">
        <v>10078</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4259</v>
      </c>
      <c r="W251" s="396" t="s">
        <v>4260</v>
      </c>
      <c r="X251" s="396" t="s">
        <v>4261</v>
      </c>
      <c r="Y251" s="396" t="s">
        <v>4262</v>
      </c>
      <c r="Z251" s="397" t="s">
        <v>4263</v>
      </c>
    </row>
    <row r="252" spans="1:26" ht="12.75" customHeight="1" x14ac:dyDescent="0.2">
      <c r="A252" s="6105"/>
      <c r="B252" s="261" t="str">
        <f t="shared" si="3"/>
        <v>Fuego66</v>
      </c>
      <c r="C252" s="398"/>
      <c r="D252" s="282" t="s">
        <v>10079</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4264</v>
      </c>
      <c r="W252" s="396" t="s">
        <v>4265</v>
      </c>
      <c r="X252" s="396" t="s">
        <v>4266</v>
      </c>
      <c r="Y252" s="396" t="s">
        <v>4267</v>
      </c>
      <c r="Z252" s="397" t="s">
        <v>4268</v>
      </c>
    </row>
    <row r="253" spans="1:26" ht="12.75" customHeight="1" x14ac:dyDescent="0.2">
      <c r="A253" s="6105"/>
      <c r="B253" s="261" t="str">
        <f t="shared" si="3"/>
        <v>Fuego70</v>
      </c>
      <c r="C253" s="398"/>
      <c r="D253" s="282" t="s">
        <v>10080</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4269</v>
      </c>
      <c r="W253" s="396" t="s">
        <v>4270</v>
      </c>
      <c r="X253" s="396" t="s">
        <v>4271</v>
      </c>
      <c r="Y253" s="396" t="s">
        <v>4272</v>
      </c>
      <c r="Z253" s="397" t="s">
        <v>4273</v>
      </c>
    </row>
    <row r="254" spans="1:26" ht="12.75" customHeight="1" x14ac:dyDescent="0.2">
      <c r="A254" s="6105"/>
      <c r="B254" s="261" t="str">
        <f t="shared" si="3"/>
        <v>Fuego72</v>
      </c>
      <c r="C254" s="398"/>
      <c r="D254" s="282" t="s">
        <v>10081</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4265</v>
      </c>
      <c r="W254" s="396" t="s">
        <v>4274</v>
      </c>
      <c r="X254" s="396" t="s">
        <v>4275</v>
      </c>
      <c r="Y254" s="396" t="s">
        <v>4276</v>
      </c>
      <c r="Z254" s="397" t="s">
        <v>4277</v>
      </c>
    </row>
    <row r="255" spans="1:26" ht="12.75" customHeight="1" x14ac:dyDescent="0.2">
      <c r="A255" s="6105"/>
      <c r="B255" s="261" t="str">
        <f t="shared" si="3"/>
        <v>Fuego76</v>
      </c>
      <c r="C255" s="398"/>
      <c r="D255" s="282" t="s">
        <v>10082</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4278</v>
      </c>
      <c r="W255" s="396" t="s">
        <v>4279</v>
      </c>
      <c r="X255" s="396" t="s">
        <v>4280</v>
      </c>
      <c r="Y255" s="396" t="s">
        <v>4281</v>
      </c>
      <c r="Z255" s="397" t="s">
        <v>4282</v>
      </c>
    </row>
    <row r="256" spans="1:26" ht="12.75" customHeight="1" x14ac:dyDescent="0.2">
      <c r="A256" s="6105"/>
      <c r="B256" s="261" t="str">
        <f t="shared" si="3"/>
        <v>Fuego80</v>
      </c>
      <c r="C256" s="398"/>
      <c r="D256" s="282" t="s">
        <v>10083</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4283</v>
      </c>
      <c r="W256" s="396" t="s">
        <v>4284</v>
      </c>
      <c r="X256" s="396" t="s">
        <v>4285</v>
      </c>
      <c r="Y256" s="396" t="s">
        <v>4286</v>
      </c>
      <c r="Z256" s="397" t="s">
        <v>4287</v>
      </c>
    </row>
    <row r="257" spans="1:26" ht="12.75" customHeight="1" x14ac:dyDescent="0.2">
      <c r="A257" s="6105"/>
      <c r="B257" s="261" t="str">
        <f t="shared" si="3"/>
        <v>Fuego82</v>
      </c>
      <c r="C257" s="398"/>
      <c r="D257" s="282" t="s">
        <v>10084</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4288</v>
      </c>
    </row>
    <row r="258" spans="1:26" ht="12.75" customHeight="1" x14ac:dyDescent="0.2">
      <c r="A258" s="6105"/>
      <c r="B258" s="261" t="str">
        <f t="shared" si="3"/>
        <v>Fuego86</v>
      </c>
      <c r="C258" s="398"/>
      <c r="D258" s="282" t="s">
        <v>10085</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4289</v>
      </c>
      <c r="W258" s="396" t="s">
        <v>4290</v>
      </c>
      <c r="X258" s="396" t="s">
        <v>4291</v>
      </c>
      <c r="Y258" s="396" t="s">
        <v>4292</v>
      </c>
      <c r="Z258" s="397" t="s">
        <v>4293</v>
      </c>
    </row>
    <row r="259" spans="1:26" ht="12.75" customHeight="1" x14ac:dyDescent="0.2">
      <c r="A259" s="6105"/>
      <c r="B259" s="261" t="str">
        <f t="shared" si="3"/>
        <v>Fuego90</v>
      </c>
      <c r="C259" s="398"/>
      <c r="D259" s="282" t="s">
        <v>10086</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4294</v>
      </c>
      <c r="W259" s="396" t="s">
        <v>4295</v>
      </c>
      <c r="X259" s="396" t="s">
        <v>4296</v>
      </c>
      <c r="Y259" s="396" t="s">
        <v>4297</v>
      </c>
      <c r="Z259" s="397" t="s">
        <v>4298</v>
      </c>
    </row>
    <row r="260" spans="1:26" ht="12.75" customHeight="1" x14ac:dyDescent="0.2">
      <c r="A260" s="6105"/>
      <c r="B260" s="261" t="str">
        <f t="shared" si="3"/>
        <v>Fuego92</v>
      </c>
      <c r="C260" s="398"/>
      <c r="D260" s="282" t="s">
        <v>10087</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4299</v>
      </c>
      <c r="W260" s="396" t="s">
        <v>4300</v>
      </c>
      <c r="X260" s="396" t="s">
        <v>4301</v>
      </c>
      <c r="Y260" s="396" t="s">
        <v>4302</v>
      </c>
      <c r="Z260" s="397" t="s">
        <v>4303</v>
      </c>
    </row>
    <row r="261" spans="1:26" ht="12.75" customHeight="1" x14ac:dyDescent="0.2">
      <c r="A261" s="6105"/>
      <c r="B261" s="261" t="str">
        <f t="shared" si="3"/>
        <v>Fuego96</v>
      </c>
      <c r="C261" s="398"/>
      <c r="D261" s="282" t="s">
        <v>10088</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4304</v>
      </c>
      <c r="W261" s="396" t="s">
        <v>4305</v>
      </c>
      <c r="X261" s="396" t="s">
        <v>4306</v>
      </c>
      <c r="Y261" s="396" t="s">
        <v>4307</v>
      </c>
      <c r="Z261" s="397" t="s">
        <v>4308</v>
      </c>
    </row>
    <row r="262" spans="1:26" ht="12.75" customHeight="1" x14ac:dyDescent="0.2">
      <c r="A262" s="6105"/>
      <c r="B262" s="261" t="str">
        <f t="shared" si="3"/>
        <v>Fuego100</v>
      </c>
      <c r="C262" s="398"/>
      <c r="D262" s="282" t="s">
        <v>10089</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4309</v>
      </c>
      <c r="W262" s="396" t="s">
        <v>4310</v>
      </c>
      <c r="X262" s="396" t="s">
        <v>4311</v>
      </c>
      <c r="Y262" s="396" t="s">
        <v>4312</v>
      </c>
      <c r="Z262" s="397" t="s">
        <v>4313</v>
      </c>
    </row>
    <row r="263" spans="1:26" ht="12.75" customHeight="1" x14ac:dyDescent="0.2">
      <c r="A263" s="6105"/>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05"/>
      <c r="B264" s="261" t="str">
        <f t="shared" ref="B264:B327" si="4">E264&amp;F264</f>
        <v>Tierra2</v>
      </c>
      <c r="C264" s="398"/>
      <c r="D264" s="282" t="s">
        <v>10090</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4314</v>
      </c>
      <c r="V264" s="396" t="s">
        <v>4315</v>
      </c>
      <c r="W264" s="396" t="s">
        <v>3544</v>
      </c>
      <c r="X264" s="396" t="s">
        <v>4316</v>
      </c>
      <c r="Y264" s="396" t="s">
        <v>3433</v>
      </c>
      <c r="Z264" s="397" t="s">
        <v>4317</v>
      </c>
    </row>
    <row r="265" spans="1:26" ht="12.75" customHeight="1" x14ac:dyDescent="0.2">
      <c r="A265" s="6105"/>
      <c r="B265" s="261" t="str">
        <f t="shared" si="4"/>
        <v>Tierra6</v>
      </c>
      <c r="C265" s="398"/>
      <c r="D265" s="282" t="s">
        <v>10091</v>
      </c>
      <c r="E265" s="394" t="s">
        <v>1708</v>
      </c>
      <c r="F265" s="394">
        <v>6</v>
      </c>
      <c r="G265" s="403" t="s">
        <v>2094</v>
      </c>
      <c r="H265" s="403" t="s">
        <v>3969</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4318</v>
      </c>
      <c r="W265" s="396" t="s">
        <v>4319</v>
      </c>
      <c r="X265" s="396" t="s">
        <v>4320</v>
      </c>
      <c r="Y265" s="396" t="s">
        <v>4321</v>
      </c>
      <c r="Z265" s="397" t="s">
        <v>4322</v>
      </c>
    </row>
    <row r="266" spans="1:26" ht="12.75" customHeight="1" x14ac:dyDescent="0.2">
      <c r="A266" s="6105"/>
      <c r="B266" s="261" t="str">
        <f t="shared" si="4"/>
        <v>Tierra10</v>
      </c>
      <c r="C266" s="398"/>
      <c r="D266" s="282" t="s">
        <v>10092</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4323</v>
      </c>
      <c r="W266" s="396" t="s">
        <v>4324</v>
      </c>
      <c r="X266" s="396" t="s">
        <v>4325</v>
      </c>
      <c r="Y266" s="396" t="s">
        <v>4326</v>
      </c>
      <c r="Z266" s="397" t="s">
        <v>4327</v>
      </c>
    </row>
    <row r="267" spans="1:26" ht="12.75" customHeight="1" x14ac:dyDescent="0.2">
      <c r="A267" s="6105"/>
      <c r="B267" s="261" t="str">
        <f t="shared" si="4"/>
        <v>Tierra12</v>
      </c>
      <c r="C267" s="398"/>
      <c r="D267" s="282" t="s">
        <v>10093</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4328</v>
      </c>
      <c r="W267" s="396" t="s">
        <v>4329</v>
      </c>
      <c r="X267" s="396" t="s">
        <v>4330</v>
      </c>
      <c r="Y267" s="396" t="s">
        <v>4331</v>
      </c>
      <c r="Z267" s="397" t="s">
        <v>4332</v>
      </c>
    </row>
    <row r="268" spans="1:26" ht="12.75" customHeight="1" x14ac:dyDescent="0.2">
      <c r="A268" s="6105"/>
      <c r="B268" s="261" t="str">
        <f t="shared" si="4"/>
        <v>Tierra16</v>
      </c>
      <c r="C268" s="398"/>
      <c r="D268" s="282" t="s">
        <v>10094</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4333</v>
      </c>
      <c r="W268" s="396" t="s">
        <v>4334</v>
      </c>
      <c r="X268" s="396" t="s">
        <v>4335</v>
      </c>
      <c r="Y268" s="396" t="s">
        <v>4336</v>
      </c>
      <c r="Z268" s="397" t="s">
        <v>4337</v>
      </c>
    </row>
    <row r="269" spans="1:26" ht="12.75" customHeight="1" x14ac:dyDescent="0.2">
      <c r="A269" s="6105"/>
      <c r="B269" s="261" t="str">
        <f t="shared" si="4"/>
        <v>Tierra20</v>
      </c>
      <c r="C269" s="398"/>
      <c r="D269" s="282" t="s">
        <v>10095</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4338</v>
      </c>
      <c r="W269" s="396" t="s">
        <v>4339</v>
      </c>
      <c r="X269" s="396" t="s">
        <v>4340</v>
      </c>
      <c r="Y269" s="396" t="s">
        <v>4341</v>
      </c>
      <c r="Z269" s="397" t="s">
        <v>4342</v>
      </c>
    </row>
    <row r="270" spans="1:26" ht="12.75" customHeight="1" x14ac:dyDescent="0.2">
      <c r="A270" s="6105"/>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4343</v>
      </c>
      <c r="W270" s="396" t="s">
        <v>4344</v>
      </c>
      <c r="X270" s="396" t="s">
        <v>4345</v>
      </c>
      <c r="Y270" s="396" t="s">
        <v>4346</v>
      </c>
      <c r="Z270" s="397" t="s">
        <v>10202</v>
      </c>
    </row>
    <row r="271" spans="1:26" ht="12.75" customHeight="1" x14ac:dyDescent="0.2">
      <c r="A271" s="6105"/>
      <c r="B271" s="261" t="str">
        <f t="shared" si="4"/>
        <v>Tierra26</v>
      </c>
      <c r="C271" s="398"/>
      <c r="D271" s="282" t="s">
        <v>10096</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4347</v>
      </c>
      <c r="W271" s="396" t="s">
        <v>4348</v>
      </c>
      <c r="X271" s="396" t="s">
        <v>4349</v>
      </c>
      <c r="Y271" s="396" t="s">
        <v>4350</v>
      </c>
      <c r="Z271" s="397" t="s">
        <v>4351</v>
      </c>
    </row>
    <row r="272" spans="1:26" ht="12.75" customHeight="1" x14ac:dyDescent="0.2">
      <c r="A272" s="6105"/>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3922</v>
      </c>
      <c r="W272" s="396" t="s">
        <v>4352</v>
      </c>
      <c r="X272" s="396" t="s">
        <v>4353</v>
      </c>
      <c r="Y272" s="396" t="s">
        <v>4354</v>
      </c>
      <c r="Z272" s="397" t="s">
        <v>4355</v>
      </c>
    </row>
    <row r="273" spans="1:26" ht="12.75" customHeight="1" x14ac:dyDescent="0.2">
      <c r="A273" s="6105"/>
      <c r="B273" s="261" t="str">
        <f t="shared" si="4"/>
        <v>Tierra32</v>
      </c>
      <c r="C273" s="398"/>
      <c r="D273" s="282" t="s">
        <v>10097</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4356</v>
      </c>
      <c r="X273" s="396" t="s">
        <v>3692</v>
      </c>
      <c r="Y273" s="396" t="s">
        <v>3693</v>
      </c>
      <c r="Z273" s="397" t="s">
        <v>4357</v>
      </c>
    </row>
    <row r="274" spans="1:26" ht="12.75" customHeight="1" x14ac:dyDescent="0.2">
      <c r="A274" s="6105"/>
      <c r="B274" s="261" t="str">
        <f t="shared" si="4"/>
        <v>Tierra36</v>
      </c>
      <c r="C274" s="398"/>
      <c r="D274" s="282" t="s">
        <v>10098</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4358</v>
      </c>
      <c r="W274" s="396" t="s">
        <v>4359</v>
      </c>
      <c r="X274" s="396" t="s">
        <v>4360</v>
      </c>
      <c r="Y274" s="396" t="s">
        <v>4361</v>
      </c>
      <c r="Z274" s="397" t="s">
        <v>4362</v>
      </c>
    </row>
    <row r="275" spans="1:26" ht="12.75" customHeight="1" x14ac:dyDescent="0.2">
      <c r="A275" s="6105"/>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4363</v>
      </c>
      <c r="W275" s="396" t="s">
        <v>4364</v>
      </c>
      <c r="X275" s="396" t="s">
        <v>4365</v>
      </c>
      <c r="Y275" s="396" t="s">
        <v>4366</v>
      </c>
      <c r="Z275" s="397" t="s">
        <v>4367</v>
      </c>
    </row>
    <row r="276" spans="1:26" ht="12.75" customHeight="1" x14ac:dyDescent="0.2">
      <c r="A276" s="6105"/>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4368</v>
      </c>
      <c r="W276" s="396" t="s">
        <v>4369</v>
      </c>
      <c r="X276" s="396" t="s">
        <v>4370</v>
      </c>
      <c r="Y276" s="396" t="s">
        <v>4371</v>
      </c>
      <c r="Z276" s="397" t="s">
        <v>4372</v>
      </c>
    </row>
    <row r="277" spans="1:26" ht="12.75" customHeight="1" x14ac:dyDescent="0.2">
      <c r="A277" s="6105"/>
      <c r="B277" s="261" t="str">
        <f t="shared" si="4"/>
        <v>Tierra46</v>
      </c>
      <c r="C277" s="398"/>
      <c r="D277" s="282" t="s">
        <v>10099</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4373</v>
      </c>
      <c r="W277" s="396" t="s">
        <v>4374</v>
      </c>
      <c r="X277" s="396" t="s">
        <v>4375</v>
      </c>
      <c r="Y277" s="396" t="s">
        <v>4376</v>
      </c>
      <c r="Z277" s="397" t="s">
        <v>4377</v>
      </c>
    </row>
    <row r="278" spans="1:26" ht="12.75" customHeight="1" x14ac:dyDescent="0.2">
      <c r="A278" s="6105"/>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4378</v>
      </c>
      <c r="W278" s="396" t="s">
        <v>4379</v>
      </c>
      <c r="X278" s="396" t="s">
        <v>4380</v>
      </c>
      <c r="Y278" s="396" t="s">
        <v>4381</v>
      </c>
      <c r="Z278" s="397" t="s">
        <v>4382</v>
      </c>
    </row>
    <row r="279" spans="1:26" ht="12.75" customHeight="1" x14ac:dyDescent="0.2">
      <c r="A279" s="6105"/>
      <c r="B279" s="261" t="str">
        <f t="shared" si="4"/>
        <v>Tierra52</v>
      </c>
      <c r="C279" s="398"/>
      <c r="D279" s="282" t="s">
        <v>10100</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4383</v>
      </c>
      <c r="W279" s="396" t="s">
        <v>4384</v>
      </c>
      <c r="X279" s="396" t="s">
        <v>4385</v>
      </c>
      <c r="Y279" s="396" t="s">
        <v>4386</v>
      </c>
      <c r="Z279" s="397" t="s">
        <v>4387</v>
      </c>
    </row>
    <row r="280" spans="1:26" ht="12.75" customHeight="1" x14ac:dyDescent="0.2">
      <c r="A280" s="6105"/>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4388</v>
      </c>
      <c r="W280" s="396" t="s">
        <v>4389</v>
      </c>
      <c r="X280" s="396" t="s">
        <v>4390</v>
      </c>
      <c r="Y280" s="396" t="s">
        <v>4391</v>
      </c>
      <c r="Z280" s="397" t="s">
        <v>4392</v>
      </c>
    </row>
    <row r="281" spans="1:26" ht="12.75" customHeight="1" x14ac:dyDescent="0.2">
      <c r="A281" s="6105"/>
      <c r="B281" s="261" t="str">
        <f t="shared" si="4"/>
        <v>Tierra60</v>
      </c>
      <c r="C281" s="398"/>
      <c r="D281" s="282" t="s">
        <v>10101</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4393</v>
      </c>
      <c r="X281" s="396" t="s">
        <v>3358</v>
      </c>
      <c r="Y281" s="396" t="s">
        <v>3819</v>
      </c>
      <c r="Z281" s="397" t="s">
        <v>4394</v>
      </c>
    </row>
    <row r="282" spans="1:26" ht="12.75" customHeight="1" x14ac:dyDescent="0.2">
      <c r="A282" s="6105"/>
      <c r="B282" s="261" t="str">
        <f t="shared" si="4"/>
        <v>Tierra62</v>
      </c>
      <c r="C282" s="398"/>
      <c r="D282" s="282" t="s">
        <v>10102</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4395</v>
      </c>
      <c r="W282" s="396" t="s">
        <v>4396</v>
      </c>
      <c r="X282" s="396" t="s">
        <v>4397</v>
      </c>
      <c r="Y282" s="396" t="s">
        <v>4398</v>
      </c>
      <c r="Z282" s="397" t="s">
        <v>4399</v>
      </c>
    </row>
    <row r="283" spans="1:26" ht="12.75" customHeight="1" x14ac:dyDescent="0.2">
      <c r="A283" s="6105"/>
      <c r="B283" s="261" t="str">
        <f t="shared" si="4"/>
        <v>Tierra66</v>
      </c>
      <c r="C283" s="398"/>
      <c r="D283" s="282" t="s">
        <v>10103</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4400</v>
      </c>
      <c r="W283" s="396" t="s">
        <v>4401</v>
      </c>
      <c r="X283" s="396" t="s">
        <v>4402</v>
      </c>
      <c r="Y283" s="396" t="s">
        <v>4403</v>
      </c>
      <c r="Z283" s="397" t="s">
        <v>4404</v>
      </c>
    </row>
    <row r="284" spans="1:26" ht="12.75" customHeight="1" x14ac:dyDescent="0.2">
      <c r="A284" s="6105"/>
      <c r="B284" s="261" t="str">
        <f t="shared" si="4"/>
        <v>Tierra70</v>
      </c>
      <c r="C284" s="398"/>
      <c r="D284" s="282" t="s">
        <v>10104</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4405</v>
      </c>
      <c r="W284" s="396" t="s">
        <v>4406</v>
      </c>
      <c r="X284" s="396" t="s">
        <v>4407</v>
      </c>
      <c r="Y284" s="396" t="s">
        <v>4408</v>
      </c>
      <c r="Z284" s="397" t="s">
        <v>4409</v>
      </c>
    </row>
    <row r="285" spans="1:26" ht="12.75" customHeight="1" x14ac:dyDescent="0.2">
      <c r="A285" s="6105"/>
      <c r="B285" s="261" t="str">
        <f t="shared" si="4"/>
        <v>Tierra72</v>
      </c>
      <c r="C285" s="398"/>
      <c r="D285" s="282" t="s">
        <v>10105</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4410</v>
      </c>
      <c r="X285" s="396" t="s">
        <v>4411</v>
      </c>
      <c r="Y285" s="396" t="s">
        <v>4412</v>
      </c>
      <c r="Z285" s="397" t="s">
        <v>4413</v>
      </c>
    </row>
    <row r="286" spans="1:26" ht="12.75" customHeight="1" x14ac:dyDescent="0.2">
      <c r="A286" s="6105"/>
      <c r="B286" s="261" t="str">
        <f t="shared" si="4"/>
        <v>Tierra76</v>
      </c>
      <c r="C286" s="398"/>
      <c r="D286" s="282" t="s">
        <v>10106</v>
      </c>
      <c r="E286" s="394" t="s">
        <v>1708</v>
      </c>
      <c r="F286" s="394">
        <v>76</v>
      </c>
      <c r="G286" s="403" t="s">
        <v>1384</v>
      </c>
      <c r="H286" s="403" t="s">
        <v>4414</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4410</v>
      </c>
      <c r="X286" s="396" t="s">
        <v>4411</v>
      </c>
      <c r="Y286" s="396" t="s">
        <v>4412</v>
      </c>
      <c r="Z286" s="397" t="s">
        <v>4415</v>
      </c>
    </row>
    <row r="287" spans="1:26" ht="12.75" customHeight="1" x14ac:dyDescent="0.2">
      <c r="A287" s="6105"/>
      <c r="B287" s="261" t="str">
        <f t="shared" si="4"/>
        <v>Tierra80</v>
      </c>
      <c r="C287" s="398"/>
      <c r="D287" s="282" t="s">
        <v>10107</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4416</v>
      </c>
      <c r="W287" s="396" t="s">
        <v>3544</v>
      </c>
      <c r="X287" s="396" t="s">
        <v>3432</v>
      </c>
      <c r="Y287" s="396" t="s">
        <v>4316</v>
      </c>
      <c r="Z287" s="397" t="s">
        <v>4417</v>
      </c>
    </row>
    <row r="288" spans="1:26" ht="12.75" customHeight="1" x14ac:dyDescent="0.2">
      <c r="A288" s="6105"/>
      <c r="B288" s="261" t="str">
        <f t="shared" si="4"/>
        <v>Tierra82</v>
      </c>
      <c r="C288" s="398"/>
      <c r="D288" s="282" t="s">
        <v>10108</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4418</v>
      </c>
      <c r="Y288" s="396" t="s">
        <v>4419</v>
      </c>
      <c r="Z288" s="397" t="s">
        <v>4420</v>
      </c>
    </row>
    <row r="289" spans="1:26" ht="12.75" customHeight="1" x14ac:dyDescent="0.2">
      <c r="A289" s="6105"/>
      <c r="B289" s="261" t="str">
        <f t="shared" si="4"/>
        <v>Tierra86</v>
      </c>
      <c r="C289" s="398"/>
      <c r="D289" s="282" t="s">
        <v>10109</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4421</v>
      </c>
      <c r="W289" s="396" t="s">
        <v>4422</v>
      </c>
      <c r="X289" s="396" t="s">
        <v>4423</v>
      </c>
      <c r="Y289" s="396" t="s">
        <v>4424</v>
      </c>
      <c r="Z289" s="397" t="s">
        <v>4425</v>
      </c>
    </row>
    <row r="290" spans="1:26" ht="12.75" customHeight="1" x14ac:dyDescent="0.2">
      <c r="A290" s="6105"/>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4426</v>
      </c>
      <c r="W290" s="396" t="s">
        <v>4427</v>
      </c>
      <c r="X290" s="396" t="s">
        <v>4428</v>
      </c>
      <c r="Y290" s="396" t="s">
        <v>4429</v>
      </c>
      <c r="Z290" s="397" t="s">
        <v>4430</v>
      </c>
    </row>
    <row r="291" spans="1:26" ht="12.75" customHeight="1" x14ac:dyDescent="0.2">
      <c r="A291" s="6105"/>
      <c r="B291" s="261" t="str">
        <f t="shared" si="4"/>
        <v>Tierra92</v>
      </c>
      <c r="C291" s="398"/>
      <c r="D291" s="282" t="s">
        <v>10110</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4431</v>
      </c>
      <c r="W291" s="396" t="s">
        <v>4432</v>
      </c>
      <c r="X291" s="396" t="s">
        <v>4433</v>
      </c>
      <c r="Y291" s="396" t="s">
        <v>4434</v>
      </c>
      <c r="Z291" s="397" t="s">
        <v>4435</v>
      </c>
    </row>
    <row r="292" spans="1:26" ht="12.75" customHeight="1" x14ac:dyDescent="0.2">
      <c r="A292" s="6105"/>
      <c r="B292" s="261" t="str">
        <f t="shared" si="4"/>
        <v>Tierra96</v>
      </c>
      <c r="C292" s="398"/>
      <c r="D292" s="282" t="s">
        <v>10111</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4436</v>
      </c>
      <c r="W292" s="396" t="s">
        <v>4437</v>
      </c>
      <c r="X292" s="396" t="s">
        <v>4438</v>
      </c>
      <c r="Y292" s="396" t="s">
        <v>4439</v>
      </c>
      <c r="Z292" s="397" t="s">
        <v>4440</v>
      </c>
    </row>
    <row r="293" spans="1:26" ht="12.75" customHeight="1" x14ac:dyDescent="0.2">
      <c r="A293" s="6105"/>
      <c r="B293" s="261" t="str">
        <f t="shared" si="4"/>
        <v>Tierra100</v>
      </c>
      <c r="C293" s="398"/>
      <c r="D293" s="282" t="s">
        <v>10112</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4441</v>
      </c>
      <c r="W293" s="396" t="s">
        <v>4442</v>
      </c>
      <c r="X293" s="396" t="s">
        <v>4443</v>
      </c>
      <c r="Y293" s="396" t="s">
        <v>4444</v>
      </c>
      <c r="Z293" s="397" t="s">
        <v>4445</v>
      </c>
    </row>
    <row r="294" spans="1:26" ht="12.75" customHeight="1" x14ac:dyDescent="0.2">
      <c r="A294" s="6105"/>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05"/>
      <c r="B295" s="261" t="str">
        <f t="shared" si="4"/>
        <v>Esencia2</v>
      </c>
      <c r="C295" s="398"/>
      <c r="D295" s="282" t="s">
        <v>10113</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4446</v>
      </c>
      <c r="W295" s="396" t="s">
        <v>4447</v>
      </c>
      <c r="X295" s="396" t="s">
        <v>4448</v>
      </c>
      <c r="Y295" s="396" t="s">
        <v>4449</v>
      </c>
      <c r="Z295" s="397" t="s">
        <v>4450</v>
      </c>
    </row>
    <row r="296" spans="1:26" ht="12.75" customHeight="1" x14ac:dyDescent="0.2">
      <c r="A296" s="6105"/>
      <c r="B296" s="261" t="str">
        <f t="shared" si="4"/>
        <v>Esencia6</v>
      </c>
      <c r="C296" s="398"/>
      <c r="D296" s="282" t="s">
        <v>307</v>
      </c>
      <c r="E296" s="394" t="s">
        <v>1713</v>
      </c>
      <c r="F296" s="394">
        <v>6</v>
      </c>
      <c r="G296" s="403" t="s">
        <v>1384</v>
      </c>
      <c r="H296" s="403" t="s">
        <v>4113</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4451</v>
      </c>
      <c r="W296" s="396" t="s">
        <v>3826</v>
      </c>
      <c r="X296" s="396" t="s">
        <v>4452</v>
      </c>
      <c r="Y296" s="396" t="s">
        <v>4453</v>
      </c>
      <c r="Z296" s="397" t="s">
        <v>4454</v>
      </c>
    </row>
    <row r="297" spans="1:26" ht="12.75" customHeight="1" x14ac:dyDescent="0.2">
      <c r="A297" s="6105"/>
      <c r="B297" s="261" t="str">
        <f t="shared" si="4"/>
        <v>Esencia10</v>
      </c>
      <c r="C297" s="398"/>
      <c r="D297" s="282" t="s">
        <v>10114</v>
      </c>
      <c r="E297" s="394" t="s">
        <v>1713</v>
      </c>
      <c r="F297" s="394">
        <v>10</v>
      </c>
      <c r="G297" s="403" t="s">
        <v>2094</v>
      </c>
      <c r="H297" s="403" t="s">
        <v>4113</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4455</v>
      </c>
      <c r="W297" s="396" t="s">
        <v>4456</v>
      </c>
      <c r="X297" s="396" t="s">
        <v>4457</v>
      </c>
      <c r="Y297" s="396" t="s">
        <v>4458</v>
      </c>
      <c r="Z297" s="397" t="s">
        <v>4459</v>
      </c>
    </row>
    <row r="298" spans="1:26" ht="12.75" customHeight="1" x14ac:dyDescent="0.2">
      <c r="A298" s="6105"/>
      <c r="B298" s="261" t="str">
        <f t="shared" si="4"/>
        <v>Esencia12</v>
      </c>
      <c r="C298" s="398"/>
      <c r="D298" s="282" t="s">
        <v>10115</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4460</v>
      </c>
      <c r="W298" s="396" t="s">
        <v>4461</v>
      </c>
      <c r="X298" s="396" t="s">
        <v>4462</v>
      </c>
      <c r="Y298" s="396" t="s">
        <v>4463</v>
      </c>
      <c r="Z298" s="397" t="s">
        <v>4464</v>
      </c>
    </row>
    <row r="299" spans="1:26" ht="12.75" customHeight="1" x14ac:dyDescent="0.2">
      <c r="A299" s="6105"/>
      <c r="B299" s="261" t="str">
        <f t="shared" si="4"/>
        <v>Esencia16</v>
      </c>
      <c r="C299" s="398"/>
      <c r="D299" s="282" t="s">
        <v>10116</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4465</v>
      </c>
      <c r="W299" s="396" t="s">
        <v>4466</v>
      </c>
      <c r="X299" s="396" t="s">
        <v>4467</v>
      </c>
      <c r="Y299" s="396" t="s">
        <v>4468</v>
      </c>
      <c r="Z299" s="397" t="s">
        <v>4469</v>
      </c>
    </row>
    <row r="300" spans="1:26" ht="12.75" customHeight="1" x14ac:dyDescent="0.2">
      <c r="A300" s="6105"/>
      <c r="B300" s="261" t="str">
        <f t="shared" si="4"/>
        <v>Esencia20</v>
      </c>
      <c r="C300" s="398"/>
      <c r="D300" s="282" t="s">
        <v>10117</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4470</v>
      </c>
      <c r="W300" s="396" t="s">
        <v>4471</v>
      </c>
      <c r="X300" s="396" t="s">
        <v>4472</v>
      </c>
      <c r="Y300" s="396" t="s">
        <v>4473</v>
      </c>
      <c r="Z300" s="397" t="s">
        <v>4474</v>
      </c>
    </row>
    <row r="301" spans="1:26" ht="12.75" customHeight="1" x14ac:dyDescent="0.2">
      <c r="A301" s="6105"/>
      <c r="B301" s="261" t="str">
        <f t="shared" si="4"/>
        <v>Esencia22</v>
      </c>
      <c r="C301" s="398"/>
      <c r="D301" s="282" t="s">
        <v>10118</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4475</v>
      </c>
      <c r="W301" s="396" t="s">
        <v>4476</v>
      </c>
      <c r="X301" s="396" t="s">
        <v>4477</v>
      </c>
      <c r="Y301" s="396" t="s">
        <v>4478</v>
      </c>
      <c r="Z301" s="397" t="s">
        <v>4479</v>
      </c>
    </row>
    <row r="302" spans="1:26" ht="12.75" customHeight="1" x14ac:dyDescent="0.2">
      <c r="A302" s="6105"/>
      <c r="B302" s="261" t="str">
        <f t="shared" si="4"/>
        <v>Esencia26</v>
      </c>
      <c r="C302" s="398"/>
      <c r="D302" s="282" t="s">
        <v>10119</v>
      </c>
      <c r="E302" s="394" t="s">
        <v>1713</v>
      </c>
      <c r="F302" s="394">
        <v>26</v>
      </c>
      <c r="G302" s="403" t="s">
        <v>1384</v>
      </c>
      <c r="H302" s="403" t="s">
        <v>4480</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4481</v>
      </c>
    </row>
    <row r="303" spans="1:26" ht="12.75" customHeight="1" x14ac:dyDescent="0.2">
      <c r="A303" s="6105"/>
      <c r="B303" s="261" t="str">
        <f t="shared" si="4"/>
        <v>Esencia30</v>
      </c>
      <c r="C303" s="398"/>
      <c r="D303" s="282" t="s">
        <v>10120</v>
      </c>
      <c r="E303" s="394" t="s">
        <v>1713</v>
      </c>
      <c r="F303" s="394">
        <v>30</v>
      </c>
      <c r="G303" s="403" t="s">
        <v>1384</v>
      </c>
      <c r="H303" s="403" t="s">
        <v>4480</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4482</v>
      </c>
      <c r="W303" s="396" t="s">
        <v>4483</v>
      </c>
      <c r="X303" s="396" t="s">
        <v>4484</v>
      </c>
      <c r="Y303" s="396" t="s">
        <v>4485</v>
      </c>
      <c r="Z303" s="397" t="s">
        <v>4486</v>
      </c>
    </row>
    <row r="304" spans="1:26" ht="12.75" customHeight="1" x14ac:dyDescent="0.2">
      <c r="A304" s="6105"/>
      <c r="B304" s="261" t="str">
        <f t="shared" si="4"/>
        <v>Esencia32</v>
      </c>
      <c r="C304" s="398"/>
      <c r="D304" s="282" t="s">
        <v>10121</v>
      </c>
      <c r="E304" s="394" t="s">
        <v>1713</v>
      </c>
      <c r="F304" s="394">
        <v>32</v>
      </c>
      <c r="G304" s="403" t="s">
        <v>1384</v>
      </c>
      <c r="H304" s="403" t="s">
        <v>4113</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4487</v>
      </c>
    </row>
    <row r="305" spans="1:26" ht="12.75" customHeight="1" x14ac:dyDescent="0.2">
      <c r="A305" s="6105"/>
      <c r="B305" s="261" t="str">
        <f t="shared" si="4"/>
        <v>Esencia36</v>
      </c>
      <c r="C305" s="398"/>
      <c r="D305" s="282" t="s">
        <v>10122</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4488</v>
      </c>
      <c r="W305" s="396" t="s">
        <v>3651</v>
      </c>
      <c r="X305" s="396" t="s">
        <v>4489</v>
      </c>
      <c r="Y305" s="396" t="s">
        <v>3652</v>
      </c>
      <c r="Z305" s="397" t="s">
        <v>4490</v>
      </c>
    </row>
    <row r="306" spans="1:26" ht="12.75" customHeight="1" x14ac:dyDescent="0.2">
      <c r="A306" s="6105"/>
      <c r="B306" s="261" t="str">
        <f t="shared" si="4"/>
        <v>Esencia40</v>
      </c>
      <c r="C306" s="398"/>
      <c r="D306" s="282" t="s">
        <v>10123</v>
      </c>
      <c r="E306" s="394" t="s">
        <v>1713</v>
      </c>
      <c r="F306" s="394">
        <v>40</v>
      </c>
      <c r="G306" s="403" t="s">
        <v>1384</v>
      </c>
      <c r="H306" s="403" t="s">
        <v>4113</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4491</v>
      </c>
      <c r="X306" s="396" t="s">
        <v>3433</v>
      </c>
      <c r="Y306" s="396" t="s">
        <v>3545</v>
      </c>
      <c r="Z306" s="397" t="s">
        <v>4492</v>
      </c>
    </row>
    <row r="307" spans="1:26" ht="12.75" customHeight="1" x14ac:dyDescent="0.2">
      <c r="A307" s="6105"/>
      <c r="B307" s="261" t="str">
        <f t="shared" si="4"/>
        <v>Esencia42</v>
      </c>
      <c r="C307" s="398"/>
      <c r="D307" s="282" t="s">
        <v>10124</v>
      </c>
      <c r="E307" s="394" t="s">
        <v>1713</v>
      </c>
      <c r="F307" s="394">
        <v>42</v>
      </c>
      <c r="G307" s="403" t="s">
        <v>1384</v>
      </c>
      <c r="H307" s="403" t="s">
        <v>4113</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4493</v>
      </c>
      <c r="W307" s="396" t="s">
        <v>4494</v>
      </c>
      <c r="X307" s="396" t="s">
        <v>4495</v>
      </c>
      <c r="Y307" s="396" t="s">
        <v>4496</v>
      </c>
      <c r="Z307" s="397" t="s">
        <v>4497</v>
      </c>
    </row>
    <row r="308" spans="1:26" ht="12.75" customHeight="1" x14ac:dyDescent="0.2">
      <c r="A308" s="6105"/>
      <c r="B308" s="261" t="str">
        <f t="shared" si="4"/>
        <v>Esencia46</v>
      </c>
      <c r="C308" s="398"/>
      <c r="D308" s="282" t="s">
        <v>10125</v>
      </c>
      <c r="E308" s="394" t="s">
        <v>1713</v>
      </c>
      <c r="F308" s="394">
        <v>46</v>
      </c>
      <c r="G308" s="403" t="s">
        <v>2094</v>
      </c>
      <c r="H308" s="403" t="s">
        <v>4480</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4498</v>
      </c>
      <c r="W308" s="396" t="s">
        <v>4499</v>
      </c>
      <c r="X308" s="396" t="s">
        <v>4500</v>
      </c>
      <c r="Y308" s="396" t="s">
        <v>4501</v>
      </c>
      <c r="Z308" s="397" t="s">
        <v>4502</v>
      </c>
    </row>
    <row r="309" spans="1:26" ht="12.75" customHeight="1" x14ac:dyDescent="0.2">
      <c r="A309" s="6105"/>
      <c r="B309" s="261" t="str">
        <f t="shared" si="4"/>
        <v>Esencia50</v>
      </c>
      <c r="C309" s="398"/>
      <c r="D309" s="282" t="s">
        <v>10126</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4503</v>
      </c>
      <c r="W309" s="396" t="s">
        <v>4504</v>
      </c>
      <c r="X309" s="396" t="s">
        <v>4505</v>
      </c>
      <c r="Y309" s="396" t="s">
        <v>4506</v>
      </c>
      <c r="Z309" s="397" t="s">
        <v>7236</v>
      </c>
    </row>
    <row r="310" spans="1:26" ht="12.75" customHeight="1" x14ac:dyDescent="0.2">
      <c r="A310" s="6105"/>
      <c r="B310" s="261" t="str">
        <f t="shared" si="4"/>
        <v>Esencia52</v>
      </c>
      <c r="C310" s="398"/>
      <c r="D310" s="282" t="s">
        <v>10127</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4507</v>
      </c>
      <c r="W310" s="396" t="s">
        <v>4508</v>
      </c>
      <c r="X310" s="396" t="s">
        <v>4509</v>
      </c>
      <c r="Y310" s="396" t="s">
        <v>4510</v>
      </c>
      <c r="Z310" s="397" t="s">
        <v>4511</v>
      </c>
    </row>
    <row r="311" spans="1:26" ht="12.75" customHeight="1" x14ac:dyDescent="0.2">
      <c r="A311" s="6105"/>
      <c r="B311" s="261" t="str">
        <f t="shared" si="4"/>
        <v>Esencia56</v>
      </c>
      <c r="C311" s="398"/>
      <c r="D311" s="282" t="s">
        <v>10128</v>
      </c>
      <c r="E311" s="394" t="s">
        <v>1713</v>
      </c>
      <c r="F311" s="394">
        <v>56</v>
      </c>
      <c r="G311" s="403" t="s">
        <v>2094</v>
      </c>
      <c r="H311" s="403" t="s">
        <v>4480</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4393</v>
      </c>
      <c r="Y311" s="396" t="s">
        <v>3358</v>
      </c>
      <c r="Z311" s="397" t="s">
        <v>4512</v>
      </c>
    </row>
    <row r="312" spans="1:26" ht="12.75" customHeight="1" x14ac:dyDescent="0.2">
      <c r="A312" s="6105"/>
      <c r="B312" s="261" t="str">
        <f t="shared" si="4"/>
        <v>Esencia60</v>
      </c>
      <c r="C312" s="398"/>
      <c r="D312" s="282" t="s">
        <v>10129</v>
      </c>
      <c r="E312" s="394" t="s">
        <v>1713</v>
      </c>
      <c r="F312" s="394">
        <v>60</v>
      </c>
      <c r="G312" s="403" t="s">
        <v>1384</v>
      </c>
      <c r="H312" s="403" t="s">
        <v>4480</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4513</v>
      </c>
    </row>
    <row r="313" spans="1:26" ht="12.75" customHeight="1" x14ac:dyDescent="0.2">
      <c r="A313" s="6105"/>
      <c r="B313" s="261" t="str">
        <f t="shared" si="4"/>
        <v>Esencia62</v>
      </c>
      <c r="C313" s="398"/>
      <c r="D313" s="282" t="s">
        <v>10130</v>
      </c>
      <c r="E313" s="394" t="s">
        <v>1713</v>
      </c>
      <c r="F313" s="394">
        <v>62</v>
      </c>
      <c r="G313" s="403" t="s">
        <v>1384</v>
      </c>
      <c r="H313" s="403" t="s">
        <v>4480</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4514</v>
      </c>
      <c r="Z313" s="397" t="s">
        <v>4515</v>
      </c>
    </row>
    <row r="314" spans="1:26" ht="12.75" customHeight="1" x14ac:dyDescent="0.2">
      <c r="A314" s="6105"/>
      <c r="B314" s="261" t="str">
        <f t="shared" si="4"/>
        <v>Esencia66</v>
      </c>
      <c r="C314" s="398"/>
      <c r="D314" s="282" t="s">
        <v>10131</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4516</v>
      </c>
      <c r="W314" s="396" t="s">
        <v>4517</v>
      </c>
      <c r="X314" s="396" t="s">
        <v>4518</v>
      </c>
      <c r="Y314" s="396" t="s">
        <v>4519</v>
      </c>
      <c r="Z314" s="397" t="s">
        <v>4520</v>
      </c>
    </row>
    <row r="315" spans="1:26" ht="12.75" customHeight="1" x14ac:dyDescent="0.2">
      <c r="A315" s="6105"/>
      <c r="B315" s="261" t="str">
        <f t="shared" si="4"/>
        <v>Esencia70</v>
      </c>
      <c r="C315" s="398"/>
      <c r="D315" s="282" t="s">
        <v>10132</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4521</v>
      </c>
    </row>
    <row r="316" spans="1:26" ht="12.75" customHeight="1" x14ac:dyDescent="0.2">
      <c r="A316" s="6105"/>
      <c r="B316" s="261" t="str">
        <f t="shared" si="4"/>
        <v>Esencia72</v>
      </c>
      <c r="C316" s="398"/>
      <c r="D316" s="282" t="s">
        <v>10133</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4522</v>
      </c>
      <c r="X316" s="396" t="s">
        <v>4523</v>
      </c>
      <c r="Y316" s="396" t="s">
        <v>4524</v>
      </c>
      <c r="Z316" s="397" t="s">
        <v>4525</v>
      </c>
    </row>
    <row r="317" spans="1:26" ht="12.75" customHeight="1" x14ac:dyDescent="0.2">
      <c r="A317" s="6105"/>
      <c r="B317" s="261" t="str">
        <f t="shared" si="4"/>
        <v>Esencia76</v>
      </c>
      <c r="C317" s="398"/>
      <c r="D317" s="282" t="s">
        <v>10134</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4526</v>
      </c>
      <c r="W317" s="396" t="s">
        <v>4527</v>
      </c>
      <c r="X317" s="396" t="s">
        <v>4528</v>
      </c>
      <c r="Y317" s="396" t="s">
        <v>4529</v>
      </c>
      <c r="Z317" s="397" t="s">
        <v>4530</v>
      </c>
    </row>
    <row r="318" spans="1:26" ht="12.75" customHeight="1" x14ac:dyDescent="0.2">
      <c r="A318" s="6105"/>
      <c r="B318" s="261" t="str">
        <f t="shared" si="4"/>
        <v>Esencia80</v>
      </c>
      <c r="C318" s="398"/>
      <c r="D318" s="282" t="s">
        <v>10135</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4531</v>
      </c>
      <c r="W318" s="396" t="s">
        <v>4532</v>
      </c>
      <c r="X318" s="396" t="s">
        <v>4533</v>
      </c>
      <c r="Y318" s="396" t="s">
        <v>4534</v>
      </c>
      <c r="Z318" s="397" t="s">
        <v>4535</v>
      </c>
    </row>
    <row r="319" spans="1:26" ht="12.75" customHeight="1" x14ac:dyDescent="0.2">
      <c r="A319" s="6105"/>
      <c r="B319" s="261" t="str">
        <f t="shared" si="4"/>
        <v>Esencia82</v>
      </c>
      <c r="C319" s="398"/>
      <c r="D319" s="282" t="s">
        <v>10136</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4418</v>
      </c>
      <c r="Y319" s="396" t="s">
        <v>4419</v>
      </c>
      <c r="Z319" s="397" t="s">
        <v>4536</v>
      </c>
    </row>
    <row r="320" spans="1:26" ht="12.75" customHeight="1" x14ac:dyDescent="0.2">
      <c r="A320" s="6105"/>
      <c r="B320" s="261" t="str">
        <f t="shared" si="4"/>
        <v>Esencia86</v>
      </c>
      <c r="C320" s="398"/>
      <c r="D320" s="282" t="s">
        <v>10137</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4537</v>
      </c>
      <c r="W320" s="396" t="s">
        <v>4538</v>
      </c>
      <c r="X320" s="396" t="s">
        <v>4539</v>
      </c>
      <c r="Y320" s="396" t="s">
        <v>4540</v>
      </c>
      <c r="Z320" s="397" t="s">
        <v>4541</v>
      </c>
    </row>
    <row r="321" spans="1:26" ht="12.75" customHeight="1" x14ac:dyDescent="0.2">
      <c r="A321" s="6105"/>
      <c r="B321" s="261" t="str">
        <f t="shared" si="4"/>
        <v>Esencia90</v>
      </c>
      <c r="C321" s="398"/>
      <c r="D321" s="282" t="s">
        <v>10138</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4411</v>
      </c>
      <c r="W321" s="396" t="s">
        <v>4542</v>
      </c>
      <c r="X321" s="396" t="s">
        <v>4543</v>
      </c>
      <c r="Y321" s="396" t="s">
        <v>4544</v>
      </c>
      <c r="Z321" s="397" t="s">
        <v>4545</v>
      </c>
    </row>
    <row r="322" spans="1:26" ht="12.75" customHeight="1" x14ac:dyDescent="0.2">
      <c r="A322" s="6105"/>
      <c r="B322" s="261" t="str">
        <f t="shared" si="4"/>
        <v>Esencia92</v>
      </c>
      <c r="C322" s="398"/>
      <c r="D322" s="282" t="s">
        <v>10139</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4546</v>
      </c>
      <c r="W322" s="396" t="s">
        <v>4547</v>
      </c>
      <c r="X322" s="396" t="s">
        <v>4548</v>
      </c>
      <c r="Y322" s="396" t="s">
        <v>4549</v>
      </c>
      <c r="Z322" s="397" t="s">
        <v>4550</v>
      </c>
    </row>
    <row r="323" spans="1:26" ht="12.75" customHeight="1" x14ac:dyDescent="0.2">
      <c r="A323" s="6105"/>
      <c r="B323" s="261" t="str">
        <f t="shared" si="4"/>
        <v>Esencia96</v>
      </c>
      <c r="C323" s="398"/>
      <c r="D323" s="282" t="s">
        <v>10140</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4551</v>
      </c>
      <c r="W323" s="396" t="s">
        <v>4552</v>
      </c>
      <c r="X323" s="396" t="s">
        <v>4553</v>
      </c>
      <c r="Y323" s="396" t="s">
        <v>4554</v>
      </c>
      <c r="Z323" s="397" t="s">
        <v>4555</v>
      </c>
    </row>
    <row r="324" spans="1:26" ht="12.75" customHeight="1" x14ac:dyDescent="0.2">
      <c r="A324" s="6105"/>
      <c r="B324" s="261" t="str">
        <f t="shared" si="4"/>
        <v>Esencia100</v>
      </c>
      <c r="C324" s="398"/>
      <c r="D324" s="282" t="s">
        <v>10141</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4556</v>
      </c>
      <c r="W324" s="396" t="s">
        <v>4557</v>
      </c>
      <c r="X324" s="396" t="s">
        <v>4558</v>
      </c>
      <c r="Y324" s="396" t="s">
        <v>4559</v>
      </c>
      <c r="Z324" s="397" t="s">
        <v>4560</v>
      </c>
    </row>
    <row r="325" spans="1:26" ht="12.75" customHeight="1" x14ac:dyDescent="0.2">
      <c r="A325" s="6105"/>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05"/>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4561</v>
      </c>
      <c r="W326" s="396" t="s">
        <v>4562</v>
      </c>
      <c r="X326" s="396" t="s">
        <v>3353</v>
      </c>
      <c r="Y326" s="396" t="s">
        <v>3354</v>
      </c>
      <c r="Z326" s="397" t="s">
        <v>4563</v>
      </c>
    </row>
    <row r="327" spans="1:26" ht="12.75" customHeight="1" x14ac:dyDescent="0.2">
      <c r="A327" s="6105"/>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4561</v>
      </c>
      <c r="W327" s="396" t="s">
        <v>4562</v>
      </c>
      <c r="X327" s="396" t="s">
        <v>3353</v>
      </c>
      <c r="Y327" s="396" t="s">
        <v>3354</v>
      </c>
      <c r="Z327" s="397" t="s">
        <v>4564</v>
      </c>
    </row>
    <row r="328" spans="1:26" ht="12.75" customHeight="1" x14ac:dyDescent="0.2">
      <c r="A328" s="6105"/>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4561</v>
      </c>
      <c r="W328" s="396" t="s">
        <v>4562</v>
      </c>
      <c r="X328" s="396" t="s">
        <v>3353</v>
      </c>
      <c r="Y328" s="396" t="s">
        <v>3354</v>
      </c>
      <c r="Z328" s="397" t="s">
        <v>7241</v>
      </c>
    </row>
    <row r="329" spans="1:26" ht="12.75" customHeight="1" x14ac:dyDescent="0.2">
      <c r="A329" s="6105"/>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4565</v>
      </c>
      <c r="W329" s="396" t="s">
        <v>4566</v>
      </c>
      <c r="X329" s="396" t="s">
        <v>4567</v>
      </c>
      <c r="Y329" s="396" t="s">
        <v>4568</v>
      </c>
      <c r="Z329" s="397" t="s">
        <v>4569</v>
      </c>
    </row>
    <row r="330" spans="1:26" ht="12.75" customHeight="1" x14ac:dyDescent="0.2">
      <c r="A330" s="6105"/>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4570</v>
      </c>
      <c r="W330" s="396" t="s">
        <v>4571</v>
      </c>
      <c r="X330" s="396" t="s">
        <v>4572</v>
      </c>
      <c r="Y330" s="396" t="s">
        <v>4573</v>
      </c>
      <c r="Z330" s="397" t="s">
        <v>7242</v>
      </c>
    </row>
    <row r="331" spans="1:26" ht="12.75" customHeight="1" x14ac:dyDescent="0.2">
      <c r="A331" s="6105"/>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4574</v>
      </c>
      <c r="W331" s="396" t="s">
        <v>4575</v>
      </c>
      <c r="X331" s="396" t="s">
        <v>4576</v>
      </c>
      <c r="Y331" s="396" t="s">
        <v>4577</v>
      </c>
      <c r="Z331" s="397" t="s">
        <v>4578</v>
      </c>
    </row>
    <row r="332" spans="1:26" ht="12.75" customHeight="1" x14ac:dyDescent="0.2">
      <c r="A332" s="6105"/>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4579</v>
      </c>
    </row>
    <row r="333" spans="1:26" ht="12.75" customHeight="1" x14ac:dyDescent="0.2">
      <c r="A333" s="6105"/>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4580</v>
      </c>
      <c r="W333" s="396" t="s">
        <v>4581</v>
      </c>
      <c r="X333" s="396" t="s">
        <v>4582</v>
      </c>
      <c r="Y333" s="396" t="s">
        <v>4583</v>
      </c>
      <c r="Z333" s="397" t="s">
        <v>7243</v>
      </c>
    </row>
    <row r="334" spans="1:26" ht="12.75" customHeight="1" x14ac:dyDescent="0.2">
      <c r="A334" s="6105"/>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4584</v>
      </c>
      <c r="W334" s="396" t="s">
        <v>4585</v>
      </c>
      <c r="X334" s="396" t="s">
        <v>4586</v>
      </c>
      <c r="Y334" s="396" t="s">
        <v>4587</v>
      </c>
      <c r="Z334" s="397" t="s">
        <v>4588</v>
      </c>
    </row>
    <row r="335" spans="1:26" ht="12.75" customHeight="1" x14ac:dyDescent="0.2">
      <c r="A335" s="6105"/>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4589</v>
      </c>
      <c r="W335" s="396" t="s">
        <v>4590</v>
      </c>
      <c r="X335" s="396" t="s">
        <v>4591</v>
      </c>
      <c r="Y335" s="396" t="s">
        <v>4592</v>
      </c>
      <c r="Z335" s="397" t="s">
        <v>4593</v>
      </c>
    </row>
    <row r="336" spans="1:26" ht="12.75" customHeight="1" x14ac:dyDescent="0.2">
      <c r="A336" s="6105"/>
      <c r="B336" s="261" t="str">
        <f t="shared" si="5"/>
        <v>Ilusión36</v>
      </c>
      <c r="C336" s="398"/>
      <c r="D336" s="282" t="s">
        <v>319</v>
      </c>
      <c r="E336" s="394" t="s">
        <v>1715</v>
      </c>
      <c r="F336" s="394">
        <v>36</v>
      </c>
      <c r="G336" s="403" t="s">
        <v>1384</v>
      </c>
      <c r="H336" s="403" t="s">
        <v>4065</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4594</v>
      </c>
      <c r="W336" s="396" t="s">
        <v>4590</v>
      </c>
      <c r="X336" s="396" t="s">
        <v>4595</v>
      </c>
      <c r="Y336" s="396" t="s">
        <v>4591</v>
      </c>
      <c r="Z336" s="397" t="s">
        <v>4596</v>
      </c>
    </row>
    <row r="337" spans="1:26" ht="12.75" customHeight="1" x14ac:dyDescent="0.2">
      <c r="A337" s="6105"/>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4597</v>
      </c>
      <c r="W337" s="396" t="s">
        <v>4598</v>
      </c>
      <c r="X337" s="396" t="s">
        <v>4599</v>
      </c>
      <c r="Y337" s="396" t="s">
        <v>4600</v>
      </c>
      <c r="Z337" s="397" t="s">
        <v>4601</v>
      </c>
    </row>
    <row r="338" spans="1:26" ht="12.75" customHeight="1" x14ac:dyDescent="0.2">
      <c r="A338" s="6105"/>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4602</v>
      </c>
      <c r="W338" s="396" t="s">
        <v>4603</v>
      </c>
      <c r="X338" s="396" t="s">
        <v>4604</v>
      </c>
      <c r="Y338" s="396" t="s">
        <v>4605</v>
      </c>
      <c r="Z338" s="397" t="s">
        <v>4606</v>
      </c>
    </row>
    <row r="339" spans="1:26" ht="12.75" customHeight="1" x14ac:dyDescent="0.2">
      <c r="A339" s="6105"/>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4607</v>
      </c>
      <c r="W339" s="396" t="s">
        <v>4608</v>
      </c>
      <c r="X339" s="396" t="s">
        <v>4609</v>
      </c>
      <c r="Y339" s="396" t="s">
        <v>4610</v>
      </c>
      <c r="Z339" s="397" t="s">
        <v>4611</v>
      </c>
    </row>
    <row r="340" spans="1:26" ht="12.75" customHeight="1" x14ac:dyDescent="0.2">
      <c r="A340" s="6105"/>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4612</v>
      </c>
      <c r="W340" s="396" t="s">
        <v>4613</v>
      </c>
      <c r="X340" s="396" t="s">
        <v>4614</v>
      </c>
      <c r="Y340" s="396" t="s">
        <v>4615</v>
      </c>
      <c r="Z340" s="397" t="s">
        <v>4616</v>
      </c>
    </row>
    <row r="341" spans="1:26" ht="12.75" customHeight="1" x14ac:dyDescent="0.2">
      <c r="A341" s="6105"/>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4617</v>
      </c>
      <c r="W341" s="396" t="s">
        <v>4618</v>
      </c>
      <c r="X341" s="396" t="s">
        <v>4619</v>
      </c>
      <c r="Y341" s="396" t="s">
        <v>4620</v>
      </c>
      <c r="Z341" s="397" t="s">
        <v>4621</v>
      </c>
    </row>
    <row r="342" spans="1:26" ht="12.75" customHeight="1" x14ac:dyDescent="0.2">
      <c r="A342" s="6105"/>
      <c r="B342" s="261" t="str">
        <f t="shared" si="5"/>
        <v>Ilusión56</v>
      </c>
      <c r="C342" s="398"/>
      <c r="D342" s="282" t="s">
        <v>325</v>
      </c>
      <c r="E342" s="394" t="s">
        <v>1715</v>
      </c>
      <c r="F342" s="394">
        <v>56</v>
      </c>
      <c r="G342" s="403" t="s">
        <v>2094</v>
      </c>
      <c r="H342" s="403" t="s">
        <v>4065</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7244</v>
      </c>
    </row>
    <row r="343" spans="1:26" ht="12.75" customHeight="1" x14ac:dyDescent="0.2">
      <c r="A343" s="6105"/>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4622</v>
      </c>
      <c r="W343" s="396" t="s">
        <v>4623</v>
      </c>
      <c r="X343" s="396" t="s">
        <v>4624</v>
      </c>
      <c r="Y343" s="396" t="s">
        <v>4625</v>
      </c>
      <c r="Z343" s="397" t="s">
        <v>4626</v>
      </c>
    </row>
    <row r="344" spans="1:26" ht="12.75" customHeight="1" x14ac:dyDescent="0.2">
      <c r="A344" s="6105"/>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4597</v>
      </c>
      <c r="W344" s="396" t="s">
        <v>4598</v>
      </c>
      <c r="X344" s="396" t="s">
        <v>4599</v>
      </c>
      <c r="Y344" s="396" t="s">
        <v>4600</v>
      </c>
      <c r="Z344" s="397" t="s">
        <v>7245</v>
      </c>
    </row>
    <row r="345" spans="1:26" ht="12.75" customHeight="1" x14ac:dyDescent="0.2">
      <c r="A345" s="6105"/>
      <c r="B345" s="261" t="str">
        <f t="shared" si="5"/>
        <v>Ilusión66</v>
      </c>
      <c r="C345" s="398"/>
      <c r="D345" s="282" t="s">
        <v>328</v>
      </c>
      <c r="E345" s="394" t="s">
        <v>1715</v>
      </c>
      <c r="F345" s="394">
        <v>66</v>
      </c>
      <c r="G345" s="403" t="s">
        <v>1384</v>
      </c>
      <c r="H345" s="403" t="s">
        <v>4065</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4627</v>
      </c>
    </row>
    <row r="346" spans="1:26" ht="12.75" customHeight="1" x14ac:dyDescent="0.2">
      <c r="A346" s="6105"/>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4628</v>
      </c>
      <c r="W346" s="396" t="s">
        <v>4629</v>
      </c>
      <c r="X346" s="396" t="s">
        <v>4630</v>
      </c>
      <c r="Y346" s="396" t="s">
        <v>4631</v>
      </c>
      <c r="Z346" s="397" t="s">
        <v>4632</v>
      </c>
    </row>
    <row r="347" spans="1:26" ht="12.75" customHeight="1" x14ac:dyDescent="0.2">
      <c r="A347" s="6105"/>
      <c r="B347" s="261" t="str">
        <f t="shared" si="5"/>
        <v>Ilusión72</v>
      </c>
      <c r="C347" s="398"/>
      <c r="D347" s="282" t="s">
        <v>330</v>
      </c>
      <c r="E347" s="394" t="s">
        <v>1715</v>
      </c>
      <c r="F347" s="394">
        <v>72</v>
      </c>
      <c r="G347" s="403" t="s">
        <v>2094</v>
      </c>
      <c r="H347" s="403" t="s">
        <v>4065</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4633</v>
      </c>
      <c r="W347" s="396" t="s">
        <v>3643</v>
      </c>
      <c r="X347" s="396" t="s">
        <v>4634</v>
      </c>
      <c r="Y347" s="396" t="s">
        <v>3644</v>
      </c>
      <c r="Z347" s="397" t="s">
        <v>7246</v>
      </c>
    </row>
    <row r="348" spans="1:26" ht="12.75" customHeight="1" x14ac:dyDescent="0.2">
      <c r="A348" s="6105"/>
      <c r="B348" s="261" t="str">
        <f t="shared" si="5"/>
        <v>Ilusión76</v>
      </c>
      <c r="C348" s="398"/>
      <c r="D348" s="282" t="s">
        <v>331</v>
      </c>
      <c r="E348" s="394" t="s">
        <v>1715</v>
      </c>
      <c r="F348" s="394">
        <v>76</v>
      </c>
      <c r="G348" s="403" t="s">
        <v>2094</v>
      </c>
      <c r="H348" s="403" t="s">
        <v>4065</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4633</v>
      </c>
      <c r="W348" s="396" t="s">
        <v>3643</v>
      </c>
      <c r="X348" s="396" t="s">
        <v>4634</v>
      </c>
      <c r="Y348" s="396" t="s">
        <v>3644</v>
      </c>
      <c r="Z348" s="397" t="s">
        <v>7247</v>
      </c>
    </row>
    <row r="349" spans="1:26" ht="12.75" customHeight="1" x14ac:dyDescent="0.2">
      <c r="A349" s="6105"/>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4635</v>
      </c>
      <c r="W349" s="396" t="s">
        <v>4636</v>
      </c>
      <c r="X349" s="396" t="s">
        <v>4637</v>
      </c>
      <c r="Y349" s="396" t="s">
        <v>4638</v>
      </c>
      <c r="Z349" s="397" t="s">
        <v>4639</v>
      </c>
    </row>
    <row r="350" spans="1:26" ht="12.75" customHeight="1" x14ac:dyDescent="0.2">
      <c r="A350" s="6105"/>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4640</v>
      </c>
      <c r="W350" s="396" t="s">
        <v>4641</v>
      </c>
      <c r="X350" s="396" t="s">
        <v>4642</v>
      </c>
      <c r="Y350" s="396" t="s">
        <v>4643</v>
      </c>
      <c r="Z350" s="397" t="s">
        <v>4644</v>
      </c>
    </row>
    <row r="351" spans="1:26" ht="12.75" customHeight="1" x14ac:dyDescent="0.2">
      <c r="A351" s="6105"/>
      <c r="B351" s="261" t="str">
        <f t="shared" si="5"/>
        <v>Ilusión86</v>
      </c>
      <c r="C351" s="398"/>
      <c r="D351" s="282" t="s">
        <v>334</v>
      </c>
      <c r="E351" s="394" t="s">
        <v>1715</v>
      </c>
      <c r="F351" s="394">
        <v>86</v>
      </c>
      <c r="G351" s="403" t="s">
        <v>1384</v>
      </c>
      <c r="H351" s="403" t="s">
        <v>4065</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4607</v>
      </c>
      <c r="W351" s="396" t="s">
        <v>4645</v>
      </c>
      <c r="X351" s="396" t="s">
        <v>4646</v>
      </c>
      <c r="Y351" s="396" t="s">
        <v>4647</v>
      </c>
      <c r="Z351" s="397" t="s">
        <v>4648</v>
      </c>
    </row>
    <row r="352" spans="1:26" ht="12.75" customHeight="1" x14ac:dyDescent="0.2">
      <c r="A352" s="6105"/>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4649</v>
      </c>
    </row>
    <row r="353" spans="1:26" ht="12.75" customHeight="1" x14ac:dyDescent="0.2">
      <c r="A353" s="6105"/>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4650</v>
      </c>
      <c r="W353" s="396" t="s">
        <v>3394</v>
      </c>
      <c r="X353" s="396" t="s">
        <v>4651</v>
      </c>
      <c r="Y353" s="396" t="s">
        <v>4652</v>
      </c>
      <c r="Z353" s="397" t="s">
        <v>4653</v>
      </c>
    </row>
    <row r="354" spans="1:26" ht="12.75" customHeight="1" x14ac:dyDescent="0.2">
      <c r="A354" s="6105"/>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4654</v>
      </c>
      <c r="W354" s="396" t="s">
        <v>4655</v>
      </c>
      <c r="X354" s="396" t="s">
        <v>4656</v>
      </c>
      <c r="Y354" s="396" t="s">
        <v>4657</v>
      </c>
      <c r="Z354" s="397" t="s">
        <v>7248</v>
      </c>
    </row>
    <row r="355" spans="1:26" ht="12.75" customHeight="1" x14ac:dyDescent="0.2">
      <c r="A355" s="6105"/>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4658</v>
      </c>
      <c r="X355" s="396" t="s">
        <v>3819</v>
      </c>
      <c r="Y355" s="396" t="s">
        <v>3526</v>
      </c>
      <c r="Z355" s="397" t="s">
        <v>4659</v>
      </c>
    </row>
    <row r="356" spans="1:26" ht="12.75" customHeight="1" x14ac:dyDescent="0.2">
      <c r="A356" s="6105"/>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05"/>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4660</v>
      </c>
      <c r="W357" s="396" t="s">
        <v>4661</v>
      </c>
      <c r="X357" s="396" t="s">
        <v>4662</v>
      </c>
      <c r="Y357" s="396" t="s">
        <v>4663</v>
      </c>
      <c r="Z357" s="397" t="s">
        <v>4664</v>
      </c>
    </row>
    <row r="358" spans="1:26" ht="12.75" customHeight="1" x14ac:dyDescent="0.2">
      <c r="A358" s="6105"/>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4665</v>
      </c>
      <c r="W358" s="396" t="s">
        <v>4666</v>
      </c>
      <c r="X358" s="396" t="s">
        <v>4667</v>
      </c>
      <c r="Y358" s="396" t="s">
        <v>4668</v>
      </c>
      <c r="Z358" s="397" t="s">
        <v>4669</v>
      </c>
    </row>
    <row r="359" spans="1:26" ht="12.75" customHeight="1" x14ac:dyDescent="0.2">
      <c r="A359" s="6105"/>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4315</v>
      </c>
      <c r="W359" s="396" t="s">
        <v>4316</v>
      </c>
      <c r="X359" s="396" t="s">
        <v>3433</v>
      </c>
      <c r="Y359" s="396" t="s">
        <v>3998</v>
      </c>
      <c r="Z359" s="397" t="s">
        <v>4670</v>
      </c>
    </row>
    <row r="360" spans="1:26" ht="12.75" customHeight="1" x14ac:dyDescent="0.2">
      <c r="A360" s="6105"/>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4671</v>
      </c>
      <c r="W360" s="396" t="s">
        <v>4672</v>
      </c>
      <c r="X360" s="396" t="s">
        <v>4673</v>
      </c>
      <c r="Y360" s="396" t="s">
        <v>4674</v>
      </c>
      <c r="Z360" s="397" t="s">
        <v>4675</v>
      </c>
    </row>
    <row r="361" spans="1:26" ht="12.75" customHeight="1" x14ac:dyDescent="0.2">
      <c r="A361" s="6105"/>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4676</v>
      </c>
    </row>
    <row r="362" spans="1:26" ht="12.75" customHeight="1" x14ac:dyDescent="0.2">
      <c r="A362" s="6105"/>
      <c r="B362" s="261" t="str">
        <f t="shared" si="5"/>
        <v>Nigromancia16</v>
      </c>
      <c r="C362" s="398"/>
      <c r="D362" s="282" t="s">
        <v>10142</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4516</v>
      </c>
      <c r="W362" s="396" t="s">
        <v>3827</v>
      </c>
      <c r="X362" s="396" t="s">
        <v>4453</v>
      </c>
      <c r="Y362" s="396" t="s">
        <v>4677</v>
      </c>
      <c r="Z362" s="397" t="s">
        <v>4678</v>
      </c>
    </row>
    <row r="363" spans="1:26" ht="12.75" customHeight="1" x14ac:dyDescent="0.2">
      <c r="A363" s="6105"/>
      <c r="B363" s="261" t="str">
        <f t="shared" si="5"/>
        <v>Nigromancia18</v>
      </c>
      <c r="C363" s="398"/>
      <c r="D363" s="282" t="s">
        <v>345</v>
      </c>
      <c r="E363" s="394" t="s">
        <v>1717</v>
      </c>
      <c r="F363" s="394">
        <v>18</v>
      </c>
      <c r="G363" s="403" t="s">
        <v>1384</v>
      </c>
      <c r="H363" s="403" t="s">
        <v>4113</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4679</v>
      </c>
      <c r="Z363" s="397" t="s">
        <v>4680</v>
      </c>
    </row>
    <row r="364" spans="1:26" ht="12.75" customHeight="1" x14ac:dyDescent="0.2">
      <c r="A364" s="6105"/>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4681</v>
      </c>
      <c r="W364" s="396" t="s">
        <v>3830</v>
      </c>
      <c r="X364" s="396" t="s">
        <v>4682</v>
      </c>
      <c r="Y364" s="396" t="s">
        <v>4683</v>
      </c>
      <c r="Z364" s="397" t="s">
        <v>4684</v>
      </c>
    </row>
    <row r="365" spans="1:26" ht="12.75" customHeight="1" x14ac:dyDescent="0.2">
      <c r="A365" s="6105"/>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4685</v>
      </c>
      <c r="W365" s="396" t="s">
        <v>4686</v>
      </c>
      <c r="X365" s="396" t="s">
        <v>4687</v>
      </c>
      <c r="Y365" s="396" t="s">
        <v>4688</v>
      </c>
      <c r="Z365" s="397" t="s">
        <v>4689</v>
      </c>
    </row>
    <row r="366" spans="1:26" ht="12.75" customHeight="1" x14ac:dyDescent="0.2">
      <c r="A366" s="6105"/>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4690</v>
      </c>
      <c r="W366" s="396" t="s">
        <v>3788</v>
      </c>
      <c r="X366" s="396" t="s">
        <v>4691</v>
      </c>
      <c r="Y366" s="396" t="s">
        <v>4692</v>
      </c>
      <c r="Z366" s="397" t="s">
        <v>4693</v>
      </c>
    </row>
    <row r="367" spans="1:26" ht="12.75" customHeight="1" x14ac:dyDescent="0.2">
      <c r="A367" s="6105"/>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4694</v>
      </c>
      <c r="W367" s="396" t="s">
        <v>4695</v>
      </c>
      <c r="X367" s="396" t="s">
        <v>4696</v>
      </c>
      <c r="Y367" s="396" t="s">
        <v>4697</v>
      </c>
      <c r="Z367" s="397" t="s">
        <v>4698</v>
      </c>
    </row>
    <row r="368" spans="1:26" ht="12.75" customHeight="1" x14ac:dyDescent="0.2">
      <c r="A368" s="6105"/>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4699</v>
      </c>
      <c r="W368" s="396" t="s">
        <v>4700</v>
      </c>
      <c r="X368" s="396" t="s">
        <v>4701</v>
      </c>
      <c r="Y368" s="396" t="s">
        <v>4702</v>
      </c>
      <c r="Z368" s="397" t="s">
        <v>4703</v>
      </c>
    </row>
    <row r="369" spans="1:26" ht="12.75" customHeight="1" x14ac:dyDescent="0.2">
      <c r="A369" s="6105"/>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3819</v>
      </c>
      <c r="Y369" s="396" t="s">
        <v>4704</v>
      </c>
      <c r="Z369" s="397" t="s">
        <v>4705</v>
      </c>
    </row>
    <row r="370" spans="1:26" ht="12.75" customHeight="1" x14ac:dyDescent="0.2">
      <c r="A370" s="6105"/>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3819</v>
      </c>
      <c r="Y370" s="396" t="s">
        <v>4704</v>
      </c>
      <c r="Z370" s="397" t="s">
        <v>4706</v>
      </c>
    </row>
    <row r="371" spans="1:26" ht="12.75" customHeight="1" x14ac:dyDescent="0.2">
      <c r="A371" s="6105"/>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3819</v>
      </c>
      <c r="Y371" s="396" t="s">
        <v>4704</v>
      </c>
      <c r="Z371" s="397" t="s">
        <v>4707</v>
      </c>
    </row>
    <row r="372" spans="1:26" ht="12.75" customHeight="1" x14ac:dyDescent="0.2">
      <c r="A372" s="6105"/>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4708</v>
      </c>
      <c r="W372" s="396" t="s">
        <v>4709</v>
      </c>
      <c r="X372" s="396" t="s">
        <v>3831</v>
      </c>
      <c r="Y372" s="396" t="s">
        <v>4710</v>
      </c>
      <c r="Z372" s="397" t="s">
        <v>4711</v>
      </c>
    </row>
    <row r="373" spans="1:26" ht="12.75" customHeight="1" x14ac:dyDescent="0.2">
      <c r="A373" s="6105"/>
      <c r="B373" s="261" t="str">
        <f t="shared" si="5"/>
        <v>Nigromancia42</v>
      </c>
      <c r="C373" s="398"/>
      <c r="D373" s="282" t="s">
        <v>355</v>
      </c>
      <c r="E373" s="394" t="s">
        <v>1717</v>
      </c>
      <c r="F373" s="394">
        <v>42</v>
      </c>
      <c r="G373" s="403" t="s">
        <v>2094</v>
      </c>
      <c r="H373" s="403" t="s">
        <v>4113</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4315</v>
      </c>
      <c r="W373" s="396" t="s">
        <v>4416</v>
      </c>
      <c r="X373" s="396" t="s">
        <v>4712</v>
      </c>
      <c r="Y373" s="396" t="s">
        <v>3544</v>
      </c>
      <c r="Z373" s="397" t="s">
        <v>4713</v>
      </c>
    </row>
    <row r="374" spans="1:26" ht="12.75" customHeight="1" x14ac:dyDescent="0.2">
      <c r="A374" s="6105"/>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4714</v>
      </c>
      <c r="W374" s="396" t="s">
        <v>4715</v>
      </c>
      <c r="X374" s="396" t="s">
        <v>4716</v>
      </c>
      <c r="Y374" s="396" t="s">
        <v>4717</v>
      </c>
      <c r="Z374" s="397" t="s">
        <v>4718</v>
      </c>
    </row>
    <row r="375" spans="1:26" ht="12.75" customHeight="1" x14ac:dyDescent="0.2">
      <c r="A375" s="6105"/>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4719</v>
      </c>
    </row>
    <row r="376" spans="1:26" ht="12.75" customHeight="1" x14ac:dyDescent="0.2">
      <c r="A376" s="6105"/>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4720</v>
      </c>
      <c r="W376" s="396" t="s">
        <v>4721</v>
      </c>
      <c r="X376" s="396" t="s">
        <v>4722</v>
      </c>
      <c r="Y376" s="396" t="s">
        <v>4723</v>
      </c>
      <c r="Z376" s="397" t="s">
        <v>4724</v>
      </c>
    </row>
    <row r="377" spans="1:26" ht="12.75" customHeight="1" x14ac:dyDescent="0.2">
      <c r="A377" s="6105"/>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4725</v>
      </c>
      <c r="W377" s="396" t="s">
        <v>4726</v>
      </c>
      <c r="X377" s="396" t="s">
        <v>4727</v>
      </c>
      <c r="Y377" s="396" t="s">
        <v>4728</v>
      </c>
      <c r="Z377" s="397" t="s">
        <v>4729</v>
      </c>
    </row>
    <row r="378" spans="1:26" ht="12.75" customHeight="1" x14ac:dyDescent="0.2">
      <c r="A378" s="6105"/>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4730</v>
      </c>
      <c r="Z378" s="397" t="s">
        <v>4731</v>
      </c>
    </row>
    <row r="379" spans="1:26" ht="12.75" customHeight="1" x14ac:dyDescent="0.2">
      <c r="A379" s="6105"/>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4732</v>
      </c>
      <c r="W379" s="396" t="s">
        <v>4733</v>
      </c>
      <c r="X379" s="396" t="s">
        <v>4734</v>
      </c>
      <c r="Y379" s="396" t="s">
        <v>4735</v>
      </c>
      <c r="Z379" s="397" t="s">
        <v>4736</v>
      </c>
    </row>
    <row r="380" spans="1:26" ht="12.75" customHeight="1" x14ac:dyDescent="0.2">
      <c r="A380" s="6105"/>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4737</v>
      </c>
      <c r="W380" s="396" t="s">
        <v>4738</v>
      </c>
      <c r="X380" s="396" t="s">
        <v>4739</v>
      </c>
      <c r="Y380" s="396" t="s">
        <v>4740</v>
      </c>
      <c r="Z380" s="397" t="s">
        <v>4741</v>
      </c>
    </row>
    <row r="381" spans="1:26" ht="12.75" customHeight="1" x14ac:dyDescent="0.2">
      <c r="A381" s="6105"/>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4742</v>
      </c>
      <c r="X381" s="396" t="s">
        <v>3524</v>
      </c>
      <c r="Y381" s="396" t="s">
        <v>4743</v>
      </c>
      <c r="Z381" s="397" t="s">
        <v>4744</v>
      </c>
    </row>
    <row r="382" spans="1:26" ht="12.75" customHeight="1" x14ac:dyDescent="0.2">
      <c r="A382" s="6105"/>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4745</v>
      </c>
      <c r="W382" s="396" t="s">
        <v>4746</v>
      </c>
      <c r="X382" s="396" t="s">
        <v>3840</v>
      </c>
      <c r="Y382" s="396" t="s">
        <v>3841</v>
      </c>
      <c r="Z382" s="397" t="s">
        <v>4747</v>
      </c>
    </row>
    <row r="383" spans="1:26" ht="12.75" customHeight="1" x14ac:dyDescent="0.2">
      <c r="A383" s="6105"/>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3821</v>
      </c>
      <c r="Y383" s="396" t="s">
        <v>4748</v>
      </c>
      <c r="Z383" s="397" t="s">
        <v>4749</v>
      </c>
    </row>
    <row r="384" spans="1:26" ht="12.75" customHeight="1" x14ac:dyDescent="0.2">
      <c r="A384" s="6105"/>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4418</v>
      </c>
      <c r="X384" s="396" t="s">
        <v>4419</v>
      </c>
      <c r="Y384" s="396" t="s">
        <v>4750</v>
      </c>
      <c r="Z384" s="397" t="s">
        <v>4751</v>
      </c>
    </row>
    <row r="385" spans="1:26" ht="12.75" customHeight="1" x14ac:dyDescent="0.2">
      <c r="A385" s="6105"/>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4746</v>
      </c>
      <c r="W385" s="396" t="s">
        <v>3841</v>
      </c>
      <c r="X385" s="396" t="s">
        <v>3843</v>
      </c>
      <c r="Y385" s="396" t="s">
        <v>4752</v>
      </c>
      <c r="Z385" s="397" t="s">
        <v>4753</v>
      </c>
    </row>
    <row r="386" spans="1:26" ht="12.75" customHeight="1" x14ac:dyDescent="0.2">
      <c r="A386" s="6105"/>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4746</v>
      </c>
      <c r="W386" s="396" t="s">
        <v>3841</v>
      </c>
      <c r="X386" s="396" t="s">
        <v>3843</v>
      </c>
      <c r="Y386" s="396" t="s">
        <v>4752</v>
      </c>
      <c r="Z386" s="397" t="s">
        <v>4754</v>
      </c>
    </row>
    <row r="387" spans="1:26" ht="12.75" customHeight="1" x14ac:dyDescent="0.2">
      <c r="A387" s="6105"/>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4755</v>
      </c>
    </row>
    <row r="388" spans="1:26" ht="12.75" customHeight="1" x14ac:dyDescent="0.2">
      <c r="A388" s="6105"/>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4756</v>
      </c>
      <c r="W388" s="396" t="s">
        <v>4757</v>
      </c>
      <c r="X388" s="396" t="s">
        <v>4758</v>
      </c>
      <c r="Y388" s="396" t="s">
        <v>4759</v>
      </c>
      <c r="Z388" s="397" t="s">
        <v>4760</v>
      </c>
    </row>
    <row r="389" spans="1:26" ht="12.75" customHeight="1" x14ac:dyDescent="0.2">
      <c r="A389" s="6105"/>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4732</v>
      </c>
      <c r="W389" s="396" t="s">
        <v>4733</v>
      </c>
      <c r="X389" s="396" t="s">
        <v>4734</v>
      </c>
      <c r="Y389" s="396" t="s">
        <v>4735</v>
      </c>
      <c r="Z389" s="397" t="s">
        <v>4761</v>
      </c>
    </row>
    <row r="390" spans="1:26" ht="12.75" customHeight="1" x14ac:dyDescent="0.2">
      <c r="A390" s="6105"/>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4762</v>
      </c>
      <c r="Z390" s="397" t="s">
        <v>4763</v>
      </c>
    </row>
    <row r="391" spans="1:26" ht="12.75" customHeight="1" x14ac:dyDescent="0.2">
      <c r="A391" s="6105"/>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4411</v>
      </c>
      <c r="X391" s="396" t="s">
        <v>4431</v>
      </c>
      <c r="Y391" s="396" t="s">
        <v>4764</v>
      </c>
      <c r="Z391" s="397" t="s">
        <v>4765</v>
      </c>
    </row>
    <row r="392" spans="1:26" ht="12.75" customHeight="1" x14ac:dyDescent="0.2">
      <c r="A392" s="6105"/>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4766</v>
      </c>
      <c r="W392" s="396" t="s">
        <v>4767</v>
      </c>
      <c r="X392" s="396" t="s">
        <v>4768</v>
      </c>
      <c r="Y392" s="396" t="s">
        <v>4769</v>
      </c>
      <c r="Z392" s="397" t="s">
        <v>4770</v>
      </c>
    </row>
    <row r="393" spans="1:26" ht="12.75" customHeight="1" x14ac:dyDescent="0.2">
      <c r="A393" s="6105"/>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4771</v>
      </c>
      <c r="W393" s="396" t="s">
        <v>4772</v>
      </c>
      <c r="X393" s="396" t="s">
        <v>4773</v>
      </c>
      <c r="Y393" s="396" t="s">
        <v>4774</v>
      </c>
      <c r="Z393" s="397" t="s">
        <v>4775</v>
      </c>
    </row>
    <row r="394" spans="1:26" ht="12.75" customHeight="1" x14ac:dyDescent="0.2">
      <c r="A394" s="6105"/>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4436</v>
      </c>
      <c r="W394" s="396" t="s">
        <v>4776</v>
      </c>
      <c r="X394" s="396" t="s">
        <v>4777</v>
      </c>
      <c r="Y394" s="396" t="s">
        <v>4778</v>
      </c>
      <c r="Z394" s="397" t="s">
        <v>4779</v>
      </c>
    </row>
    <row r="395" spans="1:26" ht="12.75" customHeight="1" x14ac:dyDescent="0.2">
      <c r="A395" s="6105"/>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4780</v>
      </c>
      <c r="W395" s="396" t="s">
        <v>4781</v>
      </c>
      <c r="X395" s="396" t="s">
        <v>4782</v>
      </c>
      <c r="Y395" s="396" t="s">
        <v>4783</v>
      </c>
      <c r="Z395" s="397" t="s">
        <v>4784</v>
      </c>
    </row>
    <row r="396" spans="1:26" ht="12.75" customHeight="1" x14ac:dyDescent="0.2">
      <c r="A396" s="6105"/>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4785</v>
      </c>
      <c r="Z396" s="397" t="s">
        <v>4786</v>
      </c>
    </row>
    <row r="397" spans="1:26" ht="12.75" customHeight="1" x14ac:dyDescent="0.2">
      <c r="A397" s="6105"/>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05"/>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4787</v>
      </c>
      <c r="W398" s="396" t="s">
        <v>4788</v>
      </c>
      <c r="X398" s="396" t="s">
        <v>4789</v>
      </c>
      <c r="Y398" s="396" t="s">
        <v>4790</v>
      </c>
      <c r="Z398" s="397" t="s">
        <v>4791</v>
      </c>
    </row>
    <row r="399" spans="1:26" ht="12.75" customHeight="1" x14ac:dyDescent="0.2">
      <c r="A399" s="6105"/>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4792</v>
      </c>
      <c r="W399" s="396" t="s">
        <v>4793</v>
      </c>
      <c r="X399" s="396" t="s">
        <v>4794</v>
      </c>
      <c r="Y399" s="396" t="s">
        <v>4795</v>
      </c>
      <c r="Z399" s="397" t="s">
        <v>4796</v>
      </c>
    </row>
    <row r="400" spans="1:26" ht="12.75" customHeight="1" x14ac:dyDescent="0.2">
      <c r="A400" s="6105"/>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4356</v>
      </c>
      <c r="Z400" s="397" t="s">
        <v>4797</v>
      </c>
    </row>
    <row r="401" spans="1:26" ht="12.75" customHeight="1" x14ac:dyDescent="0.2">
      <c r="A401" s="6105"/>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4824</v>
      </c>
      <c r="W401" s="396" t="s">
        <v>4825</v>
      </c>
      <c r="X401" s="396" t="s">
        <v>4826</v>
      </c>
      <c r="Y401" s="396" t="s">
        <v>4827</v>
      </c>
      <c r="Z401" s="397" t="s">
        <v>4828</v>
      </c>
    </row>
    <row r="402" spans="1:26" ht="12.75" customHeight="1" x14ac:dyDescent="0.2">
      <c r="A402" s="6105"/>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4799</v>
      </c>
      <c r="W402" s="396" t="s">
        <v>4800</v>
      </c>
      <c r="X402" s="396" t="s">
        <v>4801</v>
      </c>
      <c r="Y402" s="396" t="s">
        <v>4802</v>
      </c>
      <c r="Z402" s="397" t="s">
        <v>4803</v>
      </c>
    </row>
    <row r="403" spans="1:26" ht="12.75" customHeight="1" x14ac:dyDescent="0.2">
      <c r="A403" s="6105"/>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4804</v>
      </c>
      <c r="W403" s="396" t="s">
        <v>4805</v>
      </c>
      <c r="X403" s="396" t="s">
        <v>4806</v>
      </c>
      <c r="Y403" s="396" t="s">
        <v>4807</v>
      </c>
      <c r="Z403" s="397" t="s">
        <v>4808</v>
      </c>
    </row>
    <row r="404" spans="1:26" ht="12.75" customHeight="1" x14ac:dyDescent="0.2">
      <c r="A404" s="6105"/>
      <c r="B404" s="261" t="str">
        <f t="shared" si="6"/>
        <v>Libre acceso2</v>
      </c>
      <c r="C404" s="398"/>
      <c r="D404" s="282" t="s">
        <v>10213</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4809</v>
      </c>
      <c r="X404" s="396" t="s">
        <v>4810</v>
      </c>
      <c r="Y404" s="396" t="s">
        <v>4811</v>
      </c>
      <c r="Z404" s="397" t="s">
        <v>4812</v>
      </c>
    </row>
    <row r="405" spans="1:26" ht="12.75" customHeight="1" x14ac:dyDescent="0.2">
      <c r="A405" s="6105"/>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4813</v>
      </c>
      <c r="W405" s="396" t="s">
        <v>4814</v>
      </c>
      <c r="X405" s="396" t="s">
        <v>4815</v>
      </c>
      <c r="Y405" s="396" t="s">
        <v>4816</v>
      </c>
      <c r="Z405" s="397" t="s">
        <v>4817</v>
      </c>
    </row>
    <row r="406" spans="1:26" ht="12.75" customHeight="1" x14ac:dyDescent="0.2">
      <c r="A406" s="6105"/>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9848</v>
      </c>
      <c r="W406" s="396" t="s">
        <v>9849</v>
      </c>
      <c r="X406" s="396" t="s">
        <v>9850</v>
      </c>
      <c r="Y406" s="396" t="s">
        <v>9851</v>
      </c>
      <c r="Z406" s="397" t="s">
        <v>4818</v>
      </c>
    </row>
    <row r="407" spans="1:26" ht="12.75" customHeight="1" x14ac:dyDescent="0.2">
      <c r="A407" s="6105"/>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4819</v>
      </c>
      <c r="W407" s="396" t="s">
        <v>4820</v>
      </c>
      <c r="X407" s="396" t="s">
        <v>4821</v>
      </c>
      <c r="Y407" s="396" t="s">
        <v>4822</v>
      </c>
      <c r="Z407" s="397" t="s">
        <v>4823</v>
      </c>
    </row>
    <row r="408" spans="1:26" ht="12.75" customHeight="1" x14ac:dyDescent="0.2">
      <c r="A408" s="6105"/>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8850</v>
      </c>
      <c r="W408" s="1490" t="s">
        <v>8849</v>
      </c>
      <c r="X408" s="1490" t="s">
        <v>8851</v>
      </c>
      <c r="Y408" s="1490" t="s">
        <v>8852</v>
      </c>
      <c r="Z408" s="397" t="s">
        <v>4798</v>
      </c>
    </row>
    <row r="409" spans="1:26" ht="12.75" customHeight="1" x14ac:dyDescent="0.2">
      <c r="A409" s="6105"/>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4829</v>
      </c>
      <c r="W409" s="396" t="s">
        <v>4319</v>
      </c>
      <c r="X409" s="396" t="s">
        <v>4830</v>
      </c>
      <c r="Y409" s="396" t="s">
        <v>4831</v>
      </c>
      <c r="Z409" s="397" t="s">
        <v>4832</v>
      </c>
    </row>
    <row r="410" spans="1:26" ht="12.75" customHeight="1" x14ac:dyDescent="0.2">
      <c r="A410" s="6105"/>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05"/>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4833</v>
      </c>
      <c r="W411" s="396" t="s">
        <v>4834</v>
      </c>
      <c r="X411" s="396" t="s">
        <v>4835</v>
      </c>
      <c r="Y411" s="396" t="s">
        <v>4836</v>
      </c>
      <c r="Z411" s="397" t="s">
        <v>4837</v>
      </c>
    </row>
    <row r="412" spans="1:26" ht="12.75" customHeight="1" x14ac:dyDescent="0.2">
      <c r="A412" s="6105"/>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4838</v>
      </c>
      <c r="W412" s="396" t="s">
        <v>4839</v>
      </c>
      <c r="X412" s="396" t="s">
        <v>4840</v>
      </c>
      <c r="Y412" s="396" t="s">
        <v>4841</v>
      </c>
      <c r="Z412" s="397" t="s">
        <v>4842</v>
      </c>
    </row>
    <row r="413" spans="1:26" ht="12.75" customHeight="1" x14ac:dyDescent="0.2">
      <c r="A413" s="6105"/>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4843</v>
      </c>
      <c r="Y413" s="396" t="s">
        <v>3613</v>
      </c>
      <c r="Z413" s="397" t="s">
        <v>4844</v>
      </c>
    </row>
    <row r="414" spans="1:26" ht="12.75" customHeight="1" x14ac:dyDescent="0.2">
      <c r="A414" s="6105"/>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4845</v>
      </c>
      <c r="Z414" s="397" t="s">
        <v>4846</v>
      </c>
    </row>
    <row r="415" spans="1:26" ht="12.75" customHeight="1" x14ac:dyDescent="0.2">
      <c r="A415" s="6105"/>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4847</v>
      </c>
      <c r="Y415" s="396" t="s">
        <v>4843</v>
      </c>
      <c r="Z415" s="397" t="s">
        <v>4848</v>
      </c>
    </row>
    <row r="416" spans="1:26" ht="12.75" customHeight="1" x14ac:dyDescent="0.2">
      <c r="A416" s="6105"/>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4849</v>
      </c>
      <c r="W416" s="396" t="s">
        <v>4850</v>
      </c>
      <c r="X416" s="396" t="s">
        <v>4851</v>
      </c>
      <c r="Y416" s="396" t="s">
        <v>4852</v>
      </c>
      <c r="Z416" s="397" t="s">
        <v>4853</v>
      </c>
    </row>
    <row r="417" spans="1:26" ht="12.75" customHeight="1" x14ac:dyDescent="0.2">
      <c r="A417" s="6105"/>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4854</v>
      </c>
      <c r="W417" s="396" t="s">
        <v>4855</v>
      </c>
      <c r="X417" s="396" t="s">
        <v>4856</v>
      </c>
      <c r="Y417" s="396" t="s">
        <v>4857</v>
      </c>
      <c r="Z417" s="397" t="s">
        <v>4858</v>
      </c>
    </row>
    <row r="418" spans="1:26" ht="12.75" customHeight="1" x14ac:dyDescent="0.2">
      <c r="A418" s="6105"/>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4859</v>
      </c>
      <c r="W418" s="396" t="s">
        <v>4860</v>
      </c>
      <c r="X418" s="396" t="s">
        <v>4861</v>
      </c>
      <c r="Y418" s="396" t="s">
        <v>4862</v>
      </c>
      <c r="Z418" s="397" t="s">
        <v>4863</v>
      </c>
    </row>
    <row r="419" spans="1:26" ht="12.75" customHeight="1" x14ac:dyDescent="0.2">
      <c r="A419" s="6105"/>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3880</v>
      </c>
      <c r="Y419" s="396" t="s">
        <v>4864</v>
      </c>
      <c r="Z419" s="397" t="s">
        <v>4865</v>
      </c>
    </row>
    <row r="420" spans="1:26" ht="12.75" customHeight="1" x14ac:dyDescent="0.2">
      <c r="A420" s="6105"/>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4866</v>
      </c>
      <c r="W420" s="396" t="s">
        <v>4867</v>
      </c>
      <c r="X420" s="396" t="s">
        <v>4868</v>
      </c>
      <c r="Y420" s="396" t="s">
        <v>4869</v>
      </c>
      <c r="Z420" s="397" t="s">
        <v>4870</v>
      </c>
    </row>
    <row r="421" spans="1:26" ht="12.75" customHeight="1" x14ac:dyDescent="0.2">
      <c r="A421" s="6105"/>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4871</v>
      </c>
      <c r="Y421" s="396" t="s">
        <v>4872</v>
      </c>
      <c r="Z421" s="397" t="s">
        <v>4873</v>
      </c>
    </row>
    <row r="422" spans="1:26" ht="12.75" customHeight="1" x14ac:dyDescent="0.2">
      <c r="A422" s="6105"/>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4874</v>
      </c>
    </row>
    <row r="423" spans="1:26" ht="12.75" customHeight="1" x14ac:dyDescent="0.2">
      <c r="A423" s="6105"/>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05"/>
      <c r="B424" s="261" t="str">
        <f t="shared" si="6"/>
        <v>Libre acceso22</v>
      </c>
      <c r="C424" s="398"/>
      <c r="D424" s="282" t="s">
        <v>403</v>
      </c>
      <c r="E424" s="394" t="s">
        <v>381</v>
      </c>
      <c r="F424" s="394">
        <f>F411+10</f>
        <v>22</v>
      </c>
      <c r="G424" s="403" t="s">
        <v>1384</v>
      </c>
      <c r="H424" s="403" t="s">
        <v>4065</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4875</v>
      </c>
      <c r="W424" s="396" t="s">
        <v>4876</v>
      </c>
      <c r="X424" s="396" t="s">
        <v>3830</v>
      </c>
      <c r="Y424" s="396" t="s">
        <v>4682</v>
      </c>
      <c r="Z424" s="397" t="s">
        <v>4877</v>
      </c>
    </row>
    <row r="425" spans="1:26" ht="12.75" customHeight="1" x14ac:dyDescent="0.2">
      <c r="A425" s="6105"/>
      <c r="B425" s="261" t="str">
        <f t="shared" si="6"/>
        <v>Libre acceso22</v>
      </c>
      <c r="C425" s="398"/>
      <c r="D425" s="282" t="s">
        <v>404</v>
      </c>
      <c r="E425" s="394" t="s">
        <v>381</v>
      </c>
      <c r="F425" s="394">
        <f t="shared" ref="F425:F435" si="8">F412+10</f>
        <v>22</v>
      </c>
      <c r="G425" s="403" t="s">
        <v>1384</v>
      </c>
      <c r="H425" s="403" t="s">
        <v>4065</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4878</v>
      </c>
    </row>
    <row r="426" spans="1:26" ht="12.75" customHeight="1" x14ac:dyDescent="0.2">
      <c r="A426" s="6105"/>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4879</v>
      </c>
      <c r="W426" s="396" t="s">
        <v>4880</v>
      </c>
      <c r="X426" s="396" t="s">
        <v>4881</v>
      </c>
      <c r="Y426" s="396" t="s">
        <v>4882</v>
      </c>
      <c r="Z426" s="397" t="s">
        <v>4883</v>
      </c>
    </row>
    <row r="427" spans="1:26" ht="12.75" customHeight="1" x14ac:dyDescent="0.2">
      <c r="A427" s="6105"/>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3922</v>
      </c>
      <c r="W427" s="396" t="s">
        <v>4884</v>
      </c>
      <c r="X427" s="396" t="s">
        <v>4885</v>
      </c>
      <c r="Y427" s="396" t="s">
        <v>4886</v>
      </c>
      <c r="Z427" s="397" t="s">
        <v>4887</v>
      </c>
    </row>
    <row r="428" spans="1:26" ht="12.75" customHeight="1" x14ac:dyDescent="0.2">
      <c r="A428" s="6105"/>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4347</v>
      </c>
      <c r="W428" s="396" t="s">
        <v>4348</v>
      </c>
      <c r="X428" s="396" t="s">
        <v>4349</v>
      </c>
      <c r="Y428" s="396" t="s">
        <v>4350</v>
      </c>
      <c r="Z428" s="397" t="s">
        <v>4888</v>
      </c>
    </row>
    <row r="429" spans="1:26" ht="12.75" customHeight="1" x14ac:dyDescent="0.2">
      <c r="A429" s="6105"/>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4889</v>
      </c>
      <c r="W429" s="396" t="s">
        <v>4890</v>
      </c>
      <c r="X429" s="396" t="s">
        <v>4891</v>
      </c>
      <c r="Y429" s="396" t="s">
        <v>4892</v>
      </c>
      <c r="Z429" s="397" t="s">
        <v>4893</v>
      </c>
    </row>
    <row r="430" spans="1:26" ht="12.75" customHeight="1" x14ac:dyDescent="0.2">
      <c r="A430" s="6105"/>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4894</v>
      </c>
    </row>
    <row r="431" spans="1:26" ht="12.75" customHeight="1" x14ac:dyDescent="0.2">
      <c r="A431" s="6105"/>
      <c r="B431" s="261" t="str">
        <f t="shared" si="6"/>
        <v>Libre acceso22</v>
      </c>
      <c r="C431" s="398"/>
      <c r="D431" s="282" t="s">
        <v>2169</v>
      </c>
      <c r="E431" s="394" t="s">
        <v>381</v>
      </c>
      <c r="F431" s="394">
        <f t="shared" si="8"/>
        <v>22</v>
      </c>
      <c r="G431" s="403" t="s">
        <v>1384</v>
      </c>
      <c r="H431" s="403" t="s">
        <v>4895</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4896</v>
      </c>
      <c r="W431" s="396" t="s">
        <v>4897</v>
      </c>
      <c r="X431" s="396" t="s">
        <v>4898</v>
      </c>
      <c r="Y431" s="396" t="s">
        <v>4899</v>
      </c>
      <c r="Z431" s="397" t="s">
        <v>4900</v>
      </c>
    </row>
    <row r="432" spans="1:26" ht="12.75" customHeight="1" x14ac:dyDescent="0.2">
      <c r="A432" s="6105"/>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4901</v>
      </c>
      <c r="W432" s="396" t="s">
        <v>4902</v>
      </c>
      <c r="X432" s="396" t="s">
        <v>4903</v>
      </c>
      <c r="Y432" s="396" t="s">
        <v>4904</v>
      </c>
      <c r="Z432" s="397" t="s">
        <v>4905</v>
      </c>
    </row>
    <row r="433" spans="1:26" ht="12.75" customHeight="1" x14ac:dyDescent="0.2">
      <c r="A433" s="6105"/>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4906</v>
      </c>
      <c r="W433" s="396" t="s">
        <v>4907</v>
      </c>
      <c r="X433" s="396" t="s">
        <v>4908</v>
      </c>
      <c r="Y433" s="396" t="s">
        <v>4909</v>
      </c>
      <c r="Z433" s="397" t="s">
        <v>4910</v>
      </c>
    </row>
    <row r="434" spans="1:26" ht="12.75" customHeight="1" x14ac:dyDescent="0.2">
      <c r="A434" s="6105"/>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4911</v>
      </c>
      <c r="W434" s="396" t="s">
        <v>4912</v>
      </c>
      <c r="X434" s="396" t="s">
        <v>4913</v>
      </c>
      <c r="Y434" s="396" t="s">
        <v>4914</v>
      </c>
      <c r="Z434" s="397" t="s">
        <v>4915</v>
      </c>
    </row>
    <row r="435" spans="1:26" ht="12.75" customHeight="1" x14ac:dyDescent="0.2">
      <c r="A435" s="6105"/>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4916</v>
      </c>
      <c r="Y435" s="396" t="s">
        <v>4917</v>
      </c>
      <c r="Z435" s="397" t="s">
        <v>4918</v>
      </c>
    </row>
    <row r="436" spans="1:26" ht="12.75" customHeight="1" x14ac:dyDescent="0.2">
      <c r="A436" s="6105"/>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05"/>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4919</v>
      </c>
      <c r="W437" s="396" t="s">
        <v>4920</v>
      </c>
      <c r="X437" s="396" t="s">
        <v>4921</v>
      </c>
      <c r="Y437" s="396" t="s">
        <v>4922</v>
      </c>
      <c r="Z437" s="397" t="s">
        <v>4923</v>
      </c>
    </row>
    <row r="438" spans="1:26" ht="12.75" customHeight="1" x14ac:dyDescent="0.2">
      <c r="A438" s="6105"/>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4924</v>
      </c>
      <c r="W438" s="396" t="s">
        <v>4925</v>
      </c>
      <c r="X438" s="396" t="s">
        <v>4926</v>
      </c>
      <c r="Y438" s="396" t="s">
        <v>4927</v>
      </c>
      <c r="Z438" s="397" t="s">
        <v>4928</v>
      </c>
    </row>
    <row r="439" spans="1:26" ht="12.75" customHeight="1" x14ac:dyDescent="0.2">
      <c r="A439" s="6105"/>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4929</v>
      </c>
      <c r="W439" s="396" t="s">
        <v>4930</v>
      </c>
      <c r="X439" s="396" t="s">
        <v>4931</v>
      </c>
      <c r="Y439" s="396" t="s">
        <v>4932</v>
      </c>
      <c r="Z439" s="397" t="s">
        <v>4933</v>
      </c>
    </row>
    <row r="440" spans="1:26" ht="12.75" customHeight="1" x14ac:dyDescent="0.2">
      <c r="A440" s="6105"/>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4934</v>
      </c>
      <c r="W440" s="396" t="s">
        <v>4935</v>
      </c>
      <c r="X440" s="396" t="s">
        <v>4936</v>
      </c>
      <c r="Y440" s="396" t="s">
        <v>4937</v>
      </c>
      <c r="Z440" s="397" t="s">
        <v>4938</v>
      </c>
    </row>
    <row r="441" spans="1:26" ht="12.75" customHeight="1" x14ac:dyDescent="0.2">
      <c r="A441" s="6105"/>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4939</v>
      </c>
      <c r="W441" s="396" t="s">
        <v>4940</v>
      </c>
      <c r="X441" s="396" t="s">
        <v>4941</v>
      </c>
      <c r="Y441" s="396" t="s">
        <v>4942</v>
      </c>
      <c r="Z441" s="397" t="s">
        <v>4943</v>
      </c>
    </row>
    <row r="442" spans="1:26" ht="12.75" customHeight="1" x14ac:dyDescent="0.2">
      <c r="A442" s="6105"/>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4944</v>
      </c>
      <c r="W442" s="396" t="s">
        <v>4945</v>
      </c>
      <c r="X442" s="396" t="s">
        <v>4946</v>
      </c>
      <c r="Y442" s="396" t="s">
        <v>4947</v>
      </c>
      <c r="Z442" s="397" t="s">
        <v>4948</v>
      </c>
    </row>
    <row r="443" spans="1:26" ht="12.75" customHeight="1" x14ac:dyDescent="0.2">
      <c r="A443" s="6105"/>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4949</v>
      </c>
      <c r="W443" s="396" t="s">
        <v>4950</v>
      </c>
      <c r="X443" s="396" t="s">
        <v>4690</v>
      </c>
      <c r="Y443" s="396" t="s">
        <v>3788</v>
      </c>
      <c r="Z443" s="397" t="s">
        <v>4951</v>
      </c>
    </row>
    <row r="444" spans="1:26" ht="12.75" customHeight="1" x14ac:dyDescent="0.2">
      <c r="A444" s="6105"/>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4952</v>
      </c>
    </row>
    <row r="445" spans="1:26" ht="12.75" customHeight="1" x14ac:dyDescent="0.2">
      <c r="A445" s="6105"/>
      <c r="B445" s="261" t="str">
        <f t="shared" si="6"/>
        <v>Libre acceso32</v>
      </c>
      <c r="C445" s="398"/>
      <c r="D445" s="282" t="s">
        <v>422</v>
      </c>
      <c r="E445" s="394" t="s">
        <v>381</v>
      </c>
      <c r="F445" s="394">
        <f t="shared" si="9"/>
        <v>32</v>
      </c>
      <c r="G445" s="403" t="s">
        <v>2094</v>
      </c>
      <c r="H445" s="403" t="s">
        <v>4065</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4953</v>
      </c>
    </row>
    <row r="446" spans="1:26" ht="12.75" customHeight="1" x14ac:dyDescent="0.2">
      <c r="A446" s="6105"/>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4954</v>
      </c>
      <c r="W446" s="396" t="s">
        <v>4955</v>
      </c>
      <c r="X446" s="396" t="s">
        <v>4956</v>
      </c>
      <c r="Y446" s="396" t="s">
        <v>4957</v>
      </c>
      <c r="Z446" s="397" t="s">
        <v>4958</v>
      </c>
    </row>
    <row r="447" spans="1:26" ht="12.75" customHeight="1" x14ac:dyDescent="0.2">
      <c r="A447" s="6105"/>
      <c r="B447" s="261" t="str">
        <f t="shared" si="6"/>
        <v>Libre acceso32</v>
      </c>
      <c r="C447" s="398"/>
      <c r="D447" s="282" t="s">
        <v>423</v>
      </c>
      <c r="E447" s="394" t="s">
        <v>381</v>
      </c>
      <c r="F447" s="394">
        <f t="shared" si="9"/>
        <v>32</v>
      </c>
      <c r="G447" s="403" t="s">
        <v>1384</v>
      </c>
      <c r="H447" s="403" t="s">
        <v>4065</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4959</v>
      </c>
      <c r="W447" s="396" t="s">
        <v>4960</v>
      </c>
      <c r="X447" s="396" t="s">
        <v>4961</v>
      </c>
      <c r="Y447" s="396" t="s">
        <v>4962</v>
      </c>
      <c r="Z447" s="397" t="s">
        <v>4963</v>
      </c>
    </row>
    <row r="448" spans="1:26" ht="12.75" customHeight="1" x14ac:dyDescent="0.2">
      <c r="A448" s="6105"/>
      <c r="B448" s="261" t="str">
        <f t="shared" si="6"/>
        <v>Libre acceso32</v>
      </c>
      <c r="C448" s="398"/>
      <c r="D448" s="282" t="s">
        <v>424</v>
      </c>
      <c r="E448" s="394" t="s">
        <v>381</v>
      </c>
      <c r="F448" s="394">
        <f t="shared" si="9"/>
        <v>32</v>
      </c>
      <c r="G448" s="403" t="s">
        <v>2094</v>
      </c>
      <c r="H448" s="403" t="s">
        <v>4964</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4965</v>
      </c>
      <c r="X448" s="396" t="s">
        <v>3628</v>
      </c>
      <c r="Y448" s="396" t="s">
        <v>4742</v>
      </c>
      <c r="Z448" s="397" t="s">
        <v>4966</v>
      </c>
    </row>
    <row r="449" spans="1:26" ht="12.75" customHeight="1" x14ac:dyDescent="0.2">
      <c r="A449" s="6105"/>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05"/>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4930</v>
      </c>
      <c r="W450" s="396" t="s">
        <v>4967</v>
      </c>
      <c r="X450" s="396" t="s">
        <v>4968</v>
      </c>
      <c r="Y450" s="396" t="s">
        <v>4969</v>
      </c>
      <c r="Z450" s="397" t="s">
        <v>4970</v>
      </c>
    </row>
    <row r="451" spans="1:26" ht="12.75" customHeight="1" x14ac:dyDescent="0.2">
      <c r="A451" s="6105"/>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9906</v>
      </c>
      <c r="W451" s="396" t="s">
        <v>9895</v>
      </c>
      <c r="X451" s="396" t="s">
        <v>9896</v>
      </c>
      <c r="Y451" s="396" t="s">
        <v>9897</v>
      </c>
      <c r="Z451" s="397" t="s">
        <v>4971</v>
      </c>
    </row>
    <row r="452" spans="1:26" ht="12.75" customHeight="1" x14ac:dyDescent="0.2">
      <c r="A452" s="6105"/>
      <c r="B452" s="261" t="str">
        <f t="shared" si="6"/>
        <v>Libre acceso42</v>
      </c>
      <c r="C452" s="398"/>
      <c r="D452" s="282" t="s">
        <v>428</v>
      </c>
      <c r="E452" s="394" t="s">
        <v>381</v>
      </c>
      <c r="F452" s="394">
        <f t="shared" si="10"/>
        <v>42</v>
      </c>
      <c r="G452" s="403" t="s">
        <v>2094</v>
      </c>
      <c r="H452" s="403" t="s">
        <v>4065</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4972</v>
      </c>
      <c r="W452" s="396" t="s">
        <v>4973</v>
      </c>
      <c r="X452" s="396" t="s">
        <v>4974</v>
      </c>
      <c r="Y452" s="396" t="s">
        <v>4975</v>
      </c>
      <c r="Z452" s="397" t="s">
        <v>4976</v>
      </c>
    </row>
    <row r="453" spans="1:26" ht="12.75" customHeight="1" x14ac:dyDescent="0.2">
      <c r="A453" s="6105"/>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4977</v>
      </c>
      <c r="W453" s="396" t="s">
        <v>4978</v>
      </c>
      <c r="X453" s="396" t="s">
        <v>4979</v>
      </c>
      <c r="Y453" s="396" t="s">
        <v>4980</v>
      </c>
      <c r="Z453" s="397" t="s">
        <v>4981</v>
      </c>
    </row>
    <row r="454" spans="1:26" ht="12.75" customHeight="1" x14ac:dyDescent="0.2">
      <c r="A454" s="6105"/>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4982</v>
      </c>
      <c r="W454" s="396" t="s">
        <v>4983</v>
      </c>
      <c r="X454" s="396" t="s">
        <v>4984</v>
      </c>
      <c r="Y454" s="396" t="s">
        <v>4985</v>
      </c>
      <c r="Z454" s="397" t="s">
        <v>4986</v>
      </c>
    </row>
    <row r="455" spans="1:26" ht="12.75" customHeight="1" x14ac:dyDescent="0.2">
      <c r="A455" s="6105"/>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4987</v>
      </c>
      <c r="W455" s="396" t="s">
        <v>4988</v>
      </c>
      <c r="X455" s="396" t="s">
        <v>4989</v>
      </c>
      <c r="Y455" s="396" t="s">
        <v>4990</v>
      </c>
      <c r="Z455" s="397" t="s">
        <v>4991</v>
      </c>
    </row>
    <row r="456" spans="1:26" ht="12.75" customHeight="1" x14ac:dyDescent="0.2">
      <c r="A456" s="6105"/>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4992</v>
      </c>
      <c r="W456" s="396" t="s">
        <v>4993</v>
      </c>
      <c r="X456" s="396" t="s">
        <v>4994</v>
      </c>
      <c r="Y456" s="396" t="s">
        <v>4995</v>
      </c>
      <c r="Z456" s="397" t="s">
        <v>4996</v>
      </c>
    </row>
    <row r="457" spans="1:26" ht="12.75" customHeight="1" x14ac:dyDescent="0.2">
      <c r="A457" s="6105"/>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4997</v>
      </c>
      <c r="W457" s="396" t="s">
        <v>3642</v>
      </c>
      <c r="X457" s="396" t="s">
        <v>4633</v>
      </c>
      <c r="Y457" s="396" t="s">
        <v>4634</v>
      </c>
      <c r="Z457" s="397" t="s">
        <v>4998</v>
      </c>
    </row>
    <row r="458" spans="1:26" ht="12.75" customHeight="1" x14ac:dyDescent="0.2">
      <c r="A458" s="6105"/>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4999</v>
      </c>
      <c r="W458" s="396" t="s">
        <v>5000</v>
      </c>
      <c r="X458" s="396" t="s">
        <v>5001</v>
      </c>
      <c r="Y458" s="396" t="s">
        <v>5002</v>
      </c>
      <c r="Z458" s="397" t="s">
        <v>5003</v>
      </c>
    </row>
    <row r="459" spans="1:26" ht="12.75" customHeight="1" x14ac:dyDescent="0.2">
      <c r="A459" s="6105"/>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4633</v>
      </c>
      <c r="X459" s="396" t="s">
        <v>5004</v>
      </c>
      <c r="Y459" s="396" t="s">
        <v>4634</v>
      </c>
      <c r="Z459" s="397" t="s">
        <v>5005</v>
      </c>
    </row>
    <row r="460" spans="1:26" ht="12.75" customHeight="1" x14ac:dyDescent="0.2">
      <c r="A460" s="6105"/>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5006</v>
      </c>
      <c r="W460" s="396" t="s">
        <v>5007</v>
      </c>
      <c r="X460" s="396" t="s">
        <v>5008</v>
      </c>
      <c r="Y460" s="396" t="s">
        <v>5009</v>
      </c>
      <c r="Z460" s="397" t="s">
        <v>5010</v>
      </c>
    </row>
    <row r="461" spans="1:26" ht="12.75" customHeight="1" x14ac:dyDescent="0.2">
      <c r="A461" s="6105"/>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5011</v>
      </c>
      <c r="W461" s="396" t="s">
        <v>5012</v>
      </c>
      <c r="X461" s="396" t="s">
        <v>5013</v>
      </c>
      <c r="Y461" s="396" t="s">
        <v>5014</v>
      </c>
      <c r="Z461" s="397" t="s">
        <v>5015</v>
      </c>
    </row>
    <row r="462" spans="1:26" ht="12.75" customHeight="1" x14ac:dyDescent="0.2">
      <c r="A462" s="6105"/>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05"/>
      <c r="B463" s="261" t="str">
        <f t="shared" si="11"/>
        <v>Libre acceso52</v>
      </c>
      <c r="C463" s="398"/>
      <c r="D463" s="282" t="s">
        <v>439</v>
      </c>
      <c r="E463" s="394" t="s">
        <v>381</v>
      </c>
      <c r="F463" s="394">
        <f>F450+10</f>
        <v>52</v>
      </c>
      <c r="G463" s="403" t="s">
        <v>2094</v>
      </c>
      <c r="H463" s="403" t="s">
        <v>4065</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5016</v>
      </c>
      <c r="W463" s="396" t="s">
        <v>5017</v>
      </c>
      <c r="X463" s="396" t="s">
        <v>3486</v>
      </c>
      <c r="Y463" s="396" t="s">
        <v>3487</v>
      </c>
      <c r="Z463" s="397" t="s">
        <v>7252</v>
      </c>
    </row>
    <row r="464" spans="1:26" ht="12.75" customHeight="1" x14ac:dyDescent="0.2">
      <c r="A464" s="6105"/>
      <c r="B464" s="261" t="str">
        <f t="shared" si="11"/>
        <v>Libre acceso52</v>
      </c>
      <c r="C464" s="398"/>
      <c r="D464" s="282" t="s">
        <v>440</v>
      </c>
      <c r="E464" s="394" t="s">
        <v>381</v>
      </c>
      <c r="F464" s="394">
        <f t="shared" ref="F464:F474" si="12">F451+10</f>
        <v>52</v>
      </c>
      <c r="G464" s="403" t="s">
        <v>1384</v>
      </c>
      <c r="H464" s="403" t="s">
        <v>4065</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5018</v>
      </c>
      <c r="W464" s="396" t="s">
        <v>4977</v>
      </c>
      <c r="X464" s="396" t="s">
        <v>5019</v>
      </c>
      <c r="Y464" s="396" t="s">
        <v>5020</v>
      </c>
      <c r="Z464" s="397" t="s">
        <v>5021</v>
      </c>
    </row>
    <row r="465" spans="1:26" ht="12.75" customHeight="1" x14ac:dyDescent="0.2">
      <c r="A465" s="6105"/>
      <c r="B465" s="261" t="str">
        <f t="shared" si="11"/>
        <v>Libre acceso52</v>
      </c>
      <c r="C465" s="398"/>
      <c r="D465" s="282" t="s">
        <v>441</v>
      </c>
      <c r="E465" s="394" t="s">
        <v>381</v>
      </c>
      <c r="F465" s="394">
        <f t="shared" si="12"/>
        <v>52</v>
      </c>
      <c r="G465" s="403" t="s">
        <v>1384</v>
      </c>
      <c r="H465" s="403" t="s">
        <v>4065</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5022</v>
      </c>
      <c r="W465" s="396" t="s">
        <v>3297</v>
      </c>
      <c r="X465" s="396" t="s">
        <v>4978</v>
      </c>
      <c r="Y465" s="396" t="s">
        <v>5023</v>
      </c>
      <c r="Z465" s="397" t="s">
        <v>5024</v>
      </c>
    </row>
    <row r="466" spans="1:26" ht="12.75" customHeight="1" x14ac:dyDescent="0.2">
      <c r="A466" s="6105"/>
      <c r="B466" s="261" t="str">
        <f t="shared" si="11"/>
        <v>Libre acceso52</v>
      </c>
      <c r="C466" s="398"/>
      <c r="D466" s="282" t="s">
        <v>442</v>
      </c>
      <c r="E466" s="394" t="s">
        <v>381</v>
      </c>
      <c r="F466" s="394">
        <f t="shared" si="12"/>
        <v>52</v>
      </c>
      <c r="G466" s="403" t="s">
        <v>1384</v>
      </c>
      <c r="H466" s="403" t="s">
        <v>4065</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5022</v>
      </c>
      <c r="W466" s="396" t="s">
        <v>5025</v>
      </c>
      <c r="X466" s="396" t="s">
        <v>5026</v>
      </c>
      <c r="Y466" s="396" t="s">
        <v>5027</v>
      </c>
      <c r="Z466" s="397" t="s">
        <v>5028</v>
      </c>
    </row>
    <row r="467" spans="1:26" ht="12.75" customHeight="1" x14ac:dyDescent="0.2">
      <c r="A467" s="6105"/>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5029</v>
      </c>
      <c r="W467" s="396" t="s">
        <v>5030</v>
      </c>
      <c r="X467" s="396" t="s">
        <v>5031</v>
      </c>
      <c r="Y467" s="396" t="s">
        <v>5032</v>
      </c>
      <c r="Z467" s="397" t="s">
        <v>5033</v>
      </c>
    </row>
    <row r="468" spans="1:26" ht="12.75" customHeight="1" x14ac:dyDescent="0.2">
      <c r="A468" s="6105"/>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5034</v>
      </c>
      <c r="W468" s="396" t="s">
        <v>4431</v>
      </c>
      <c r="X468" s="396" t="s">
        <v>5035</v>
      </c>
      <c r="Y468" s="396" t="s">
        <v>4764</v>
      </c>
      <c r="Z468" s="397" t="s">
        <v>5036</v>
      </c>
    </row>
    <row r="469" spans="1:26" ht="12.75" customHeight="1" x14ac:dyDescent="0.2">
      <c r="A469" s="6105"/>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5037</v>
      </c>
      <c r="Y469" s="396" t="s">
        <v>4864</v>
      </c>
      <c r="Z469" s="397" t="s">
        <v>5038</v>
      </c>
    </row>
    <row r="470" spans="1:26" ht="12.75" customHeight="1" x14ac:dyDescent="0.2">
      <c r="A470" s="6105"/>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5039</v>
      </c>
      <c r="W470" s="396" t="s">
        <v>5040</v>
      </c>
      <c r="X470" s="396" t="s">
        <v>5041</v>
      </c>
      <c r="Y470" s="396" t="s">
        <v>5042</v>
      </c>
      <c r="Z470" s="397" t="s">
        <v>5043</v>
      </c>
    </row>
    <row r="471" spans="1:26" ht="12.75" customHeight="1" x14ac:dyDescent="0.2">
      <c r="A471" s="6105"/>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5044</v>
      </c>
      <c r="W471" s="396" t="s">
        <v>5045</v>
      </c>
      <c r="X471" s="396" t="s">
        <v>5046</v>
      </c>
      <c r="Y471" s="396" t="s">
        <v>5047</v>
      </c>
      <c r="Z471" s="397" t="s">
        <v>5048</v>
      </c>
    </row>
    <row r="472" spans="1:26" ht="12.75" customHeight="1" x14ac:dyDescent="0.2">
      <c r="A472" s="6105"/>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5049</v>
      </c>
      <c r="W472" s="396" t="s">
        <v>5050</v>
      </c>
      <c r="X472" s="396" t="s">
        <v>5051</v>
      </c>
      <c r="Y472" s="396" t="s">
        <v>5052</v>
      </c>
      <c r="Z472" s="397" t="s">
        <v>5053</v>
      </c>
    </row>
    <row r="473" spans="1:26" ht="12.75" customHeight="1" x14ac:dyDescent="0.2">
      <c r="A473" s="6105"/>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5054</v>
      </c>
      <c r="W473" s="396" t="s">
        <v>5055</v>
      </c>
      <c r="X473" s="396" t="s">
        <v>5056</v>
      </c>
      <c r="Y473" s="396" t="s">
        <v>5057</v>
      </c>
      <c r="Z473" s="397" t="s">
        <v>5058</v>
      </c>
    </row>
    <row r="474" spans="1:26" ht="12.75" customHeight="1" x14ac:dyDescent="0.2">
      <c r="A474" s="6105"/>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5059</v>
      </c>
      <c r="W474" s="396" t="s">
        <v>5060</v>
      </c>
      <c r="X474" s="396" t="s">
        <v>5061</v>
      </c>
      <c r="Y474" s="396" t="s">
        <v>5062</v>
      </c>
      <c r="Z474" s="397" t="s">
        <v>5063</v>
      </c>
    </row>
    <row r="475" spans="1:26" ht="12.75" customHeight="1" x14ac:dyDescent="0.2">
      <c r="A475" s="6105"/>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05"/>
      <c r="B476" s="261" t="str">
        <f t="shared" si="11"/>
        <v>Libre acceso62</v>
      </c>
      <c r="C476" s="398"/>
      <c r="D476" s="282" t="s">
        <v>452</v>
      </c>
      <c r="E476" s="394" t="s">
        <v>381</v>
      </c>
      <c r="F476" s="394">
        <f>F463+10</f>
        <v>62</v>
      </c>
      <c r="G476" s="403" t="s">
        <v>1384</v>
      </c>
      <c r="H476" s="403" t="s">
        <v>4065</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5064</v>
      </c>
      <c r="W476" s="396" t="s">
        <v>5065</v>
      </c>
      <c r="X476" s="396" t="s">
        <v>5066</v>
      </c>
      <c r="Y476" s="396" t="s">
        <v>5067</v>
      </c>
      <c r="Z476" s="397" t="s">
        <v>5068</v>
      </c>
    </row>
    <row r="477" spans="1:26" ht="12.75" customHeight="1" x14ac:dyDescent="0.2">
      <c r="A477" s="6105"/>
      <c r="B477" s="261" t="str">
        <f t="shared" si="11"/>
        <v>Libre acceso62</v>
      </c>
      <c r="C477" s="398"/>
      <c r="D477" s="282" t="s">
        <v>453</v>
      </c>
      <c r="E477" s="394" t="s">
        <v>381</v>
      </c>
      <c r="F477" s="394">
        <f t="shared" ref="F477:F487" si="13">F464+10</f>
        <v>62</v>
      </c>
      <c r="G477" s="403" t="s">
        <v>1384</v>
      </c>
      <c r="H477" s="403" t="s">
        <v>4065</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5069</v>
      </c>
    </row>
    <row r="478" spans="1:26" ht="12.75" customHeight="1" x14ac:dyDescent="0.2">
      <c r="A478" s="6105"/>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5070</v>
      </c>
      <c r="W478" s="396" t="s">
        <v>5071</v>
      </c>
      <c r="X478" s="396" t="s">
        <v>5072</v>
      </c>
      <c r="Y478" s="396" t="s">
        <v>5073</v>
      </c>
      <c r="Z478" s="397" t="s">
        <v>5074</v>
      </c>
    </row>
    <row r="479" spans="1:26" ht="12.75" customHeight="1" x14ac:dyDescent="0.2">
      <c r="A479" s="6105"/>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5075</v>
      </c>
      <c r="W479" s="396" t="s">
        <v>5076</v>
      </c>
      <c r="X479" s="396" t="s">
        <v>5077</v>
      </c>
      <c r="Y479" s="396" t="s">
        <v>5078</v>
      </c>
      <c r="Z479" s="397" t="s">
        <v>5079</v>
      </c>
    </row>
    <row r="480" spans="1:26" ht="12.75" customHeight="1" x14ac:dyDescent="0.2">
      <c r="A480" s="6105"/>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5080</v>
      </c>
      <c r="W480" s="396" t="s">
        <v>4045</v>
      </c>
      <c r="X480" s="396" t="s">
        <v>5081</v>
      </c>
      <c r="Y480" s="396" t="s">
        <v>4046</v>
      </c>
      <c r="Z480" s="397" t="s">
        <v>5082</v>
      </c>
    </row>
    <row r="481" spans="1:26" ht="12.75" customHeight="1" x14ac:dyDescent="0.2">
      <c r="A481" s="6105"/>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5083</v>
      </c>
      <c r="W481" s="396" t="s">
        <v>5084</v>
      </c>
      <c r="X481" s="396" t="s">
        <v>5085</v>
      </c>
      <c r="Y481" s="396" t="s">
        <v>5086</v>
      </c>
      <c r="Z481" s="397" t="s">
        <v>5087</v>
      </c>
    </row>
    <row r="482" spans="1:26" ht="12.75" customHeight="1" x14ac:dyDescent="0.2">
      <c r="A482" s="6105"/>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5088</v>
      </c>
      <c r="W482" s="396" t="s">
        <v>5089</v>
      </c>
      <c r="X482" s="396" t="s">
        <v>5090</v>
      </c>
      <c r="Y482" s="396" t="s">
        <v>5091</v>
      </c>
      <c r="Z482" s="397" t="s">
        <v>5092</v>
      </c>
    </row>
    <row r="483" spans="1:26" ht="12.75" customHeight="1" x14ac:dyDescent="0.2">
      <c r="A483" s="6105"/>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5093</v>
      </c>
      <c r="W483" s="396" t="s">
        <v>5094</v>
      </c>
      <c r="X483" s="396" t="s">
        <v>5095</v>
      </c>
      <c r="Y483" s="396" t="s">
        <v>5096</v>
      </c>
      <c r="Z483" s="397" t="s">
        <v>5097</v>
      </c>
    </row>
    <row r="484" spans="1:26" ht="12.75" customHeight="1" x14ac:dyDescent="0.2">
      <c r="A484" s="6105"/>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5098</v>
      </c>
      <c r="W484" s="396" t="s">
        <v>5099</v>
      </c>
      <c r="X484" s="396" t="s">
        <v>5100</v>
      </c>
      <c r="Y484" s="396" t="s">
        <v>5101</v>
      </c>
      <c r="Z484" s="397" t="s">
        <v>5102</v>
      </c>
    </row>
    <row r="485" spans="1:26" ht="12.75" customHeight="1" x14ac:dyDescent="0.2">
      <c r="A485" s="6105"/>
      <c r="B485" s="261" t="str">
        <f t="shared" si="11"/>
        <v>Libre acceso62</v>
      </c>
      <c r="C485" s="398"/>
      <c r="D485" s="282" t="s">
        <v>1914</v>
      </c>
      <c r="E485" s="394" t="s">
        <v>381</v>
      </c>
      <c r="F485" s="394">
        <f t="shared" si="13"/>
        <v>62</v>
      </c>
      <c r="G485" s="403" t="s">
        <v>1384</v>
      </c>
      <c r="H485" s="403" t="s">
        <v>4065</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4633</v>
      </c>
      <c r="X485" s="396" t="s">
        <v>3643</v>
      </c>
      <c r="Y485" s="396" t="s">
        <v>4634</v>
      </c>
      <c r="Z485" s="397" t="s">
        <v>5103</v>
      </c>
    </row>
    <row r="486" spans="1:26" ht="12.75" customHeight="1" x14ac:dyDescent="0.2">
      <c r="A486" s="6105"/>
      <c r="B486" s="261" t="str">
        <f t="shared" si="11"/>
        <v>Libre acceso62</v>
      </c>
      <c r="C486" s="398"/>
      <c r="D486" s="282" t="s">
        <v>461</v>
      </c>
      <c r="E486" s="394" t="s">
        <v>381</v>
      </c>
      <c r="F486" s="394">
        <f t="shared" si="13"/>
        <v>62</v>
      </c>
      <c r="G486" s="403" t="s">
        <v>2094</v>
      </c>
      <c r="H486" s="403" t="s">
        <v>4065</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4633</v>
      </c>
      <c r="X486" s="396" t="s">
        <v>3643</v>
      </c>
      <c r="Y486" s="396" t="s">
        <v>4634</v>
      </c>
      <c r="Z486" s="397" t="s">
        <v>5104</v>
      </c>
    </row>
    <row r="487" spans="1:26" ht="12.75" customHeight="1" x14ac:dyDescent="0.2">
      <c r="A487" s="6105"/>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5098</v>
      </c>
      <c r="W487" s="396" t="s">
        <v>5099</v>
      </c>
      <c r="X487" s="396" t="s">
        <v>5100</v>
      </c>
      <c r="Y487" s="396" t="s">
        <v>5101</v>
      </c>
      <c r="Z487" s="397" t="s">
        <v>5105</v>
      </c>
    </row>
    <row r="488" spans="1:26" ht="12.75" customHeight="1" x14ac:dyDescent="0.2">
      <c r="A488" s="6105"/>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05"/>
      <c r="B489" s="261" t="str">
        <f t="shared" si="11"/>
        <v>Libre acceso72</v>
      </c>
      <c r="C489" s="398"/>
      <c r="D489" s="282" t="s">
        <v>464</v>
      </c>
      <c r="E489" s="394" t="s">
        <v>381</v>
      </c>
      <c r="F489" s="394">
        <f>F476+10</f>
        <v>72</v>
      </c>
      <c r="G489" s="403" t="s">
        <v>2094</v>
      </c>
      <c r="H489" s="403" t="s">
        <v>4065</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5106</v>
      </c>
      <c r="W489" s="396" t="s">
        <v>5107</v>
      </c>
      <c r="X489" s="396" t="s">
        <v>5108</v>
      </c>
      <c r="Y489" s="396" t="s">
        <v>5109</v>
      </c>
      <c r="Z489" s="397" t="s">
        <v>5110</v>
      </c>
    </row>
    <row r="490" spans="1:26" ht="12.75" customHeight="1" x14ac:dyDescent="0.2">
      <c r="A490" s="6105"/>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5111</v>
      </c>
      <c r="W490" s="396" t="s">
        <v>5112</v>
      </c>
      <c r="X490" s="396" t="s">
        <v>5113</v>
      </c>
      <c r="Y490" s="396" t="s">
        <v>5114</v>
      </c>
      <c r="Z490" s="397" t="s">
        <v>5115</v>
      </c>
    </row>
    <row r="491" spans="1:26" ht="12.75" customHeight="1" x14ac:dyDescent="0.2">
      <c r="A491" s="6105"/>
      <c r="B491" s="261" t="str">
        <f t="shared" si="11"/>
        <v>Libre acceso72</v>
      </c>
      <c r="C491" s="398"/>
      <c r="D491" s="282" t="s">
        <v>466</v>
      </c>
      <c r="E491" s="394" t="s">
        <v>381</v>
      </c>
      <c r="F491" s="394">
        <f t="shared" si="14"/>
        <v>72</v>
      </c>
      <c r="G491" s="403" t="s">
        <v>1384</v>
      </c>
      <c r="H491" s="403" t="s">
        <v>4065</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3819</v>
      </c>
      <c r="Z491" s="397" t="s">
        <v>5116</v>
      </c>
    </row>
    <row r="492" spans="1:26" ht="12.75" customHeight="1" x14ac:dyDescent="0.2">
      <c r="A492" s="6105"/>
      <c r="B492" s="261" t="str">
        <f t="shared" si="11"/>
        <v>Libre acceso72</v>
      </c>
      <c r="C492" s="398"/>
      <c r="D492" s="282" t="s">
        <v>467</v>
      </c>
      <c r="E492" s="394" t="s">
        <v>381</v>
      </c>
      <c r="F492" s="394">
        <f t="shared" si="14"/>
        <v>72</v>
      </c>
      <c r="G492" s="403" t="s">
        <v>1384</v>
      </c>
      <c r="H492" s="403" t="s">
        <v>5130</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5131</v>
      </c>
    </row>
    <row r="493" spans="1:26" ht="12.75" customHeight="1" x14ac:dyDescent="0.2">
      <c r="A493" s="6105"/>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5124</v>
      </c>
      <c r="W493" s="396" t="s">
        <v>5125</v>
      </c>
      <c r="X493" s="396" t="s">
        <v>5126</v>
      </c>
      <c r="Y493" s="396" t="s">
        <v>5127</v>
      </c>
      <c r="Z493" s="397" t="s">
        <v>5128</v>
      </c>
    </row>
    <row r="494" spans="1:26" ht="12.75" customHeight="1" x14ac:dyDescent="0.2">
      <c r="A494" s="6105"/>
      <c r="B494" s="261" t="str">
        <f t="shared" si="11"/>
        <v>Libre acceso72</v>
      </c>
      <c r="C494" s="398"/>
      <c r="D494" s="282" t="s">
        <v>468</v>
      </c>
      <c r="E494" s="394" t="s">
        <v>381</v>
      </c>
      <c r="F494" s="394">
        <f t="shared" si="14"/>
        <v>72</v>
      </c>
      <c r="G494" s="403" t="s">
        <v>1384</v>
      </c>
      <c r="H494" s="403" t="s">
        <v>4065</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4633</v>
      </c>
      <c r="Y494" s="396" t="s">
        <v>3643</v>
      </c>
      <c r="Z494" s="397" t="s">
        <v>5129</v>
      </c>
    </row>
    <row r="495" spans="1:26" ht="12.75" customHeight="1" x14ac:dyDescent="0.2">
      <c r="A495" s="6105"/>
      <c r="B495" s="261" t="str">
        <f t="shared" si="11"/>
        <v>Libre acceso72</v>
      </c>
      <c r="C495" s="398"/>
      <c r="D495" s="282" t="s">
        <v>5117</v>
      </c>
      <c r="E495" s="394" t="s">
        <v>381</v>
      </c>
      <c r="F495" s="394">
        <f t="shared" si="14"/>
        <v>72</v>
      </c>
      <c r="G495" s="403" t="s">
        <v>2094</v>
      </c>
      <c r="H495" s="403" t="s">
        <v>5118</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5119</v>
      </c>
      <c r="W495" s="396" t="s">
        <v>5120</v>
      </c>
      <c r="X495" s="396" t="s">
        <v>5121</v>
      </c>
      <c r="Y495" s="396" t="s">
        <v>5122</v>
      </c>
      <c r="Z495" s="397" t="s">
        <v>5123</v>
      </c>
    </row>
    <row r="496" spans="1:26" ht="12.75" customHeight="1" x14ac:dyDescent="0.2">
      <c r="A496" s="6105"/>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5132</v>
      </c>
      <c r="W496" s="396" t="s">
        <v>5133</v>
      </c>
      <c r="X496" s="396" t="s">
        <v>5134</v>
      </c>
      <c r="Y496" s="396" t="s">
        <v>2705</v>
      </c>
      <c r="Z496" s="397" t="s">
        <v>5135</v>
      </c>
    </row>
    <row r="497" spans="1:26" ht="12.75" customHeight="1" x14ac:dyDescent="0.2">
      <c r="A497" s="6105"/>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5136</v>
      </c>
      <c r="W497" s="396" t="s">
        <v>5137</v>
      </c>
      <c r="X497" s="396" t="s">
        <v>5138</v>
      </c>
      <c r="Y497" s="396" t="s">
        <v>5139</v>
      </c>
      <c r="Z497" s="397" t="s">
        <v>5140</v>
      </c>
    </row>
    <row r="498" spans="1:26" ht="12.75" customHeight="1" x14ac:dyDescent="0.2">
      <c r="A498" s="6105"/>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5141</v>
      </c>
      <c r="W498" s="396" t="s">
        <v>5142</v>
      </c>
      <c r="X498" s="396" t="s">
        <v>5143</v>
      </c>
      <c r="Y498" s="396" t="s">
        <v>5144</v>
      </c>
      <c r="Z498" s="397" t="s">
        <v>5145</v>
      </c>
    </row>
    <row r="499" spans="1:26" ht="12.75" customHeight="1" x14ac:dyDescent="0.2">
      <c r="A499" s="6105"/>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4681</v>
      </c>
      <c r="W499" s="396" t="s">
        <v>3830</v>
      </c>
      <c r="X499" s="396" t="s">
        <v>4682</v>
      </c>
      <c r="Y499" s="396" t="s">
        <v>4683</v>
      </c>
      <c r="Z499" s="397" t="s">
        <v>5146</v>
      </c>
    </row>
    <row r="500" spans="1:26" ht="12.75" customHeight="1" x14ac:dyDescent="0.2">
      <c r="A500" s="6105"/>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5147</v>
      </c>
      <c r="W500" s="396" t="s">
        <v>5148</v>
      </c>
      <c r="X500" s="396" t="s">
        <v>5149</v>
      </c>
      <c r="Y500" s="396" t="s">
        <v>5150</v>
      </c>
      <c r="Z500" s="397" t="s">
        <v>5151</v>
      </c>
    </row>
    <row r="501" spans="1:26" ht="12.75" customHeight="1" x14ac:dyDescent="0.2">
      <c r="A501" s="6105"/>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05"/>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3964</v>
      </c>
      <c r="W502" s="396" t="s">
        <v>5152</v>
      </c>
      <c r="X502" s="396" t="s">
        <v>5153</v>
      </c>
      <c r="Y502" s="396" t="s">
        <v>5154</v>
      </c>
      <c r="Z502" s="397" t="s">
        <v>5155</v>
      </c>
    </row>
    <row r="503" spans="1:26" ht="12.75" customHeight="1" x14ac:dyDescent="0.2">
      <c r="A503" s="6105"/>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5156</v>
      </c>
      <c r="W503" s="396" t="s">
        <v>5157</v>
      </c>
      <c r="X503" s="396" t="s">
        <v>5158</v>
      </c>
      <c r="Y503" s="396" t="s">
        <v>5159</v>
      </c>
      <c r="Z503" s="397" t="s">
        <v>5160</v>
      </c>
    </row>
    <row r="504" spans="1:26" ht="12.75" customHeight="1" x14ac:dyDescent="0.2">
      <c r="A504" s="6105"/>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4356</v>
      </c>
      <c r="Z504" s="397" t="s">
        <v>5161</v>
      </c>
    </row>
    <row r="505" spans="1:26" ht="12.75" customHeight="1" x14ac:dyDescent="0.2">
      <c r="A505" s="6105"/>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3964</v>
      </c>
      <c r="W505" s="396" t="s">
        <v>5162</v>
      </c>
      <c r="X505" s="396" t="s">
        <v>5163</v>
      </c>
      <c r="Y505" s="396" t="s">
        <v>5164</v>
      </c>
      <c r="Z505" s="397" t="s">
        <v>7253</v>
      </c>
    </row>
    <row r="506" spans="1:26" ht="12.75" customHeight="1" x14ac:dyDescent="0.2">
      <c r="A506" s="6105"/>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5165</v>
      </c>
    </row>
    <row r="507" spans="1:26" ht="12.75" customHeight="1" x14ac:dyDescent="0.2">
      <c r="A507" s="6105"/>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5166</v>
      </c>
      <c r="W507" s="396" t="s">
        <v>5167</v>
      </c>
      <c r="X507" s="396" t="s">
        <v>5168</v>
      </c>
      <c r="Y507" s="396" t="s">
        <v>5169</v>
      </c>
      <c r="Z507" s="397" t="s">
        <v>5170</v>
      </c>
    </row>
    <row r="508" spans="1:26" ht="12.75" customHeight="1" x14ac:dyDescent="0.2">
      <c r="A508" s="6105"/>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5171</v>
      </c>
      <c r="W508" s="396" t="s">
        <v>5172</v>
      </c>
      <c r="X508" s="396" t="s">
        <v>5173</v>
      </c>
      <c r="Y508" s="396" t="s">
        <v>5174</v>
      </c>
      <c r="Z508" s="397" t="s">
        <v>5175</v>
      </c>
    </row>
    <row r="509" spans="1:26" ht="12.75" customHeight="1" x14ac:dyDescent="0.2">
      <c r="A509" s="6105"/>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4926</v>
      </c>
      <c r="W509" s="396" t="s">
        <v>5176</v>
      </c>
      <c r="X509" s="396" t="s">
        <v>5177</v>
      </c>
      <c r="Y509" s="396" t="s">
        <v>5178</v>
      </c>
      <c r="Z509" s="397" t="s">
        <v>5179</v>
      </c>
    </row>
    <row r="510" spans="1:26" ht="12.75" customHeight="1" x14ac:dyDescent="0.2">
      <c r="A510" s="6105"/>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5180</v>
      </c>
      <c r="W510" s="396" t="s">
        <v>5181</v>
      </c>
      <c r="X510" s="396" t="s">
        <v>5182</v>
      </c>
      <c r="Y510" s="396" t="s">
        <v>5183</v>
      </c>
      <c r="Z510" s="397" t="s">
        <v>5184</v>
      </c>
    </row>
    <row r="511" spans="1:26" ht="12.75" customHeight="1" x14ac:dyDescent="0.2">
      <c r="A511" s="6105"/>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5185</v>
      </c>
      <c r="W511" s="396" t="s">
        <v>5186</v>
      </c>
      <c r="X511" s="396" t="s">
        <v>5187</v>
      </c>
      <c r="Y511" s="396" t="s">
        <v>5188</v>
      </c>
      <c r="Z511" s="397" t="s">
        <v>5189</v>
      </c>
    </row>
    <row r="512" spans="1:26" ht="12.75" customHeight="1" x14ac:dyDescent="0.2">
      <c r="A512" s="6105"/>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5190</v>
      </c>
      <c r="W512" s="396" t="s">
        <v>5191</v>
      </c>
      <c r="X512" s="396" t="s">
        <v>5192</v>
      </c>
      <c r="Y512" s="396" t="s">
        <v>5193</v>
      </c>
      <c r="Z512" s="397" t="s">
        <v>5194</v>
      </c>
    </row>
    <row r="513" spans="1:26" ht="12.75" customHeight="1" x14ac:dyDescent="0.2">
      <c r="A513" s="6105"/>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5195</v>
      </c>
      <c r="W513" s="396" t="s">
        <v>5196</v>
      </c>
      <c r="X513" s="396" t="s">
        <v>5197</v>
      </c>
      <c r="Y513" s="396" t="s">
        <v>5198</v>
      </c>
      <c r="Z513" s="397" t="s">
        <v>5199</v>
      </c>
    </row>
    <row r="514" spans="1:26" ht="12.75" customHeight="1" x14ac:dyDescent="0.2">
      <c r="A514" s="6105"/>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05"/>
      <c r="B515" s="261" t="str">
        <f t="shared" si="11"/>
        <v>Libre acceso92</v>
      </c>
      <c r="C515" s="398"/>
      <c r="D515" s="282" t="s">
        <v>483</v>
      </c>
      <c r="E515" s="394" t="s">
        <v>381</v>
      </c>
      <c r="F515" s="394">
        <f>F502+10</f>
        <v>92</v>
      </c>
      <c r="G515" s="403" t="s">
        <v>1384</v>
      </c>
      <c r="H515" s="403" t="s">
        <v>5200</v>
      </c>
      <c r="I515" s="404" t="s">
        <v>1307</v>
      </c>
      <c r="J515" s="394">
        <v>10</v>
      </c>
      <c r="K515" s="394">
        <v>12</v>
      </c>
      <c r="L515" s="394">
        <v>14</v>
      </c>
      <c r="M515" s="399">
        <v>16</v>
      </c>
      <c r="N515" s="394">
        <v>200</v>
      </c>
      <c r="O515" s="394">
        <v>300</v>
      </c>
      <c r="P515" s="394">
        <v>360</v>
      </c>
      <c r="Q515" s="399">
        <v>420</v>
      </c>
      <c r="R515" s="394"/>
      <c r="S515" s="394"/>
      <c r="T515" s="394"/>
      <c r="U515" s="399" t="s">
        <v>3621</v>
      </c>
      <c r="V515" s="396" t="s">
        <v>4926</v>
      </c>
      <c r="W515" s="396" t="s">
        <v>5201</v>
      </c>
      <c r="X515" s="396" t="s">
        <v>5202</v>
      </c>
      <c r="Y515" s="396" t="s">
        <v>5203</v>
      </c>
      <c r="Z515" s="397" t="s">
        <v>5204</v>
      </c>
    </row>
    <row r="516" spans="1:26" ht="12.75" customHeight="1" x14ac:dyDescent="0.2">
      <c r="A516" s="6105"/>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5205</v>
      </c>
      <c r="W516" s="396" t="s">
        <v>5206</v>
      </c>
      <c r="X516" s="396" t="s">
        <v>5207</v>
      </c>
      <c r="Y516" s="396" t="s">
        <v>5208</v>
      </c>
      <c r="Z516" s="397" t="s">
        <v>5209</v>
      </c>
    </row>
    <row r="517" spans="1:26" ht="12.75" customHeight="1" x14ac:dyDescent="0.2">
      <c r="A517" s="6105"/>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5210</v>
      </c>
      <c r="W517" s="396" t="s">
        <v>5211</v>
      </c>
      <c r="X517" s="396" t="s">
        <v>5212</v>
      </c>
      <c r="Y517" s="396" t="s">
        <v>5213</v>
      </c>
      <c r="Z517" s="397" t="s">
        <v>5214</v>
      </c>
    </row>
    <row r="518" spans="1:26" ht="12.75" customHeight="1" x14ac:dyDescent="0.2">
      <c r="A518" s="6105"/>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5215</v>
      </c>
      <c r="W518" s="396" t="s">
        <v>5216</v>
      </c>
      <c r="X518" s="396" t="s">
        <v>5217</v>
      </c>
      <c r="Y518" s="396" t="s">
        <v>5218</v>
      </c>
      <c r="Z518" s="397" t="s">
        <v>5219</v>
      </c>
    </row>
    <row r="519" spans="1:26" ht="12.75" customHeight="1" x14ac:dyDescent="0.2">
      <c r="A519" s="6105"/>
      <c r="B519" s="261" t="str">
        <f t="shared" si="11"/>
        <v>Libre acceso92</v>
      </c>
      <c r="C519" s="398"/>
      <c r="D519" s="282" t="s">
        <v>487</v>
      </c>
      <c r="E519" s="394" t="s">
        <v>381</v>
      </c>
      <c r="F519" s="394">
        <f t="shared" si="16"/>
        <v>92</v>
      </c>
      <c r="G519" s="403" t="s">
        <v>1384</v>
      </c>
      <c r="H519" s="403" t="s">
        <v>4065</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5220</v>
      </c>
    </row>
    <row r="520" spans="1:26" ht="12.75" customHeight="1" x14ac:dyDescent="0.2">
      <c r="A520" s="6105"/>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5221</v>
      </c>
      <c r="W520" s="396" t="s">
        <v>5222</v>
      </c>
      <c r="X520" s="396" t="s">
        <v>5223</v>
      </c>
      <c r="Y520" s="396" t="s">
        <v>5224</v>
      </c>
      <c r="Z520" s="397" t="s">
        <v>5225</v>
      </c>
    </row>
    <row r="521" spans="1:26" ht="12.75" customHeight="1" x14ac:dyDescent="0.2">
      <c r="A521" s="6105"/>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5226</v>
      </c>
      <c r="W521" s="396" t="s">
        <v>5227</v>
      </c>
      <c r="X521" s="396" t="s">
        <v>5228</v>
      </c>
      <c r="Y521" s="396" t="s">
        <v>5229</v>
      </c>
      <c r="Z521" s="397" t="s">
        <v>5230</v>
      </c>
    </row>
    <row r="522" spans="1:26" ht="12.75" customHeight="1" x14ac:dyDescent="0.2">
      <c r="A522" s="6105"/>
      <c r="B522" s="261" t="str">
        <f t="shared" si="17"/>
        <v>Libre acceso92</v>
      </c>
      <c r="C522" s="398"/>
      <c r="D522" s="282" t="s">
        <v>490</v>
      </c>
      <c r="E522" s="394" t="s">
        <v>381</v>
      </c>
      <c r="F522" s="394">
        <f t="shared" si="16"/>
        <v>92</v>
      </c>
      <c r="G522" s="403" t="s">
        <v>2094</v>
      </c>
      <c r="H522" s="403" t="s">
        <v>4065</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3819</v>
      </c>
      <c r="Z522" s="397" t="s">
        <v>5231</v>
      </c>
    </row>
    <row r="523" spans="1:26" ht="12.75" customHeight="1" x14ac:dyDescent="0.2">
      <c r="A523" s="6105"/>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5232</v>
      </c>
      <c r="W523" s="396" t="s">
        <v>5233</v>
      </c>
      <c r="X523" s="396" t="s">
        <v>5234</v>
      </c>
      <c r="Y523" s="396" t="s">
        <v>5235</v>
      </c>
      <c r="Z523" s="397" t="s">
        <v>5236</v>
      </c>
    </row>
    <row r="524" spans="1:26" ht="12.75" customHeight="1" x14ac:dyDescent="0.2">
      <c r="A524" s="6105"/>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4709</v>
      </c>
      <c r="W524" s="396" t="s">
        <v>4683</v>
      </c>
      <c r="X524" s="396" t="s">
        <v>5237</v>
      </c>
      <c r="Y524" s="396" t="s">
        <v>5238</v>
      </c>
      <c r="Z524" s="397" t="s">
        <v>5239</v>
      </c>
    </row>
    <row r="525" spans="1:26" ht="12.75" customHeight="1" x14ac:dyDescent="0.2">
      <c r="A525" s="6105"/>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5240</v>
      </c>
      <c r="W525" s="396" t="s">
        <v>5241</v>
      </c>
      <c r="X525" s="396" t="s">
        <v>5242</v>
      </c>
      <c r="Y525" s="396" t="s">
        <v>5243</v>
      </c>
      <c r="Z525" s="397" t="s">
        <v>5244</v>
      </c>
    </row>
    <row r="526" spans="1:26" ht="12.75" customHeight="1" x14ac:dyDescent="0.2">
      <c r="A526" s="6105"/>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5245</v>
      </c>
      <c r="X526" s="396" t="s">
        <v>3525</v>
      </c>
      <c r="Y526" s="396" t="s">
        <v>3526</v>
      </c>
      <c r="Z526" s="397" t="s">
        <v>5246</v>
      </c>
    </row>
    <row r="527" spans="1:26" ht="12.75" customHeight="1" x14ac:dyDescent="0.2">
      <c r="A527" s="6105"/>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05"/>
      <c r="B528" s="261" t="str">
        <f t="shared" si="17"/>
        <v>Caos4</v>
      </c>
      <c r="C528" s="398"/>
      <c r="D528" s="282" t="s">
        <v>496</v>
      </c>
      <c r="E528" s="394" t="s">
        <v>81</v>
      </c>
      <c r="F528" s="394">
        <v>4</v>
      </c>
      <c r="G528" s="403" t="s">
        <v>2612</v>
      </c>
      <c r="H528" s="403" t="s">
        <v>5247</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5248</v>
      </c>
      <c r="Z528" s="397" t="s">
        <v>5249</v>
      </c>
    </row>
    <row r="529" spans="1:26" ht="12.75" customHeight="1" x14ac:dyDescent="0.2">
      <c r="A529" s="6105"/>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5250</v>
      </c>
      <c r="W529" s="396" t="s">
        <v>5251</v>
      </c>
      <c r="X529" s="396" t="s">
        <v>5252</v>
      </c>
      <c r="Y529" s="396" t="s">
        <v>5253</v>
      </c>
      <c r="Z529" s="397" t="s">
        <v>5254</v>
      </c>
    </row>
    <row r="530" spans="1:26" ht="12.75" customHeight="1" x14ac:dyDescent="0.2">
      <c r="A530" s="6105"/>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5255</v>
      </c>
      <c r="W530" s="396" t="s">
        <v>5256</v>
      </c>
      <c r="X530" s="396" t="s">
        <v>5257</v>
      </c>
      <c r="Y530" s="396" t="s">
        <v>5258</v>
      </c>
      <c r="Z530" s="397" t="s">
        <v>5259</v>
      </c>
    </row>
    <row r="531" spans="1:26" ht="12.75" customHeight="1" x14ac:dyDescent="0.2">
      <c r="A531" s="6105"/>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5260</v>
      </c>
      <c r="X531" s="396" t="s">
        <v>5261</v>
      </c>
      <c r="Y531" s="396" t="s">
        <v>3358</v>
      </c>
      <c r="Z531" s="397" t="s">
        <v>5262</v>
      </c>
    </row>
    <row r="532" spans="1:26" ht="12.75" customHeight="1" x14ac:dyDescent="0.2">
      <c r="A532" s="6105"/>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5263</v>
      </c>
      <c r="W532" s="396" t="s">
        <v>5264</v>
      </c>
      <c r="X532" s="396" t="s">
        <v>5265</v>
      </c>
      <c r="Y532" s="396" t="s">
        <v>5266</v>
      </c>
      <c r="Z532" s="397" t="s">
        <v>5267</v>
      </c>
    </row>
    <row r="533" spans="1:26" ht="12.75" customHeight="1" x14ac:dyDescent="0.2">
      <c r="A533" s="6105"/>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5268</v>
      </c>
    </row>
    <row r="534" spans="1:26" ht="12.75" customHeight="1" x14ac:dyDescent="0.2">
      <c r="A534" s="6105"/>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5269</v>
      </c>
      <c r="X534" s="396" t="s">
        <v>5270</v>
      </c>
      <c r="Y534" s="396" t="s">
        <v>5271</v>
      </c>
      <c r="Z534" s="397" t="s">
        <v>5272</v>
      </c>
    </row>
    <row r="535" spans="1:26" ht="12.75" customHeight="1" x14ac:dyDescent="0.2">
      <c r="A535" s="6105"/>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5273</v>
      </c>
      <c r="W535" s="396" t="s">
        <v>5274</v>
      </c>
      <c r="X535" s="396" t="s">
        <v>5275</v>
      </c>
      <c r="Y535" s="396" t="s">
        <v>5276</v>
      </c>
      <c r="Z535" s="397" t="s">
        <v>5277</v>
      </c>
    </row>
    <row r="536" spans="1:26" ht="12.75" customHeight="1" x14ac:dyDescent="0.2">
      <c r="A536" s="6105"/>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5278</v>
      </c>
      <c r="W536" s="396" t="s">
        <v>5279</v>
      </c>
      <c r="X536" s="396" t="s">
        <v>5280</v>
      </c>
      <c r="Y536" s="396" t="s">
        <v>5281</v>
      </c>
      <c r="Z536" s="397" t="s">
        <v>5282</v>
      </c>
    </row>
    <row r="537" spans="1:26" ht="12.75" customHeight="1" x14ac:dyDescent="0.2">
      <c r="A537" s="6105"/>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5283</v>
      </c>
      <c r="W537" s="396" t="s">
        <v>5284</v>
      </c>
      <c r="X537" s="396" t="s">
        <v>5285</v>
      </c>
      <c r="Y537" s="396" t="s">
        <v>5286</v>
      </c>
      <c r="Z537" s="397" t="s">
        <v>5287</v>
      </c>
    </row>
    <row r="538" spans="1:26" ht="12.75" customHeight="1" x14ac:dyDescent="0.2">
      <c r="A538" s="6105"/>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05"/>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5288</v>
      </c>
      <c r="W539" s="396" t="s">
        <v>5289</v>
      </c>
      <c r="X539" s="396" t="s">
        <v>5290</v>
      </c>
      <c r="Y539" s="396" t="s">
        <v>5291</v>
      </c>
      <c r="Z539" s="397" t="s">
        <v>5292</v>
      </c>
    </row>
    <row r="540" spans="1:26" ht="12.75" customHeight="1" x14ac:dyDescent="0.2">
      <c r="A540" s="6105"/>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5293</v>
      </c>
      <c r="W540" s="396" t="s">
        <v>5294</v>
      </c>
      <c r="X540" s="396" t="s">
        <v>5295</v>
      </c>
      <c r="Y540" s="396" t="s">
        <v>5296</v>
      </c>
      <c r="Z540" s="397" t="s">
        <v>5297</v>
      </c>
    </row>
    <row r="541" spans="1:26" ht="12.75" customHeight="1" x14ac:dyDescent="0.2">
      <c r="A541" s="6105"/>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5298</v>
      </c>
      <c r="W541" s="396" t="s">
        <v>5299</v>
      </c>
      <c r="X541" s="396" t="s">
        <v>5300</v>
      </c>
      <c r="Y541" s="396" t="s">
        <v>5301</v>
      </c>
      <c r="Z541" s="397" t="s">
        <v>5302</v>
      </c>
    </row>
    <row r="542" spans="1:26" ht="12.75" customHeight="1" x14ac:dyDescent="0.2">
      <c r="A542" s="6105"/>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5303</v>
      </c>
      <c r="W542" s="396" t="s">
        <v>5304</v>
      </c>
      <c r="X542" s="396" t="s">
        <v>5305</v>
      </c>
      <c r="Y542" s="396" t="s">
        <v>5306</v>
      </c>
      <c r="Z542" s="397" t="s">
        <v>5307</v>
      </c>
    </row>
    <row r="543" spans="1:26" ht="12.75" customHeight="1" x14ac:dyDescent="0.2">
      <c r="A543" s="6105"/>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5308</v>
      </c>
      <c r="W543" s="396" t="s">
        <v>5309</v>
      </c>
      <c r="X543" s="396" t="s">
        <v>5310</v>
      </c>
      <c r="Y543" s="396" t="s">
        <v>5311</v>
      </c>
      <c r="Z543" s="397" t="s">
        <v>5312</v>
      </c>
    </row>
    <row r="544" spans="1:26" ht="12.75" customHeight="1" x14ac:dyDescent="0.2">
      <c r="A544" s="6105"/>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5293</v>
      </c>
      <c r="W544" s="396" t="s">
        <v>5294</v>
      </c>
      <c r="X544" s="396" t="s">
        <v>5313</v>
      </c>
      <c r="Y544" s="396" t="s">
        <v>5296</v>
      </c>
      <c r="Z544" s="397" t="s">
        <v>5314</v>
      </c>
    </row>
    <row r="545" spans="1:26" ht="12.75" customHeight="1" x14ac:dyDescent="0.2">
      <c r="A545" s="6105"/>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5315</v>
      </c>
      <c r="W545" s="396" t="s">
        <v>5316</v>
      </c>
      <c r="X545" s="396" t="s">
        <v>5317</v>
      </c>
      <c r="Y545" s="396" t="s">
        <v>5318</v>
      </c>
      <c r="Z545" s="397" t="s">
        <v>5319</v>
      </c>
    </row>
    <row r="546" spans="1:26" ht="12.75" customHeight="1" x14ac:dyDescent="0.2">
      <c r="A546" s="6105"/>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5320</v>
      </c>
      <c r="W546" s="396" t="s">
        <v>5313</v>
      </c>
      <c r="X546" s="396" t="s">
        <v>5295</v>
      </c>
      <c r="Y546" s="396" t="s">
        <v>5296</v>
      </c>
      <c r="Z546" s="397" t="s">
        <v>5321</v>
      </c>
    </row>
    <row r="547" spans="1:26" ht="12.75" customHeight="1" x14ac:dyDescent="0.2">
      <c r="A547" s="6105"/>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5322</v>
      </c>
      <c r="W547" s="396" t="s">
        <v>5323</v>
      </c>
      <c r="X547" s="396" t="s">
        <v>5324</v>
      </c>
      <c r="Y547" s="396" t="s">
        <v>5325</v>
      </c>
      <c r="Z547" s="397" t="s">
        <v>5326</v>
      </c>
    </row>
    <row r="548" spans="1:26" ht="12.75" customHeight="1" x14ac:dyDescent="0.2">
      <c r="A548" s="6105"/>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5320</v>
      </c>
      <c r="W548" s="396" t="s">
        <v>5294</v>
      </c>
      <c r="X548" s="396" t="s">
        <v>5295</v>
      </c>
      <c r="Y548" s="396" t="s">
        <v>5327</v>
      </c>
      <c r="Z548" s="397" t="s">
        <v>5328</v>
      </c>
    </row>
    <row r="549" spans="1:26" ht="12.75" customHeight="1" x14ac:dyDescent="0.2">
      <c r="A549" s="6105"/>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05"/>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5329</v>
      </c>
      <c r="W550" s="396" t="s">
        <v>5330</v>
      </c>
      <c r="X550" s="396" t="s">
        <v>5331</v>
      </c>
      <c r="Y550" s="396" t="s">
        <v>5332</v>
      </c>
      <c r="Z550" s="397" t="s">
        <v>5333</v>
      </c>
    </row>
    <row r="551" spans="1:26" ht="12.75" customHeight="1" x14ac:dyDescent="0.2">
      <c r="A551" s="6105"/>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5334</v>
      </c>
      <c r="W551" s="396" t="s">
        <v>5335</v>
      </c>
      <c r="X551" s="396" t="s">
        <v>5336</v>
      </c>
      <c r="Y551" s="396" t="s">
        <v>5337</v>
      </c>
      <c r="Z551" s="397" t="s">
        <v>5338</v>
      </c>
    </row>
    <row r="552" spans="1:26" ht="12.75" customHeight="1" x14ac:dyDescent="0.2">
      <c r="A552" s="6105"/>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5339</v>
      </c>
      <c r="Z552" s="397" t="s">
        <v>5340</v>
      </c>
    </row>
    <row r="553" spans="1:26" ht="12.75" customHeight="1" x14ac:dyDescent="0.2">
      <c r="A553" s="6105"/>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4633</v>
      </c>
      <c r="X553" s="396" t="s">
        <v>3643</v>
      </c>
      <c r="Y553" s="396" t="s">
        <v>4634</v>
      </c>
      <c r="Z553" s="397" t="s">
        <v>5341</v>
      </c>
    </row>
    <row r="554" spans="1:26" ht="12.75" customHeight="1" x14ac:dyDescent="0.2">
      <c r="A554" s="6105"/>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5342</v>
      </c>
      <c r="W554" s="396" t="s">
        <v>5343</v>
      </c>
      <c r="X554" s="396" t="s">
        <v>5344</v>
      </c>
      <c r="Y554" s="396" t="s">
        <v>4354</v>
      </c>
      <c r="Z554" s="397" t="s">
        <v>5345</v>
      </c>
    </row>
    <row r="555" spans="1:26" ht="12.75" customHeight="1" x14ac:dyDescent="0.2">
      <c r="A555" s="6105"/>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5346</v>
      </c>
      <c r="W555" s="396" t="s">
        <v>5347</v>
      </c>
      <c r="X555" s="396" t="s">
        <v>5348</v>
      </c>
      <c r="Y555" s="396" t="s">
        <v>5349</v>
      </c>
      <c r="Z555" s="397" t="s">
        <v>5350</v>
      </c>
    </row>
    <row r="556" spans="1:26" ht="12.75" customHeight="1" x14ac:dyDescent="0.2">
      <c r="A556" s="6105"/>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5351</v>
      </c>
      <c r="W556" s="396" t="s">
        <v>5352</v>
      </c>
      <c r="X556" s="396" t="s">
        <v>5353</v>
      </c>
      <c r="Y556" s="396" t="s">
        <v>5354</v>
      </c>
      <c r="Z556" s="397" t="s">
        <v>5355</v>
      </c>
    </row>
    <row r="557" spans="1:26" ht="12.75" customHeight="1" x14ac:dyDescent="0.2">
      <c r="A557" s="6105"/>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5356</v>
      </c>
    </row>
    <row r="558" spans="1:26" ht="12.75" customHeight="1" x14ac:dyDescent="0.2">
      <c r="A558" s="6105"/>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5357</v>
      </c>
      <c r="Y558" s="396" t="s">
        <v>4419</v>
      </c>
      <c r="Z558" s="397" t="s">
        <v>5358</v>
      </c>
    </row>
    <row r="559" spans="1:26" ht="12.75" customHeight="1" x14ac:dyDescent="0.2">
      <c r="A559" s="6105"/>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5359</v>
      </c>
    </row>
    <row r="560" spans="1:26" ht="12.75" customHeight="1" x14ac:dyDescent="0.2">
      <c r="A560" s="6105"/>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05"/>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5360</v>
      </c>
    </row>
    <row r="562" spans="1:26" ht="12.75" customHeight="1" x14ac:dyDescent="0.2">
      <c r="A562" s="6105"/>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5361</v>
      </c>
      <c r="W562" s="396" t="s">
        <v>5362</v>
      </c>
      <c r="X562" s="396" t="s">
        <v>5363</v>
      </c>
      <c r="Y562" s="396" t="s">
        <v>5364</v>
      </c>
      <c r="Z562" s="397" t="s">
        <v>5365</v>
      </c>
    </row>
    <row r="563" spans="1:26" ht="12.75" customHeight="1" x14ac:dyDescent="0.2">
      <c r="A563" s="6105"/>
      <c r="B563" s="261" t="str">
        <f t="shared" si="17"/>
        <v>Muerte24</v>
      </c>
      <c r="C563" s="398"/>
      <c r="D563" s="282" t="s">
        <v>531</v>
      </c>
      <c r="E563" s="394" t="s">
        <v>84</v>
      </c>
      <c r="F563" s="394">
        <v>24</v>
      </c>
      <c r="G563" s="403" t="s">
        <v>1384</v>
      </c>
      <c r="H563" s="403" t="s">
        <v>3969</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9907</v>
      </c>
      <c r="W563" s="396" t="s">
        <v>5106</v>
      </c>
      <c r="X563" s="396" t="s">
        <v>9908</v>
      </c>
      <c r="Y563" s="396" t="s">
        <v>5366</v>
      </c>
      <c r="Z563" s="397" t="s">
        <v>5367</v>
      </c>
    </row>
    <row r="564" spans="1:26" ht="12.75" customHeight="1" x14ac:dyDescent="0.2">
      <c r="A564" s="6105"/>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5368</v>
      </c>
    </row>
    <row r="565" spans="1:26" ht="12.75" customHeight="1" x14ac:dyDescent="0.2">
      <c r="A565" s="6105"/>
      <c r="B565" s="261" t="str">
        <f t="shared" si="17"/>
        <v>Muerte44</v>
      </c>
      <c r="C565" s="398"/>
      <c r="D565" s="282" t="s">
        <v>533</v>
      </c>
      <c r="E565" s="394" t="s">
        <v>84</v>
      </c>
      <c r="F565" s="394">
        <v>44</v>
      </c>
      <c r="G565" s="403" t="s">
        <v>1384</v>
      </c>
      <c r="H565" s="403" t="s">
        <v>4065</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5369</v>
      </c>
      <c r="W565" s="396" t="s">
        <v>5370</v>
      </c>
      <c r="X565" s="396" t="s">
        <v>5371</v>
      </c>
      <c r="Y565" s="396" t="s">
        <v>5372</v>
      </c>
      <c r="Z565" s="397" t="s">
        <v>5373</v>
      </c>
    </row>
    <row r="566" spans="1:26" ht="12.75" customHeight="1" x14ac:dyDescent="0.2">
      <c r="A566" s="6105"/>
      <c r="B566" s="261" t="str">
        <f t="shared" si="17"/>
        <v>Muerte54</v>
      </c>
      <c r="C566" s="398"/>
      <c r="D566" s="282" t="s">
        <v>10161</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10160</v>
      </c>
      <c r="W566" s="396" t="s">
        <v>5374</v>
      </c>
      <c r="X566" s="396" t="s">
        <v>5375</v>
      </c>
      <c r="Y566" s="396" t="s">
        <v>5376</v>
      </c>
      <c r="Z566" s="397" t="s">
        <v>5377</v>
      </c>
    </row>
    <row r="567" spans="1:26" ht="12.75" customHeight="1" x14ac:dyDescent="0.2">
      <c r="A567" s="6105"/>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5378</v>
      </c>
      <c r="W567" s="396" t="s">
        <v>5379</v>
      </c>
      <c r="X567" s="396" t="s">
        <v>5380</v>
      </c>
      <c r="Y567" s="396" t="s">
        <v>5381</v>
      </c>
      <c r="Z567" s="397" t="s">
        <v>5382</v>
      </c>
    </row>
    <row r="568" spans="1:26" ht="12.75" customHeight="1" x14ac:dyDescent="0.2">
      <c r="A568" s="6105"/>
      <c r="B568" s="261" t="str">
        <f t="shared" si="17"/>
        <v>Muerte74</v>
      </c>
      <c r="C568" s="398"/>
      <c r="D568" s="282" t="s">
        <v>535</v>
      </c>
      <c r="E568" s="394" t="s">
        <v>84</v>
      </c>
      <c r="F568" s="394">
        <v>74</v>
      </c>
      <c r="G568" s="403" t="s">
        <v>2612</v>
      </c>
      <c r="H568" s="403" t="s">
        <v>5383</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9909</v>
      </c>
    </row>
    <row r="569" spans="1:26" ht="12.75" customHeight="1" x14ac:dyDescent="0.2">
      <c r="A569" s="6105"/>
      <c r="B569" s="261" t="str">
        <f t="shared" si="17"/>
        <v>Muerte84</v>
      </c>
      <c r="C569" s="398"/>
      <c r="D569" s="282" t="s">
        <v>536</v>
      </c>
      <c r="E569" s="394" t="s">
        <v>84</v>
      </c>
      <c r="F569" s="394">
        <v>84</v>
      </c>
      <c r="G569" s="403" t="s">
        <v>1384</v>
      </c>
      <c r="H569" s="403" t="s">
        <v>3969</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5384</v>
      </c>
      <c r="W569" s="396" t="s">
        <v>5385</v>
      </c>
      <c r="X569" s="396" t="s">
        <v>5386</v>
      </c>
      <c r="Y569" s="396" t="s">
        <v>5387</v>
      </c>
      <c r="Z569" s="397" t="s">
        <v>5388</v>
      </c>
    </row>
    <row r="570" spans="1:26" ht="12.75" customHeight="1" x14ac:dyDescent="0.2">
      <c r="A570" s="6105"/>
      <c r="B570" s="261" t="str">
        <f t="shared" si="17"/>
        <v>Muerte94</v>
      </c>
      <c r="C570" s="398"/>
      <c r="D570" s="282" t="s">
        <v>537</v>
      </c>
      <c r="E570" s="394" t="s">
        <v>84</v>
      </c>
      <c r="F570" s="394">
        <v>94</v>
      </c>
      <c r="G570" s="403" t="s">
        <v>2612</v>
      </c>
      <c r="H570" s="403" t="s">
        <v>3995</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5389</v>
      </c>
      <c r="W570" s="396" t="s">
        <v>5390</v>
      </c>
      <c r="X570" s="396" t="s">
        <v>5391</v>
      </c>
      <c r="Y570" s="396" t="s">
        <v>5392</v>
      </c>
      <c r="Z570" s="397" t="s">
        <v>5393</v>
      </c>
    </row>
    <row r="571" spans="1:26" ht="12.75" customHeight="1" x14ac:dyDescent="0.2">
      <c r="A571" s="6105"/>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05"/>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5394</v>
      </c>
      <c r="W572" s="396" t="s">
        <v>5395</v>
      </c>
      <c r="X572" s="396" t="s">
        <v>5396</v>
      </c>
      <c r="Y572" s="396" t="s">
        <v>5397</v>
      </c>
      <c r="Z572" s="397" t="s">
        <v>5398</v>
      </c>
    </row>
    <row r="573" spans="1:26" ht="12.75" customHeight="1" x14ac:dyDescent="0.2">
      <c r="A573" s="6105"/>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4967</v>
      </c>
      <c r="W573" s="396" t="s">
        <v>5399</v>
      </c>
      <c r="X573" s="396" t="s">
        <v>5283</v>
      </c>
      <c r="Y573" s="396" t="s">
        <v>5400</v>
      </c>
      <c r="Z573" s="397" t="s">
        <v>5401</v>
      </c>
    </row>
    <row r="574" spans="1:26" ht="12.75" customHeight="1" x14ac:dyDescent="0.2">
      <c r="A574" s="6105"/>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5402</v>
      </c>
      <c r="W574" s="396" t="s">
        <v>5403</v>
      </c>
      <c r="X574" s="396" t="s">
        <v>5404</v>
      </c>
      <c r="Y574" s="396" t="s">
        <v>5405</v>
      </c>
      <c r="Z574" s="397" t="s">
        <v>5406</v>
      </c>
    </row>
    <row r="575" spans="1:26" ht="12.75" customHeight="1" x14ac:dyDescent="0.2">
      <c r="A575" s="6105"/>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5407</v>
      </c>
      <c r="W575" s="396" t="s">
        <v>5408</v>
      </c>
      <c r="X575" s="396" t="s">
        <v>5409</v>
      </c>
      <c r="Y575" s="396" t="s">
        <v>4949</v>
      </c>
      <c r="Z575" s="397" t="s">
        <v>5410</v>
      </c>
    </row>
    <row r="576" spans="1:26" ht="12.75" customHeight="1" x14ac:dyDescent="0.2">
      <c r="A576" s="6105"/>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5411</v>
      </c>
      <c r="W576" s="396" t="s">
        <v>5412</v>
      </c>
      <c r="X576" s="396" t="s">
        <v>5413</v>
      </c>
      <c r="Y576" s="396" t="s">
        <v>5414</v>
      </c>
      <c r="Z576" s="397" t="s">
        <v>5415</v>
      </c>
    </row>
    <row r="577" spans="1:26" ht="12.75" customHeight="1" x14ac:dyDescent="0.2">
      <c r="A577" s="6105"/>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5416</v>
      </c>
      <c r="W577" s="396" t="s">
        <v>5417</v>
      </c>
      <c r="X577" s="396" t="s">
        <v>5418</v>
      </c>
      <c r="Y577" s="396" t="s">
        <v>5419</v>
      </c>
      <c r="Z577" s="397" t="s">
        <v>5420</v>
      </c>
    </row>
    <row r="578" spans="1:26" ht="12.75" customHeight="1" x14ac:dyDescent="0.2">
      <c r="A578" s="6105"/>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5421</v>
      </c>
      <c r="W578" s="396" t="s">
        <v>5422</v>
      </c>
      <c r="X578" s="396" t="s">
        <v>5423</v>
      </c>
      <c r="Y578" s="396" t="s">
        <v>5424</v>
      </c>
      <c r="Z578" s="397" t="s">
        <v>5425</v>
      </c>
    </row>
    <row r="579" spans="1:26" ht="12.75" customHeight="1" x14ac:dyDescent="0.2">
      <c r="A579" s="6105"/>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4315</v>
      </c>
      <c r="W579" s="396" t="s">
        <v>3431</v>
      </c>
      <c r="X579" s="396" t="s">
        <v>3544</v>
      </c>
      <c r="Y579" s="396" t="s">
        <v>3432</v>
      </c>
      <c r="Z579" s="397" t="s">
        <v>5426</v>
      </c>
    </row>
    <row r="580" spans="1:26" ht="12.75" customHeight="1" x14ac:dyDescent="0.2">
      <c r="A580" s="6105"/>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5427</v>
      </c>
      <c r="W580" s="396" t="s">
        <v>5428</v>
      </c>
      <c r="X580" s="396" t="s">
        <v>5429</v>
      </c>
      <c r="Y580" s="396" t="s">
        <v>5430</v>
      </c>
      <c r="Z580" s="397" t="s">
        <v>5431</v>
      </c>
    </row>
    <row r="581" spans="1:26" ht="12.75" customHeight="1" x14ac:dyDescent="0.2">
      <c r="A581" s="6105"/>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4023</v>
      </c>
      <c r="W581" s="396" t="s">
        <v>5432</v>
      </c>
      <c r="X581" s="396" t="s">
        <v>5433</v>
      </c>
      <c r="Y581" s="396" t="s">
        <v>5434</v>
      </c>
      <c r="Z581" s="397" t="s">
        <v>5435</v>
      </c>
    </row>
    <row r="582" spans="1:26" ht="12.75" customHeight="1" x14ac:dyDescent="0.2">
      <c r="A582" s="6105"/>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05"/>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3964</v>
      </c>
      <c r="W583" s="396" t="s">
        <v>5436</v>
      </c>
      <c r="X583" s="396" t="s">
        <v>5437</v>
      </c>
      <c r="Y583" s="396" t="s">
        <v>5438</v>
      </c>
      <c r="Z583" s="397" t="s">
        <v>5439</v>
      </c>
    </row>
    <row r="584" spans="1:26" ht="12.75" customHeight="1" x14ac:dyDescent="0.2">
      <c r="A584" s="6105"/>
      <c r="B584" s="261" t="str">
        <f t="shared" ref="B584:B647" si="18">E584&amp;F584</f>
        <v>Nobleza14</v>
      </c>
      <c r="C584" s="398"/>
      <c r="D584" s="282" t="s">
        <v>551</v>
      </c>
      <c r="E584" s="394" t="s">
        <v>86</v>
      </c>
      <c r="F584" s="394">
        <v>14</v>
      </c>
      <c r="G584" s="403" t="s">
        <v>2094</v>
      </c>
      <c r="H584" s="403" t="s">
        <v>5440</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5441</v>
      </c>
      <c r="W584" s="396" t="s">
        <v>5442</v>
      </c>
      <c r="X584" s="396" t="s">
        <v>5443</v>
      </c>
      <c r="Y584" s="396" t="s">
        <v>5444</v>
      </c>
      <c r="Z584" s="397" t="s">
        <v>5445</v>
      </c>
    </row>
    <row r="585" spans="1:26" ht="12.75" customHeight="1" x14ac:dyDescent="0.2">
      <c r="A585" s="6105"/>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5446</v>
      </c>
      <c r="W585" s="396" t="s">
        <v>5447</v>
      </c>
      <c r="X585" s="396" t="s">
        <v>5448</v>
      </c>
      <c r="Y585" s="396" t="s">
        <v>5449</v>
      </c>
      <c r="Z585" s="397" t="s">
        <v>5450</v>
      </c>
    </row>
    <row r="586" spans="1:26" ht="12.75" customHeight="1" x14ac:dyDescent="0.2">
      <c r="A586" s="6105"/>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3964</v>
      </c>
      <c r="W586" s="396" t="s">
        <v>5451</v>
      </c>
      <c r="X586" s="396" t="s">
        <v>5452</v>
      </c>
      <c r="Y586" s="396" t="s">
        <v>5453</v>
      </c>
      <c r="Z586" s="397" t="s">
        <v>5454</v>
      </c>
    </row>
    <row r="587" spans="1:26" ht="12.75" customHeight="1" x14ac:dyDescent="0.2">
      <c r="A587" s="6105"/>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5455</v>
      </c>
      <c r="W587" s="396" t="s">
        <v>5456</v>
      </c>
      <c r="X587" s="396" t="s">
        <v>5457</v>
      </c>
      <c r="Y587" s="396" t="s">
        <v>5458</v>
      </c>
      <c r="Z587" s="397" t="s">
        <v>5459</v>
      </c>
    </row>
    <row r="588" spans="1:26" ht="12.75" customHeight="1" x14ac:dyDescent="0.2">
      <c r="A588" s="6105"/>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5455</v>
      </c>
      <c r="W588" s="396" t="s">
        <v>5456</v>
      </c>
      <c r="X588" s="396" t="s">
        <v>5457</v>
      </c>
      <c r="Y588" s="396" t="s">
        <v>5458</v>
      </c>
      <c r="Z588" s="397" t="s">
        <v>5460</v>
      </c>
    </row>
    <row r="589" spans="1:26" ht="12.75" customHeight="1" x14ac:dyDescent="0.2">
      <c r="A589" s="6105"/>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5455</v>
      </c>
      <c r="W589" s="396" t="s">
        <v>5456</v>
      </c>
      <c r="X589" s="396" t="s">
        <v>5457</v>
      </c>
      <c r="Y589" s="396" t="s">
        <v>5458</v>
      </c>
      <c r="Z589" s="397" t="s">
        <v>5461</v>
      </c>
    </row>
    <row r="590" spans="1:26" ht="12.75" customHeight="1" x14ac:dyDescent="0.2">
      <c r="A590" s="6105"/>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5462</v>
      </c>
      <c r="W590" s="396" t="s">
        <v>5463</v>
      </c>
      <c r="X590" s="396" t="s">
        <v>5464</v>
      </c>
      <c r="Y590" s="396" t="s">
        <v>5465</v>
      </c>
      <c r="Z590" s="397" t="s">
        <v>5466</v>
      </c>
    </row>
    <row r="591" spans="1:26" ht="12.75" customHeight="1" x14ac:dyDescent="0.2">
      <c r="A591" s="6105"/>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5467</v>
      </c>
      <c r="W591" s="396" t="s">
        <v>5468</v>
      </c>
      <c r="X591" s="396" t="s">
        <v>5469</v>
      </c>
      <c r="Y591" s="396" t="s">
        <v>5470</v>
      </c>
      <c r="Z591" s="397" t="s">
        <v>5471</v>
      </c>
    </row>
    <row r="592" spans="1:26" ht="12.75" customHeight="1" x14ac:dyDescent="0.2">
      <c r="A592" s="6105"/>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5472</v>
      </c>
      <c r="W592" s="396" t="s">
        <v>5473</v>
      </c>
      <c r="X592" s="396" t="s">
        <v>5474</v>
      </c>
      <c r="Y592" s="396" t="s">
        <v>5475</v>
      </c>
      <c r="Z592" s="397" t="s">
        <v>5476</v>
      </c>
    </row>
    <row r="593" spans="1:26" ht="12.75" customHeight="1" x14ac:dyDescent="0.2">
      <c r="A593" s="6105"/>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05"/>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5477</v>
      </c>
      <c r="W594" s="396" t="s">
        <v>5478</v>
      </c>
      <c r="X594" s="396" t="s">
        <v>5479</v>
      </c>
      <c r="Y594" s="396" t="s">
        <v>5480</v>
      </c>
      <c r="Z594" s="397" t="s">
        <v>5481</v>
      </c>
    </row>
    <row r="595" spans="1:26" ht="12.75" customHeight="1" x14ac:dyDescent="0.2">
      <c r="A595" s="6105"/>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5482</v>
      </c>
      <c r="W595" s="396" t="s">
        <v>5483</v>
      </c>
      <c r="X595" s="396" t="s">
        <v>5484</v>
      </c>
      <c r="Y595" s="396" t="s">
        <v>5485</v>
      </c>
      <c r="Z595" s="397" t="s">
        <v>5486</v>
      </c>
    </row>
    <row r="596" spans="1:26" ht="12.75" customHeight="1" x14ac:dyDescent="0.2">
      <c r="A596" s="6105"/>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5487</v>
      </c>
      <c r="W596" s="396" t="s">
        <v>5488</v>
      </c>
      <c r="X596" s="396" t="s">
        <v>5489</v>
      </c>
      <c r="Y596" s="396" t="s">
        <v>5490</v>
      </c>
      <c r="Z596" s="397" t="s">
        <v>5491</v>
      </c>
    </row>
    <row r="597" spans="1:26" ht="12.75" customHeight="1" x14ac:dyDescent="0.2">
      <c r="A597" s="6105"/>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5492</v>
      </c>
      <c r="W597" s="396" t="s">
        <v>5493</v>
      </c>
      <c r="X597" s="396" t="s">
        <v>5494</v>
      </c>
      <c r="Y597" s="396" t="s">
        <v>5495</v>
      </c>
      <c r="Z597" s="397" t="s">
        <v>5496</v>
      </c>
    </row>
    <row r="598" spans="1:26" ht="12.75" customHeight="1" x14ac:dyDescent="0.2">
      <c r="A598" s="6105"/>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5492</v>
      </c>
      <c r="W598" s="396" t="s">
        <v>5493</v>
      </c>
      <c r="X598" s="396" t="s">
        <v>5494</v>
      </c>
      <c r="Y598" s="396" t="s">
        <v>5495</v>
      </c>
      <c r="Z598" s="397" t="s">
        <v>5497</v>
      </c>
    </row>
    <row r="599" spans="1:26" ht="12.75" customHeight="1" x14ac:dyDescent="0.2">
      <c r="A599" s="6105"/>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5498</v>
      </c>
    </row>
    <row r="600" spans="1:26" ht="12.75" customHeight="1" x14ac:dyDescent="0.2">
      <c r="A600" s="6105"/>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5499</v>
      </c>
      <c r="W600" s="396" t="s">
        <v>5500</v>
      </c>
      <c r="X600" s="396" t="s">
        <v>5501</v>
      </c>
      <c r="Y600" s="396" t="s">
        <v>5502</v>
      </c>
      <c r="Z600" s="397" t="s">
        <v>5503</v>
      </c>
    </row>
    <row r="601" spans="1:26" ht="12.75" customHeight="1" x14ac:dyDescent="0.2">
      <c r="A601" s="6105"/>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5504</v>
      </c>
      <c r="W601" s="396" t="s">
        <v>5505</v>
      </c>
      <c r="X601" s="396" t="s">
        <v>5506</v>
      </c>
      <c r="Y601" s="396" t="s">
        <v>5507</v>
      </c>
      <c r="Z601" s="397" t="s">
        <v>5508</v>
      </c>
    </row>
    <row r="602" spans="1:26" ht="12.75" customHeight="1" x14ac:dyDescent="0.2">
      <c r="A602" s="6105"/>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5509</v>
      </c>
    </row>
    <row r="603" spans="1:26" ht="12.75" customHeight="1" x14ac:dyDescent="0.2">
      <c r="A603" s="6105"/>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5510</v>
      </c>
      <c r="W603" s="396" t="s">
        <v>5511</v>
      </c>
      <c r="X603" s="396" t="s">
        <v>5512</v>
      </c>
      <c r="Y603" s="396" t="s">
        <v>5513</v>
      </c>
      <c r="Z603" s="397" t="s">
        <v>5514</v>
      </c>
    </row>
    <row r="604" spans="1:26" ht="12.75" customHeight="1" x14ac:dyDescent="0.2">
      <c r="A604" s="6105"/>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05"/>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5515</v>
      </c>
    </row>
    <row r="606" spans="1:26" ht="12.75" customHeight="1" x14ac:dyDescent="0.2">
      <c r="A606" s="6105"/>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5516</v>
      </c>
    </row>
    <row r="607" spans="1:26" ht="12.75" customHeight="1" x14ac:dyDescent="0.2">
      <c r="A607" s="6105"/>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5517</v>
      </c>
      <c r="W607" s="396" t="s">
        <v>5518</v>
      </c>
      <c r="X607" s="396" t="s">
        <v>5519</v>
      </c>
      <c r="Y607" s="396" t="s">
        <v>5520</v>
      </c>
      <c r="Z607" s="397" t="s">
        <v>5521</v>
      </c>
    </row>
    <row r="608" spans="1:26" ht="12.75" customHeight="1" x14ac:dyDescent="0.2">
      <c r="A608" s="6105"/>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5522</v>
      </c>
    </row>
    <row r="609" spans="1:26" ht="12.75" customHeight="1" x14ac:dyDescent="0.2">
      <c r="A609" s="6105"/>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5523</v>
      </c>
      <c r="W609" s="396" t="s">
        <v>5524</v>
      </c>
      <c r="X609" s="396" t="s">
        <v>5525</v>
      </c>
      <c r="Y609" s="396" t="s">
        <v>5526</v>
      </c>
      <c r="Z609" s="397" t="s">
        <v>5527</v>
      </c>
    </row>
    <row r="610" spans="1:26" ht="12.75" customHeight="1" x14ac:dyDescent="0.2">
      <c r="A610" s="6105"/>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5528</v>
      </c>
    </row>
    <row r="611" spans="1:26" ht="12.75" customHeight="1" x14ac:dyDescent="0.2">
      <c r="A611" s="6105"/>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5529</v>
      </c>
      <c r="W611" s="396" t="s">
        <v>5530</v>
      </c>
      <c r="X611" s="396" t="s">
        <v>5531</v>
      </c>
      <c r="Y611" s="396" t="s">
        <v>5532</v>
      </c>
      <c r="Z611" s="397" t="s">
        <v>5533</v>
      </c>
    </row>
    <row r="612" spans="1:26" ht="12.75" customHeight="1" x14ac:dyDescent="0.2">
      <c r="A612" s="6105"/>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5534</v>
      </c>
    </row>
    <row r="613" spans="1:26" ht="12.75" customHeight="1" x14ac:dyDescent="0.2">
      <c r="A613" s="6105"/>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5535</v>
      </c>
    </row>
    <row r="614" spans="1:26" ht="12.75" customHeight="1" x14ac:dyDescent="0.2">
      <c r="A614" s="6105"/>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5536</v>
      </c>
    </row>
    <row r="615" spans="1:26" ht="12.75" customHeight="1" x14ac:dyDescent="0.2">
      <c r="A615" s="6105"/>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05"/>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5537</v>
      </c>
      <c r="W616" s="396" t="s">
        <v>5538</v>
      </c>
      <c r="X616" s="396" t="s">
        <v>5539</v>
      </c>
      <c r="Y616" s="396" t="s">
        <v>5540</v>
      </c>
      <c r="Z616" s="397" t="s">
        <v>5541</v>
      </c>
    </row>
    <row r="617" spans="1:26" ht="12.75" customHeight="1" x14ac:dyDescent="0.2">
      <c r="A617" s="6105"/>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5542</v>
      </c>
      <c r="W617" s="396" t="s">
        <v>5543</v>
      </c>
      <c r="X617" s="396" t="s">
        <v>5544</v>
      </c>
      <c r="Y617" s="396" t="s">
        <v>5545</v>
      </c>
      <c r="Z617" s="397" t="s">
        <v>5546</v>
      </c>
    </row>
    <row r="618" spans="1:26" ht="12.75" customHeight="1" x14ac:dyDescent="0.2">
      <c r="A618" s="6105"/>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5547</v>
      </c>
    </row>
    <row r="619" spans="1:26" ht="12.75" customHeight="1" x14ac:dyDescent="0.2">
      <c r="A619" s="6105"/>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5548</v>
      </c>
      <c r="W619" s="396" t="s">
        <v>3786</v>
      </c>
      <c r="X619" s="396" t="s">
        <v>3752</v>
      </c>
      <c r="Y619" s="396" t="s">
        <v>3753</v>
      </c>
      <c r="Z619" s="397" t="s">
        <v>5549</v>
      </c>
    </row>
    <row r="620" spans="1:26" ht="12.75" customHeight="1" x14ac:dyDescent="0.2">
      <c r="A620" s="6105"/>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5550</v>
      </c>
      <c r="W620" s="396" t="s">
        <v>5551</v>
      </c>
      <c r="X620" s="396" t="s">
        <v>5552</v>
      </c>
      <c r="Y620" s="396" t="s">
        <v>5553</v>
      </c>
      <c r="Z620" s="397" t="s">
        <v>5554</v>
      </c>
    </row>
    <row r="621" spans="1:26" ht="12.75" customHeight="1" x14ac:dyDescent="0.2">
      <c r="A621" s="6105"/>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5555</v>
      </c>
      <c r="W621" s="396" t="s">
        <v>5556</v>
      </c>
      <c r="X621" s="396" t="s">
        <v>5557</v>
      </c>
      <c r="Y621" s="396" t="s">
        <v>5558</v>
      </c>
      <c r="Z621" s="397" t="s">
        <v>5559</v>
      </c>
    </row>
    <row r="622" spans="1:26" ht="12.75" customHeight="1" x14ac:dyDescent="0.2">
      <c r="A622" s="6105"/>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5560</v>
      </c>
      <c r="W622" s="396" t="s">
        <v>5561</v>
      </c>
      <c r="X622" s="396" t="s">
        <v>5562</v>
      </c>
      <c r="Y622" s="396" t="s">
        <v>5563</v>
      </c>
      <c r="Z622" s="397" t="s">
        <v>5564</v>
      </c>
    </row>
    <row r="623" spans="1:26" ht="12.75" customHeight="1" x14ac:dyDescent="0.2">
      <c r="A623" s="6105"/>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5565</v>
      </c>
      <c r="W623" s="396" t="s">
        <v>5566</v>
      </c>
      <c r="X623" s="396" t="s">
        <v>5567</v>
      </c>
      <c r="Y623" s="396" t="s">
        <v>5568</v>
      </c>
      <c r="Z623" s="397" t="s">
        <v>5569</v>
      </c>
    </row>
    <row r="624" spans="1:26" ht="12.75" customHeight="1" x14ac:dyDescent="0.2">
      <c r="A624" s="6105"/>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5570</v>
      </c>
      <c r="W624" s="396" t="s">
        <v>5571</v>
      </c>
      <c r="X624" s="396" t="s">
        <v>5572</v>
      </c>
      <c r="Y624" s="396" t="s">
        <v>5573</v>
      </c>
      <c r="Z624" s="397" t="s">
        <v>5574</v>
      </c>
    </row>
    <row r="625" spans="1:26" ht="12.75" customHeight="1" x14ac:dyDescent="0.2">
      <c r="A625" s="6105"/>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5575</v>
      </c>
      <c r="W625" s="396" t="s">
        <v>5576</v>
      </c>
      <c r="X625" s="396" t="s">
        <v>5577</v>
      </c>
      <c r="Y625" s="396" t="s">
        <v>5578</v>
      </c>
      <c r="Z625" s="397" t="s">
        <v>5579</v>
      </c>
    </row>
    <row r="626" spans="1:26" ht="12.75" customHeight="1" x14ac:dyDescent="0.2">
      <c r="A626" s="6105"/>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05"/>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5580</v>
      </c>
    </row>
    <row r="628" spans="1:26" ht="12.75" customHeight="1" x14ac:dyDescent="0.2">
      <c r="A628" s="6105"/>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5581</v>
      </c>
      <c r="W628" s="396" t="s">
        <v>5582</v>
      </c>
      <c r="X628" s="396" t="s">
        <v>5583</v>
      </c>
      <c r="Y628" s="396" t="s">
        <v>5584</v>
      </c>
      <c r="Z628" s="397" t="s">
        <v>5585</v>
      </c>
    </row>
    <row r="629" spans="1:26" ht="12.75" customHeight="1" x14ac:dyDescent="0.2">
      <c r="A629" s="6105"/>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5586</v>
      </c>
      <c r="W629" s="396" t="s">
        <v>5587</v>
      </c>
      <c r="X629" s="396" t="s">
        <v>5588</v>
      </c>
      <c r="Y629" s="396" t="s">
        <v>5589</v>
      </c>
      <c r="Z629" s="397" t="s">
        <v>5590</v>
      </c>
    </row>
    <row r="630" spans="1:26" ht="12.75" customHeight="1" x14ac:dyDescent="0.2">
      <c r="A630" s="6105"/>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5591</v>
      </c>
      <c r="W630" s="396" t="s">
        <v>5592</v>
      </c>
      <c r="X630" s="396" t="s">
        <v>5593</v>
      </c>
      <c r="Y630" s="396" t="s">
        <v>5594</v>
      </c>
      <c r="Z630" s="397" t="s">
        <v>5595</v>
      </c>
    </row>
    <row r="631" spans="1:26" ht="12.75" customHeight="1" x14ac:dyDescent="0.2">
      <c r="A631" s="6105"/>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5596</v>
      </c>
      <c r="W631" s="396" t="s">
        <v>5597</v>
      </c>
      <c r="X631" s="396" t="s">
        <v>5598</v>
      </c>
      <c r="Y631" s="396" t="s">
        <v>5599</v>
      </c>
      <c r="Z631" s="397" t="s">
        <v>5600</v>
      </c>
    </row>
    <row r="632" spans="1:26" ht="12.75" customHeight="1" x14ac:dyDescent="0.2">
      <c r="A632" s="6105"/>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5601</v>
      </c>
      <c r="W632" s="396" t="s">
        <v>5602</v>
      </c>
      <c r="X632" s="396" t="s">
        <v>5603</v>
      </c>
      <c r="Y632" s="396" t="s">
        <v>5604</v>
      </c>
      <c r="Z632" s="397" t="s">
        <v>5605</v>
      </c>
    </row>
    <row r="633" spans="1:26" ht="12.75" customHeight="1" x14ac:dyDescent="0.2">
      <c r="A633" s="6105"/>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5606</v>
      </c>
      <c r="W633" s="396" t="s">
        <v>5607</v>
      </c>
      <c r="X633" s="396" t="s">
        <v>5608</v>
      </c>
      <c r="Y633" s="396" t="s">
        <v>5609</v>
      </c>
      <c r="Z633" s="397" t="s">
        <v>5610</v>
      </c>
    </row>
    <row r="634" spans="1:26" ht="12.75" customHeight="1" x14ac:dyDescent="0.2">
      <c r="A634" s="6105"/>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5611</v>
      </c>
      <c r="W634" s="396" t="s">
        <v>5612</v>
      </c>
      <c r="X634" s="396" t="s">
        <v>5613</v>
      </c>
      <c r="Y634" s="396" t="s">
        <v>5614</v>
      </c>
      <c r="Z634" s="397" t="s">
        <v>5615</v>
      </c>
    </row>
    <row r="635" spans="1:26" ht="12.75" customHeight="1" x14ac:dyDescent="0.2">
      <c r="A635" s="6105"/>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5616</v>
      </c>
      <c r="W635" s="396" t="s">
        <v>5617</v>
      </c>
      <c r="X635" s="396" t="s">
        <v>5618</v>
      </c>
      <c r="Y635" s="396" t="s">
        <v>5619</v>
      </c>
      <c r="Z635" s="397" t="s">
        <v>5620</v>
      </c>
    </row>
    <row r="636" spans="1:26" ht="12.75" customHeight="1" x14ac:dyDescent="0.2">
      <c r="A636" s="6105"/>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5621</v>
      </c>
      <c r="W636" s="396" t="s">
        <v>5622</v>
      </c>
      <c r="X636" s="396" t="s">
        <v>5623</v>
      </c>
      <c r="Y636" s="396" t="s">
        <v>5624</v>
      </c>
      <c r="Z636" s="397" t="s">
        <v>5625</v>
      </c>
    </row>
    <row r="637" spans="1:26" ht="12.75" customHeight="1" x14ac:dyDescent="0.2">
      <c r="A637" s="6105"/>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05"/>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5626</v>
      </c>
      <c r="W638" s="396" t="s">
        <v>10277</v>
      </c>
      <c r="X638" s="396" t="s">
        <v>5627</v>
      </c>
      <c r="Y638" s="396" t="s">
        <v>5628</v>
      </c>
      <c r="Z638" s="397" t="s">
        <v>9898</v>
      </c>
    </row>
    <row r="639" spans="1:26" ht="12.75" customHeight="1" x14ac:dyDescent="0.2">
      <c r="A639" s="6105"/>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5629</v>
      </c>
      <c r="W639" s="396" t="s">
        <v>5630</v>
      </c>
      <c r="X639" s="396" t="s">
        <v>5631</v>
      </c>
      <c r="Y639" s="396" t="s">
        <v>5632</v>
      </c>
      <c r="Z639" s="397" t="s">
        <v>9899</v>
      </c>
    </row>
    <row r="640" spans="1:26" ht="12.75" customHeight="1" x14ac:dyDescent="0.2">
      <c r="A640" s="6105"/>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9900</v>
      </c>
      <c r="Z640" s="397" t="s">
        <v>9901</v>
      </c>
    </row>
    <row r="641" spans="1:26" ht="12.75" customHeight="1" x14ac:dyDescent="0.2">
      <c r="A641" s="6105"/>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5633</v>
      </c>
      <c r="X641" s="396" t="s">
        <v>5634</v>
      </c>
      <c r="Y641" s="396" t="s">
        <v>5635</v>
      </c>
      <c r="Z641" s="397" t="s">
        <v>9902</v>
      </c>
    </row>
    <row r="642" spans="1:26" ht="12.75" customHeight="1" x14ac:dyDescent="0.2">
      <c r="A642" s="6105"/>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5636</v>
      </c>
      <c r="W642" s="396" t="s">
        <v>5637</v>
      </c>
      <c r="X642" s="396" t="s">
        <v>5638</v>
      </c>
      <c r="Y642" s="396" t="s">
        <v>9903</v>
      </c>
      <c r="Z642" s="397" t="s">
        <v>9904</v>
      </c>
    </row>
    <row r="643" spans="1:26" ht="12.75" customHeight="1" x14ac:dyDescent="0.2">
      <c r="A643" s="6105"/>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7254</v>
      </c>
    </row>
    <row r="644" spans="1:26" ht="12.75" customHeight="1" x14ac:dyDescent="0.2">
      <c r="A644" s="6105"/>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5639</v>
      </c>
      <c r="W644" s="396" t="s">
        <v>5640</v>
      </c>
      <c r="X644" s="396" t="s">
        <v>5641</v>
      </c>
      <c r="Y644" s="396" t="s">
        <v>5642</v>
      </c>
      <c r="Z644" s="397" t="s">
        <v>5643</v>
      </c>
    </row>
    <row r="645" spans="1:26" ht="12.75" customHeight="1" x14ac:dyDescent="0.2">
      <c r="A645" s="6105"/>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5644</v>
      </c>
    </row>
    <row r="646" spans="1:26" ht="12.75" customHeight="1" x14ac:dyDescent="0.2">
      <c r="A646" s="6105"/>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5645</v>
      </c>
      <c r="W646" s="396" t="s">
        <v>5646</v>
      </c>
      <c r="X646" s="396" t="s">
        <v>5647</v>
      </c>
      <c r="Y646" s="396" t="s">
        <v>5648</v>
      </c>
      <c r="Z646" s="397" t="s">
        <v>5649</v>
      </c>
    </row>
    <row r="647" spans="1:26" ht="12.75" customHeight="1" x14ac:dyDescent="0.2">
      <c r="A647" s="6105"/>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5650</v>
      </c>
      <c r="W647" s="396" t="s">
        <v>5651</v>
      </c>
      <c r="X647" s="396" t="s">
        <v>5652</v>
      </c>
      <c r="Y647" s="396" t="s">
        <v>5653</v>
      </c>
      <c r="Z647" s="397" t="s">
        <v>9905</v>
      </c>
    </row>
    <row r="648" spans="1:26" ht="12.75" customHeight="1" x14ac:dyDescent="0.2">
      <c r="A648" s="6105"/>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05"/>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5654</v>
      </c>
      <c r="W649" s="396" t="s">
        <v>5655</v>
      </c>
      <c r="X649" s="396" t="s">
        <v>5656</v>
      </c>
      <c r="Y649" s="396" t="s">
        <v>5657</v>
      </c>
      <c r="Z649" s="397" t="s">
        <v>5658</v>
      </c>
    </row>
    <row r="650" spans="1:26" ht="12.75" customHeight="1" x14ac:dyDescent="0.2">
      <c r="A650" s="6105"/>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5659</v>
      </c>
      <c r="W650" s="396" t="s">
        <v>5660</v>
      </c>
      <c r="X650" s="396" t="s">
        <v>5661</v>
      </c>
      <c r="Y650" s="396" t="s">
        <v>5662</v>
      </c>
      <c r="Z650" s="397" t="s">
        <v>5663</v>
      </c>
    </row>
    <row r="651" spans="1:26" ht="12.75" customHeight="1" x14ac:dyDescent="0.2">
      <c r="A651" s="6105"/>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5664</v>
      </c>
      <c r="W651" s="396" t="s">
        <v>5665</v>
      </c>
      <c r="X651" s="396" t="s">
        <v>5666</v>
      </c>
      <c r="Y651" s="396" t="s">
        <v>5667</v>
      </c>
      <c r="Z651" s="397" t="s">
        <v>5668</v>
      </c>
    </row>
    <row r="652" spans="1:26" ht="12.75" customHeight="1" x14ac:dyDescent="0.2">
      <c r="A652" s="6105"/>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5669</v>
      </c>
      <c r="W652" s="396" t="s">
        <v>5670</v>
      </c>
      <c r="X652" s="396" t="s">
        <v>5671</v>
      </c>
      <c r="Y652" s="396" t="s">
        <v>5672</v>
      </c>
      <c r="Z652" s="397" t="s">
        <v>5673</v>
      </c>
    </row>
    <row r="653" spans="1:26" ht="12.75" customHeight="1" x14ac:dyDescent="0.2">
      <c r="A653" s="6105"/>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5674</v>
      </c>
      <c r="W653" s="396" t="s">
        <v>5675</v>
      </c>
      <c r="X653" s="396" t="s">
        <v>5676</v>
      </c>
      <c r="Y653" s="396" t="s">
        <v>5677</v>
      </c>
      <c r="Z653" s="397" t="s">
        <v>5678</v>
      </c>
    </row>
    <row r="654" spans="1:26" ht="12.75" customHeight="1" x14ac:dyDescent="0.2">
      <c r="A654" s="6105"/>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5679</v>
      </c>
      <c r="W654" s="396" t="s">
        <v>5680</v>
      </c>
      <c r="X654" s="396" t="s">
        <v>5681</v>
      </c>
      <c r="Y654" s="396" t="s">
        <v>5682</v>
      </c>
      <c r="Z654" s="397" t="s">
        <v>5683</v>
      </c>
    </row>
    <row r="655" spans="1:26" ht="12.75" customHeight="1" x14ac:dyDescent="0.2">
      <c r="A655" s="6105"/>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5684</v>
      </c>
      <c r="W655" s="396" t="s">
        <v>5685</v>
      </c>
      <c r="X655" s="396" t="s">
        <v>5686</v>
      </c>
      <c r="Y655" s="396" t="s">
        <v>5687</v>
      </c>
      <c r="Z655" s="397" t="s">
        <v>5688</v>
      </c>
    </row>
    <row r="656" spans="1:26" ht="12.75" customHeight="1" x14ac:dyDescent="0.2">
      <c r="A656" s="6105"/>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5689</v>
      </c>
      <c r="W656" s="396" t="s">
        <v>5690</v>
      </c>
      <c r="X656" s="396" t="s">
        <v>5691</v>
      </c>
      <c r="Y656" s="396" t="s">
        <v>5692</v>
      </c>
      <c r="Z656" s="397" t="s">
        <v>5693</v>
      </c>
    </row>
    <row r="657" spans="1:26" ht="12.75" customHeight="1" x14ac:dyDescent="0.2">
      <c r="A657" s="6105"/>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5694</v>
      </c>
      <c r="W657" s="396" t="s">
        <v>5695</v>
      </c>
      <c r="X657" s="396" t="s">
        <v>5696</v>
      </c>
      <c r="Y657" s="396" t="s">
        <v>5697</v>
      </c>
      <c r="Z657" s="397" t="s">
        <v>5698</v>
      </c>
    </row>
    <row r="658" spans="1:26" ht="12.75" customHeight="1" x14ac:dyDescent="0.2">
      <c r="A658" s="6105"/>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5699</v>
      </c>
      <c r="W658" s="396" t="s">
        <v>5700</v>
      </c>
      <c r="X658" s="396" t="s">
        <v>5701</v>
      </c>
      <c r="Y658" s="396" t="s">
        <v>5702</v>
      </c>
      <c r="Z658" s="397" t="s">
        <v>5703</v>
      </c>
    </row>
    <row r="659" spans="1:26" ht="12.75" customHeight="1" x14ac:dyDescent="0.2">
      <c r="A659" s="6105"/>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05"/>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5704</v>
      </c>
      <c r="W660" s="396" t="s">
        <v>5705</v>
      </c>
      <c r="X660" s="396" t="s">
        <v>5706</v>
      </c>
      <c r="Y660" s="396" t="s">
        <v>5707</v>
      </c>
      <c r="Z660" s="397" t="s">
        <v>5708</v>
      </c>
    </row>
    <row r="661" spans="1:26" ht="12.75" customHeight="1" x14ac:dyDescent="0.2">
      <c r="A661" s="6105"/>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5709</v>
      </c>
      <c r="X661" s="396" t="s">
        <v>4121</v>
      </c>
      <c r="Y661" s="396" t="s">
        <v>4122</v>
      </c>
      <c r="Z661" s="397" t="s">
        <v>5710</v>
      </c>
    </row>
    <row r="662" spans="1:26" ht="12.75" customHeight="1" x14ac:dyDescent="0.2">
      <c r="A662" s="6105"/>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5711</v>
      </c>
      <c r="Y662" s="396" t="s">
        <v>5712</v>
      </c>
      <c r="Z662" s="397" t="s">
        <v>5713</v>
      </c>
    </row>
    <row r="663" spans="1:26" ht="12.75" customHeight="1" x14ac:dyDescent="0.2">
      <c r="A663" s="6105"/>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4607</v>
      </c>
      <c r="W663" s="396" t="s">
        <v>4608</v>
      </c>
      <c r="X663" s="396" t="s">
        <v>4609</v>
      </c>
      <c r="Y663" s="396" t="s">
        <v>4610</v>
      </c>
      <c r="Z663" s="397" t="s">
        <v>5714</v>
      </c>
    </row>
    <row r="664" spans="1:26" ht="12.75" customHeight="1" x14ac:dyDescent="0.2">
      <c r="A664" s="6105"/>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4607</v>
      </c>
      <c r="W664" s="396" t="s">
        <v>4609</v>
      </c>
      <c r="X664" s="396" t="s">
        <v>5715</v>
      </c>
      <c r="Y664" s="396" t="s">
        <v>5716</v>
      </c>
      <c r="Z664" s="397" t="s">
        <v>7255</v>
      </c>
    </row>
    <row r="665" spans="1:26" ht="12.75" customHeight="1" x14ac:dyDescent="0.2">
      <c r="A665" s="6105"/>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5717</v>
      </c>
      <c r="W665" s="396" t="s">
        <v>5718</v>
      </c>
      <c r="X665" s="396" t="s">
        <v>5719</v>
      </c>
      <c r="Y665" s="396" t="s">
        <v>5720</v>
      </c>
      <c r="Z665" s="397" t="s">
        <v>5721</v>
      </c>
    </row>
    <row r="666" spans="1:26" ht="12.75" customHeight="1" x14ac:dyDescent="0.2">
      <c r="A666" s="6105"/>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5722</v>
      </c>
      <c r="W666" s="396" t="s">
        <v>5723</v>
      </c>
      <c r="X666" s="396" t="s">
        <v>5724</v>
      </c>
      <c r="Y666" s="396" t="s">
        <v>5725</v>
      </c>
      <c r="Z666" s="397" t="s">
        <v>5726</v>
      </c>
    </row>
    <row r="667" spans="1:26" ht="12.75" customHeight="1" x14ac:dyDescent="0.2">
      <c r="A667" s="6105"/>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5712</v>
      </c>
      <c r="W667" s="396" t="s">
        <v>5727</v>
      </c>
      <c r="X667" s="396" t="s">
        <v>5728</v>
      </c>
      <c r="Y667" s="396" t="s">
        <v>5729</v>
      </c>
      <c r="Z667" s="397" t="s">
        <v>5730</v>
      </c>
    </row>
    <row r="668" spans="1:26" ht="12.75" customHeight="1" x14ac:dyDescent="0.2">
      <c r="A668" s="6105"/>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5731</v>
      </c>
      <c r="W668" s="396" t="s">
        <v>5732</v>
      </c>
      <c r="X668" s="396" t="s">
        <v>5733</v>
      </c>
      <c r="Y668" s="396" t="s">
        <v>5734</v>
      </c>
      <c r="Z668" s="397" t="s">
        <v>5735</v>
      </c>
    </row>
    <row r="669" spans="1:26" ht="12.75" customHeight="1" x14ac:dyDescent="0.2">
      <c r="A669" s="6105"/>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4633</v>
      </c>
      <c r="X669" s="396" t="s">
        <v>3644</v>
      </c>
      <c r="Y669" s="396" t="s">
        <v>5736</v>
      </c>
      <c r="Z669" s="397" t="s">
        <v>5737</v>
      </c>
    </row>
    <row r="670" spans="1:26" ht="12.75" customHeight="1" x14ac:dyDescent="0.2">
      <c r="A670" s="6105"/>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05"/>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5738</v>
      </c>
      <c r="W671" s="396" t="s">
        <v>5739</v>
      </c>
      <c r="X671" s="396" t="s">
        <v>5740</v>
      </c>
      <c r="Y671" s="396" t="s">
        <v>5741</v>
      </c>
      <c r="Z671" s="397" t="s">
        <v>5742</v>
      </c>
    </row>
    <row r="672" spans="1:26" ht="12.75" customHeight="1" x14ac:dyDescent="0.2">
      <c r="A672" s="6105"/>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5743</v>
      </c>
      <c r="W672" s="396" t="s">
        <v>5744</v>
      </c>
      <c r="X672" s="396" t="s">
        <v>5745</v>
      </c>
      <c r="Y672" s="396" t="s">
        <v>5746</v>
      </c>
      <c r="Z672" s="397" t="s">
        <v>5747</v>
      </c>
    </row>
    <row r="673" spans="1:26" ht="12.75" customHeight="1" x14ac:dyDescent="0.2">
      <c r="A673" s="6105"/>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5748</v>
      </c>
      <c r="W673" s="396" t="s">
        <v>5749</v>
      </c>
      <c r="X673" s="396" t="s">
        <v>5750</v>
      </c>
      <c r="Y673" s="396" t="s">
        <v>5751</v>
      </c>
      <c r="Z673" s="397" t="s">
        <v>5752</v>
      </c>
    </row>
    <row r="674" spans="1:26" ht="12.75" customHeight="1" x14ac:dyDescent="0.2">
      <c r="A674" s="6105"/>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5753</v>
      </c>
      <c r="W674" s="396" t="s">
        <v>4617</v>
      </c>
      <c r="X674" s="396" t="s">
        <v>5754</v>
      </c>
      <c r="Y674" s="396" t="s">
        <v>5755</v>
      </c>
      <c r="Z674" s="397" t="s">
        <v>5756</v>
      </c>
    </row>
    <row r="675" spans="1:26" ht="12.75" customHeight="1" x14ac:dyDescent="0.2">
      <c r="A675" s="6105"/>
      <c r="B675" s="261" t="str">
        <f t="shared" si="19"/>
        <v>Vacío44</v>
      </c>
      <c r="C675" s="398"/>
      <c r="D675" s="282" t="s">
        <v>8549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4690</v>
      </c>
      <c r="W675" s="396" t="s">
        <v>3279</v>
      </c>
      <c r="X675" s="396" t="s">
        <v>5757</v>
      </c>
      <c r="Y675" s="396" t="s">
        <v>4095</v>
      </c>
      <c r="Z675" s="397" t="s">
        <v>5758</v>
      </c>
    </row>
    <row r="676" spans="1:26" ht="12.75" customHeight="1" x14ac:dyDescent="0.2">
      <c r="A676" s="6105"/>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5759</v>
      </c>
      <c r="W676" s="396" t="s">
        <v>5760</v>
      </c>
      <c r="X676" s="396" t="s">
        <v>5761</v>
      </c>
      <c r="Y676" s="396" t="s">
        <v>5762</v>
      </c>
      <c r="Z676" s="397" t="s">
        <v>5763</v>
      </c>
    </row>
    <row r="677" spans="1:26" ht="12.75" customHeight="1" x14ac:dyDescent="0.2">
      <c r="A677" s="6105"/>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5764</v>
      </c>
      <c r="W677" s="396" t="s">
        <v>5765</v>
      </c>
      <c r="X677" s="396" t="s">
        <v>5766</v>
      </c>
      <c r="Y677" s="396" t="s">
        <v>5767</v>
      </c>
      <c r="Z677" s="397" t="s">
        <v>5768</v>
      </c>
    </row>
    <row r="678" spans="1:26" ht="12.75" customHeight="1" x14ac:dyDescent="0.2">
      <c r="A678" s="6105"/>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5769</v>
      </c>
      <c r="W678" s="396" t="s">
        <v>5770</v>
      </c>
      <c r="X678" s="396" t="s">
        <v>5771</v>
      </c>
      <c r="Y678" s="396" t="s">
        <v>5772</v>
      </c>
      <c r="Z678" s="397" t="s">
        <v>5773</v>
      </c>
    </row>
    <row r="679" spans="1:26" ht="12.75" customHeight="1" x14ac:dyDescent="0.2">
      <c r="A679" s="6105"/>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5774</v>
      </c>
      <c r="W679" s="396" t="s">
        <v>5775</v>
      </c>
      <c r="X679" s="396" t="s">
        <v>5776</v>
      </c>
      <c r="Y679" s="396" t="s">
        <v>5777</v>
      </c>
      <c r="Z679" s="397" t="s">
        <v>5778</v>
      </c>
    </row>
    <row r="680" spans="1:26" ht="12.75" customHeight="1" thickBot="1" x14ac:dyDescent="0.25">
      <c r="A680" s="6105"/>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5779</v>
      </c>
      <c r="W680" s="411" t="s">
        <v>5780</v>
      </c>
      <c r="X680" s="411" t="s">
        <v>5781</v>
      </c>
      <c r="Y680" s="411" t="s">
        <v>5782</v>
      </c>
      <c r="Z680" s="412" t="s">
        <v>5783</v>
      </c>
    </row>
  </sheetData>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871" t="s">
        <v>2599</v>
      </c>
      <c r="D2" s="4872"/>
      <c r="E2" s="4872"/>
      <c r="F2" s="4872"/>
      <c r="G2" s="4873"/>
      <c r="I2" s="4962" t="s">
        <v>2600</v>
      </c>
      <c r="J2" s="6112"/>
      <c r="L2" s="6113" t="s">
        <v>2601</v>
      </c>
    </row>
    <row r="3" spans="1:14" x14ac:dyDescent="0.2">
      <c r="A3" s="292">
        <v>3</v>
      </c>
      <c r="C3" s="4962"/>
      <c r="D3" s="6112"/>
      <c r="E3" s="6112"/>
      <c r="F3" s="6112"/>
      <c r="G3" s="4964"/>
      <c r="I3" s="4962"/>
      <c r="J3" s="6112"/>
      <c r="L3" s="6114"/>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9828</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871" t="s">
        <v>2260</v>
      </c>
      <c r="D15" s="4873"/>
      <c r="F15" s="4871" t="s">
        <v>2642</v>
      </c>
      <c r="G15" s="4872"/>
      <c r="H15" s="4872"/>
      <c r="I15" s="4872"/>
      <c r="J15" s="4872"/>
      <c r="K15" s="4872"/>
      <c r="L15" s="4872"/>
      <c r="M15" s="4872"/>
      <c r="N15" s="4873"/>
    </row>
    <row r="16" spans="1:14" x14ac:dyDescent="0.2">
      <c r="A16" s="292">
        <v>16</v>
      </c>
      <c r="C16" s="4962"/>
      <c r="D16" s="4964"/>
      <c r="F16" s="4962"/>
      <c r="G16" s="6112"/>
      <c r="H16" s="6112"/>
      <c r="I16" s="6112"/>
      <c r="J16" s="6112"/>
      <c r="K16" s="6112"/>
      <c r="L16" s="6112"/>
      <c r="M16" s="6112"/>
      <c r="N16" s="4964"/>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871" t="s">
        <v>2659</v>
      </c>
      <c r="D27" s="4872"/>
      <c r="E27" s="4872"/>
      <c r="F27" s="4872"/>
      <c r="G27" s="4872"/>
      <c r="H27" s="4872"/>
      <c r="I27" s="4872"/>
      <c r="J27" s="4872"/>
      <c r="K27" s="4873"/>
    </row>
    <row r="28" spans="1:14" ht="12.75" customHeight="1" thickBot="1" x14ac:dyDescent="0.25">
      <c r="A28" s="292">
        <v>28</v>
      </c>
      <c r="C28" s="4874"/>
      <c r="D28" s="4875"/>
      <c r="E28" s="4875"/>
      <c r="F28" s="4875"/>
      <c r="G28" s="4875"/>
      <c r="H28" s="4875"/>
      <c r="I28" s="4875"/>
      <c r="J28" s="4875"/>
      <c r="K28" s="4876"/>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6372</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6373</v>
      </c>
      <c r="D77" s="501"/>
      <c r="E77" s="501"/>
      <c r="F77" s="501"/>
      <c r="G77" s="501"/>
      <c r="H77" s="501"/>
      <c r="I77" s="501"/>
      <c r="J77" s="501"/>
      <c r="K77" s="502"/>
    </row>
    <row r="78" spans="1:11" x14ac:dyDescent="0.2">
      <c r="A78" s="292">
        <v>78</v>
      </c>
      <c r="B78" s="511">
        <v>50</v>
      </c>
      <c r="C78" s="493" t="s">
        <v>6374</v>
      </c>
      <c r="D78" s="503"/>
      <c r="E78" s="503"/>
      <c r="F78" s="503"/>
      <c r="G78" s="503"/>
      <c r="H78" s="503"/>
      <c r="I78" s="503"/>
      <c r="J78" s="503"/>
      <c r="K78" s="504"/>
    </row>
    <row r="79" spans="1:11" x14ac:dyDescent="0.2">
      <c r="A79" s="292">
        <v>79</v>
      </c>
      <c r="B79" s="511">
        <v>51</v>
      </c>
      <c r="C79" s="494" t="s">
        <v>6375</v>
      </c>
      <c r="D79" s="501"/>
      <c r="E79" s="501"/>
      <c r="F79" s="501"/>
      <c r="G79" s="501"/>
      <c r="H79" s="501"/>
      <c r="I79" s="501"/>
      <c r="J79" s="501"/>
      <c r="K79" s="502"/>
    </row>
    <row r="80" spans="1:11" x14ac:dyDescent="0.2">
      <c r="A80" s="292">
        <v>80</v>
      </c>
      <c r="B80" s="511">
        <v>52</v>
      </c>
      <c r="C80" s="493" t="s">
        <v>6376</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17" t="s">
        <v>2660</v>
      </c>
      <c r="D89" s="6118"/>
      <c r="E89" s="6118"/>
      <c r="F89" s="6118"/>
      <c r="G89" s="322" t="s">
        <v>2661</v>
      </c>
      <c r="H89" s="323"/>
      <c r="I89" s="324"/>
      <c r="J89" s="324"/>
      <c r="K89" s="324"/>
      <c r="L89" s="324"/>
      <c r="M89" s="324"/>
      <c r="N89" s="324"/>
      <c r="O89" s="324"/>
      <c r="P89" s="324"/>
      <c r="Q89" s="324"/>
      <c r="R89" s="6106" t="s">
        <v>2662</v>
      </c>
    </row>
    <row r="90" spans="1:18" ht="13.5" thickBot="1" x14ac:dyDescent="0.25">
      <c r="C90" s="6108" t="s">
        <v>2663</v>
      </c>
      <c r="D90" s="6108"/>
      <c r="E90" s="6108"/>
      <c r="F90" s="326" t="s">
        <v>2261</v>
      </c>
      <c r="G90" s="325" t="s">
        <v>2664</v>
      </c>
      <c r="H90" s="326" t="s">
        <v>2665</v>
      </c>
      <c r="I90" s="303"/>
      <c r="J90" s="303"/>
      <c r="K90" s="303"/>
      <c r="L90" s="6109" t="s">
        <v>1553</v>
      </c>
      <c r="M90" s="6109"/>
      <c r="N90" s="6109"/>
      <c r="O90" s="6109"/>
      <c r="P90" s="6109"/>
      <c r="Q90" s="6109"/>
      <c r="R90" s="6107"/>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10" t="s">
        <v>2668</v>
      </c>
      <c r="M92" s="6111"/>
      <c r="N92" s="6111"/>
      <c r="O92" s="6111"/>
      <c r="P92" s="6111"/>
      <c r="Q92" s="6111"/>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10" t="s">
        <v>2670</v>
      </c>
      <c r="M93" s="6111"/>
      <c r="N93" s="6111"/>
      <c r="O93" s="6111"/>
      <c r="P93" s="6111"/>
      <c r="Q93" s="6111"/>
      <c r="R93" s="692" t="s">
        <v>1459</v>
      </c>
    </row>
    <row r="94" spans="1:18" x14ac:dyDescent="0.2">
      <c r="B94" s="330">
        <f t="shared" si="0"/>
        <v>0</v>
      </c>
      <c r="C94" s="328" t="s">
        <v>2671</v>
      </c>
      <c r="D94" s="342" t="s">
        <v>8868</v>
      </c>
      <c r="E94" s="328"/>
      <c r="F94" s="329">
        <f>COUNTIF(Sheele!$C$26:$F$44,C94)</f>
        <v>0</v>
      </c>
      <c r="G94" s="313">
        <v>1</v>
      </c>
      <c r="H94" s="313">
        <f>IF(OR($F94=0,$G94=0),0,MAX($H$91:H93)+1)</f>
        <v>0</v>
      </c>
      <c r="I94" s="313" t="s">
        <v>1459</v>
      </c>
      <c r="J94" s="683" t="s">
        <v>1459</v>
      </c>
      <c r="K94" s="313" t="s">
        <v>1459</v>
      </c>
      <c r="L94" s="6110" t="s">
        <v>2672</v>
      </c>
      <c r="M94" s="6111"/>
      <c r="N94" s="6111"/>
      <c r="O94" s="6111"/>
      <c r="P94" s="6111"/>
      <c r="Q94" s="6111"/>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15" t="s">
        <v>9853</v>
      </c>
      <c r="M95" s="6111"/>
      <c r="N95" s="6111"/>
      <c r="O95" s="6111"/>
      <c r="P95" s="6111"/>
      <c r="Q95" s="6111"/>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16" t="s">
        <v>9854</v>
      </c>
      <c r="M96" s="6111"/>
      <c r="N96" s="6111"/>
      <c r="O96" s="6111"/>
      <c r="P96" s="6111"/>
      <c r="Q96" s="6111"/>
      <c r="R96" s="692" t="s">
        <v>1459</v>
      </c>
    </row>
    <row r="97" spans="2:18" x14ac:dyDescent="0.2">
      <c r="B97" s="330">
        <f t="shared" si="0"/>
        <v>0</v>
      </c>
      <c r="C97" s="328" t="s">
        <v>2675</v>
      </c>
      <c r="D97" s="328"/>
      <c r="E97" s="328"/>
      <c r="F97" s="329"/>
      <c r="G97" s="313"/>
      <c r="H97" s="313"/>
      <c r="I97" s="313" t="s">
        <v>1459</v>
      </c>
      <c r="J97" s="683" t="s">
        <v>1459</v>
      </c>
      <c r="K97" s="313" t="s">
        <v>1459</v>
      </c>
      <c r="L97" s="6110"/>
      <c r="M97" s="6111"/>
      <c r="N97" s="6111"/>
      <c r="O97" s="6111"/>
      <c r="P97" s="6111"/>
      <c r="Q97" s="6111"/>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15" t="s">
        <v>9855</v>
      </c>
      <c r="M98" s="6111"/>
      <c r="N98" s="6111"/>
      <c r="O98" s="6111"/>
      <c r="P98" s="6111"/>
      <c r="Q98" s="6111"/>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15" t="s">
        <v>9856</v>
      </c>
      <c r="M99" s="6111"/>
      <c r="N99" s="6111"/>
      <c r="O99" s="6111"/>
      <c r="P99" s="6111"/>
      <c r="Q99" s="6111"/>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10" t="s">
        <v>2679</v>
      </c>
      <c r="M100" s="6111"/>
      <c r="N100" s="6111"/>
      <c r="O100" s="6111"/>
      <c r="P100" s="6111"/>
      <c r="Q100" s="6111"/>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24" t="s">
        <v>2681</v>
      </c>
      <c r="M101" s="6111"/>
      <c r="N101" s="6111"/>
      <c r="O101" s="6111"/>
      <c r="P101" s="6111"/>
      <c r="Q101" s="6111"/>
      <c r="R101" s="693"/>
    </row>
    <row r="102" spans="2:18" x14ac:dyDescent="0.2">
      <c r="B102" s="330">
        <f t="shared" si="0"/>
        <v>0</v>
      </c>
      <c r="C102" s="328" t="s">
        <v>2682</v>
      </c>
      <c r="D102" s="328"/>
      <c r="E102" s="328"/>
      <c r="F102" s="329"/>
      <c r="G102" s="313"/>
      <c r="H102" s="313"/>
      <c r="I102" s="313" t="s">
        <v>1459</v>
      </c>
      <c r="J102" s="313" t="s">
        <v>1459</v>
      </c>
      <c r="K102" s="313" t="s">
        <v>1459</v>
      </c>
      <c r="L102" s="6110"/>
      <c r="M102" s="6111"/>
      <c r="N102" s="6111"/>
      <c r="O102" s="6111"/>
      <c r="P102" s="6111"/>
      <c r="Q102" s="6111"/>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16" t="s">
        <v>9857</v>
      </c>
      <c r="M103" s="6111"/>
      <c r="N103" s="6111"/>
      <c r="O103" s="6111"/>
      <c r="P103" s="6111"/>
      <c r="Q103" s="6111"/>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24" t="s">
        <v>2685</v>
      </c>
      <c r="M104" s="6111"/>
      <c r="N104" s="6111"/>
      <c r="O104" s="6111"/>
      <c r="P104" s="6111"/>
      <c r="Q104" s="6111"/>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24" t="s">
        <v>2687</v>
      </c>
      <c r="M105" s="6111"/>
      <c r="N105" s="6111"/>
      <c r="O105" s="6111"/>
      <c r="P105" s="6111"/>
      <c r="Q105" s="6111"/>
      <c r="R105" s="692" t="s">
        <v>1459</v>
      </c>
    </row>
    <row r="106" spans="2:18" x14ac:dyDescent="0.2">
      <c r="B106" s="330">
        <f t="shared" si="0"/>
        <v>0</v>
      </c>
      <c r="C106" s="328" t="s">
        <v>2688</v>
      </c>
      <c r="D106" s="328"/>
      <c r="E106" s="328"/>
      <c r="F106" s="329"/>
      <c r="G106" s="313"/>
      <c r="H106" s="313"/>
      <c r="I106" s="313" t="s">
        <v>1459</v>
      </c>
      <c r="J106" s="313" t="s">
        <v>1459</v>
      </c>
      <c r="K106" s="313" t="s">
        <v>1459</v>
      </c>
      <c r="L106" s="6110"/>
      <c r="M106" s="6111"/>
      <c r="N106" s="6111"/>
      <c r="O106" s="6111"/>
      <c r="P106" s="6111"/>
      <c r="Q106" s="6111"/>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10" t="str">
        <f>"Los puntos de vida se incrementan a Presencia·4 ("&amp;Sheele!P15*4&amp;")"</f>
        <v>Los puntos de vida se incrementan a Presencia·4 (100)</v>
      </c>
      <c r="M107" s="6111"/>
      <c r="N107" s="6111"/>
      <c r="O107" s="6111"/>
      <c r="P107" s="6111"/>
      <c r="Q107" s="6111"/>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24" t="s">
        <v>2691</v>
      </c>
      <c r="M108" s="6111"/>
      <c r="N108" s="6111"/>
      <c r="O108" s="6111"/>
      <c r="P108" s="6111"/>
      <c r="Q108" s="6111"/>
      <c r="R108" s="692" t="s">
        <v>1459</v>
      </c>
    </row>
    <row r="109" spans="2:18" ht="13.5" thickBot="1" x14ac:dyDescent="0.25">
      <c r="B109" s="330">
        <f>G109</f>
        <v>0</v>
      </c>
      <c r="C109" s="6121" t="s">
        <v>2692</v>
      </c>
      <c r="D109" s="6122"/>
      <c r="E109" s="6122"/>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23" t="s">
        <v>1553</v>
      </c>
      <c r="M110" s="6123"/>
      <c r="N110" s="6123"/>
      <c r="O110" s="6123"/>
      <c r="P110" s="6123"/>
      <c r="Q110" s="6123"/>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19" t="s">
        <v>2697</v>
      </c>
      <c r="M111" s="6119"/>
      <c r="N111" s="6119"/>
      <c r="O111" s="6119"/>
      <c r="P111" s="6119"/>
      <c r="Q111" s="6119"/>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19" t="s">
        <v>2699</v>
      </c>
      <c r="M112" s="6119"/>
      <c r="N112" s="6119"/>
      <c r="O112" s="6119"/>
      <c r="P112" s="6119"/>
      <c r="Q112" s="6119"/>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19" t="s">
        <v>2701</v>
      </c>
      <c r="M113" s="6119"/>
      <c r="N113" s="6119"/>
      <c r="O113" s="6119"/>
      <c r="P113" s="6119"/>
      <c r="Q113" s="6119"/>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9861</v>
      </c>
      <c r="J114" s="2702">
        <f>Sheele!N25</f>
        <v>50</v>
      </c>
      <c r="K114" s="2680" t="str">
        <f>"x +"&amp;Sheele!H15</f>
        <v>x +10</v>
      </c>
      <c r="L114" s="6120" t="s">
        <v>9860</v>
      </c>
      <c r="M114" s="6119"/>
      <c r="N114" s="6119"/>
      <c r="O114" s="6119"/>
      <c r="P114" s="6119"/>
      <c r="Q114" s="6119"/>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19" t="s">
        <v>2703</v>
      </c>
      <c r="M115" s="6119"/>
      <c r="N115" s="6119"/>
      <c r="O115" s="6119"/>
      <c r="P115" s="6119"/>
      <c r="Q115" s="6119"/>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19" t="s">
        <v>2705</v>
      </c>
      <c r="M116" s="6119"/>
      <c r="N116" s="6119"/>
      <c r="O116" s="6119"/>
      <c r="P116" s="6119"/>
      <c r="Q116" s="6119"/>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25" t="str">
        <f>"+2 FUE al alcance y +"&amp;Sheele!H15&amp;" al daño de proyectiles de quien esté en contacto con ella."</f>
        <v>+2 FUE al alcance y +10 al daño de proyectiles de quien esté en contacto con ella.</v>
      </c>
      <c r="M117" s="6119"/>
      <c r="N117" s="6119"/>
      <c r="O117" s="6119"/>
      <c r="P117" s="6119"/>
      <c r="Q117" s="6119"/>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25" t="s">
        <v>2708</v>
      </c>
      <c r="M118" s="6119"/>
      <c r="N118" s="6119"/>
      <c r="O118" s="6119"/>
      <c r="P118" s="6119"/>
      <c r="Q118" s="6119"/>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9862</v>
      </c>
      <c r="J119" s="2702" t="s">
        <v>1459</v>
      </c>
      <c r="K119" s="2680" t="s">
        <v>1459</v>
      </c>
      <c r="L119" s="6119" t="str">
        <f>"Inmune a ataques físicos. Aquel en contacto RF "&amp;Sheele!P15*2+Sheele!H15&amp;" o sufre [Nv de fracaso] daño."</f>
        <v>Inmune a ataques físicos. Aquel en contacto RF 60 o sufre [Nv de fracaso] daño.</v>
      </c>
      <c r="M119" s="6119"/>
      <c r="N119" s="6119"/>
      <c r="O119" s="6119"/>
      <c r="P119" s="6119"/>
      <c r="Q119" s="6119"/>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26" t="s">
        <v>2711</v>
      </c>
      <c r="M120" s="6127"/>
      <c r="N120" s="6127"/>
      <c r="O120" s="6127"/>
      <c r="P120" s="6127"/>
      <c r="Q120" s="6127"/>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28" t="s">
        <v>1553</v>
      </c>
      <c r="M121" s="6128"/>
      <c r="N121" s="6128"/>
      <c r="O121" s="6128"/>
      <c r="P121" s="6128"/>
      <c r="Q121" s="6128"/>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9858</v>
      </c>
      <c r="J122" s="2702">
        <f>Sheele!N25</f>
        <v>50</v>
      </c>
      <c r="K122" s="2680">
        <v>50</v>
      </c>
      <c r="L122" s="6120" t="s">
        <v>9859</v>
      </c>
      <c r="M122" s="6119"/>
      <c r="N122" s="6119"/>
      <c r="O122" s="6119"/>
      <c r="P122" s="6119"/>
      <c r="Q122" s="6119"/>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9858</v>
      </c>
      <c r="J123" s="2702">
        <f>Sheele!N25</f>
        <v>50</v>
      </c>
      <c r="K123" s="2680">
        <f>Sheele!P15</f>
        <v>25</v>
      </c>
      <c r="L123" s="6119" t="str">
        <f>"CON. Área "&amp;Sheele!P15&amp;"m. Impacto FUE "&amp;Sheele!G15&amp;". Aquellos en contacto son inmunes."</f>
        <v>CON. Área 25m. Impacto FUE 8. Aquellos en contacto son inmunes.</v>
      </c>
      <c r="M123" s="6119"/>
      <c r="N123" s="6119"/>
      <c r="O123" s="6119"/>
      <c r="P123" s="6119"/>
      <c r="Q123" s="6119"/>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20" t="s">
        <v>9863</v>
      </c>
      <c r="M124" s="6119"/>
      <c r="N124" s="6119"/>
      <c r="O124" s="6119"/>
      <c r="P124" s="6119"/>
      <c r="Q124" s="6119"/>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19" t="str">
        <f>"50m. RM o RF "&amp;Sheele!P15*2+Sheele!H15&amp;"- 5*[TA FRI]. Parálisis parcial (completa si se falla por 40+)"</f>
        <v>50m. RM o RF 60- 5*[TA FRI]. Parálisis parcial (completa si se falla por 40+)</v>
      </c>
      <c r="M125" s="6119"/>
      <c r="N125" s="6119"/>
      <c r="O125" s="6119"/>
      <c r="P125" s="6119"/>
      <c r="Q125" s="6119"/>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19" t="s">
        <v>2717</v>
      </c>
      <c r="M126" s="6119"/>
      <c r="N126" s="6119"/>
      <c r="O126" s="6119"/>
      <c r="P126" s="6119"/>
      <c r="Q126" s="6119"/>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20" t="s">
        <v>9864</v>
      </c>
      <c r="M127" s="6119"/>
      <c r="N127" s="6119"/>
      <c r="O127" s="6119"/>
      <c r="P127" s="6119"/>
      <c r="Q127" s="6119"/>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19" t="s">
        <v>2720</v>
      </c>
      <c r="M128" s="6119"/>
      <c r="N128" s="6119"/>
      <c r="O128" s="6119"/>
      <c r="P128" s="6119"/>
      <c r="Q128" s="6119"/>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25" t="s">
        <v>2708</v>
      </c>
      <c r="M129" s="6119"/>
      <c r="N129" s="6119"/>
      <c r="O129" s="6119"/>
      <c r="P129" s="6119"/>
      <c r="Q129" s="6119"/>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19" t="s">
        <v>2722</v>
      </c>
      <c r="M130" s="6119"/>
      <c r="N130" s="6119"/>
      <c r="O130" s="6119"/>
      <c r="P130" s="6119"/>
      <c r="Q130" s="6119"/>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29" t="s">
        <v>9865</v>
      </c>
      <c r="M131" s="6127"/>
      <c r="N131" s="6127"/>
      <c r="O131" s="6127"/>
      <c r="P131" s="6127"/>
      <c r="Q131" s="6127"/>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28" t="s">
        <v>1553</v>
      </c>
      <c r="M132" s="6128"/>
      <c r="N132" s="6128"/>
      <c r="O132" s="6128"/>
      <c r="P132" s="6128"/>
      <c r="Q132" s="6128"/>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20" t="s">
        <v>9866</v>
      </c>
      <c r="M133" s="6119"/>
      <c r="N133" s="6119"/>
      <c r="O133" s="6119"/>
      <c r="P133" s="6119"/>
      <c r="Q133" s="6119"/>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19" t="str">
        <f>"50m. Tira 1d100+ "&amp;Sheele!P15*2+Sheele!H15&amp;" en 'Tabla 76: En llamas' (Core p.234)"</f>
        <v>50m. Tira 1d100+ 60 en 'Tabla 76: En llamas' (Core p.234)</v>
      </c>
      <c r="M134" s="6119"/>
      <c r="N134" s="6119"/>
      <c r="O134" s="6119"/>
      <c r="P134" s="6119"/>
      <c r="Q134" s="6119"/>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20" t="s">
        <v>9867</v>
      </c>
      <c r="M135" s="6119"/>
      <c r="N135" s="6119"/>
      <c r="O135" s="6119"/>
      <c r="P135" s="6119"/>
      <c r="Q135" s="6119"/>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19" t="str">
        <f>"CAL. Área "&amp;Sheele!G16&amp;"*[# ataques sucesivos] m. Daño "&amp;Sheele!P15&amp;"+10*[# ataques sucesivos] "</f>
        <v xml:space="preserve">CAL. Área 6*[# ataques sucesivos] m. Daño 25+10*[# ataques sucesivos] </v>
      </c>
      <c r="M136" s="6119"/>
      <c r="N136" s="6119"/>
      <c r="O136" s="6119"/>
      <c r="P136" s="6119"/>
      <c r="Q136" s="6119"/>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9868</v>
      </c>
      <c r="L137" s="6119" t="str">
        <f>"La Sheele controla el fuego de hasta "&amp;Sheele!G15&amp;" intensidades. Puede atacar con él."</f>
        <v>La Sheele controla el fuego de hasta 8 intensidades. Puede atacar con él.</v>
      </c>
      <c r="M137" s="6119"/>
      <c r="N137" s="6119"/>
      <c r="O137" s="6119"/>
      <c r="P137" s="6119"/>
      <c r="Q137" s="6119"/>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25" t="s">
        <v>2708</v>
      </c>
      <c r="M138" s="6119"/>
      <c r="N138" s="6119"/>
      <c r="O138" s="6119"/>
      <c r="P138" s="6119"/>
      <c r="Q138" s="6119"/>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19" t="str">
        <f>"En contacto: Obtiene crítico secundario CAL, y +"&amp;Sheele!H15&amp;" daño."</f>
        <v>En contacto: Obtiene crítico secundario CAL, y +10 daño.</v>
      </c>
      <c r="M139" s="6119"/>
      <c r="N139" s="6119"/>
      <c r="O139" s="6119"/>
      <c r="P139" s="6119"/>
      <c r="Q139" s="6119"/>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9862</v>
      </c>
      <c r="J140" s="2708" t="s">
        <v>1459</v>
      </c>
      <c r="K140" s="2680" t="s">
        <v>1459</v>
      </c>
      <c r="L140" s="6119" t="str">
        <f>"A voluntad, solo vulnerable a energía o frío. En contacto: RF "&amp;Sheele!P15*2+Sheele!H15&amp;" o [Nv de fracaso] daño."</f>
        <v>A voluntad, solo vulnerable a energía o frío. En contacto: RF 60 o [Nv de fracaso] daño.</v>
      </c>
      <c r="M140" s="6119"/>
      <c r="N140" s="6119"/>
      <c r="O140" s="6119"/>
      <c r="P140" s="6119"/>
      <c r="Q140" s="6119"/>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25" t="s">
        <v>2732</v>
      </c>
      <c r="M141" s="6119"/>
      <c r="N141" s="6119"/>
      <c r="O141" s="6119"/>
      <c r="P141" s="6119"/>
      <c r="Q141" s="6119"/>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26" t="s">
        <v>2734</v>
      </c>
      <c r="M142" s="6127"/>
      <c r="N142" s="6127"/>
      <c r="O142" s="6127"/>
      <c r="P142" s="6127"/>
      <c r="Q142" s="6127"/>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28" t="s">
        <v>1553</v>
      </c>
      <c r="M143" s="6128"/>
      <c r="N143" s="6128"/>
      <c r="O143" s="6128"/>
      <c r="P143" s="6128"/>
      <c r="Q143" s="6128"/>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20" t="s">
        <v>9883</v>
      </c>
      <c r="M144" s="6119"/>
      <c r="N144" s="6119"/>
      <c r="O144" s="6119"/>
      <c r="P144" s="6119"/>
      <c r="Q144" s="6119"/>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19" t="str">
        <f>"Área 25m. RM "&amp;Sheele!P15*2+Sheele!H15&amp;": -50 turno y x0.5 movimiento. En contacto: Inmune."</f>
        <v>Área 25m. RM 60: -50 turno y x0.5 movimiento. En contacto: Inmune.</v>
      </c>
      <c r="M145" s="6119"/>
      <c r="N145" s="6119"/>
      <c r="O145" s="6119"/>
      <c r="P145" s="6119"/>
      <c r="Q145" s="6119"/>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20" t="s">
        <v>9869</v>
      </c>
      <c r="M146" s="6119"/>
      <c r="N146" s="6119"/>
      <c r="O146" s="6119"/>
      <c r="P146" s="6119"/>
      <c r="Q146" s="6119"/>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19" t="str">
        <f>"Area "&amp;Sheele!P15*2&amp;"m. Construcciones e individuos sobre el suelo control de AGI "&amp;Sheele!E12*2&amp;" o derribados"</f>
        <v>Area 50m. Construcciones e individuos sobre el suelo control de AGI 4 o derribados</v>
      </c>
      <c r="M147" s="6119"/>
      <c r="N147" s="6119"/>
      <c r="O147" s="6119"/>
      <c r="P147" s="6119"/>
      <c r="Q147" s="6119"/>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25" t="s">
        <v>2740</v>
      </c>
      <c r="M148" s="6119"/>
      <c r="N148" s="6119"/>
      <c r="O148" s="6119"/>
      <c r="P148" s="6119"/>
      <c r="Q148" s="6119"/>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20" t="s">
        <v>9870</v>
      </c>
      <c r="M149" s="6119"/>
      <c r="N149" s="6119"/>
      <c r="O149" s="6119"/>
      <c r="P149" s="6119"/>
      <c r="Q149" s="6119"/>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19" t="str">
        <f>"100m. Si &gt;0%, Control FUE "&amp;Sheele!E12+Sheele!E15+Sheele!E16&amp;"-[TA CON]: 10*[Nv de fracaso] daño (*5 si Acumulación)"</f>
        <v>100m. Si &gt;0%, Control FUE 16-[TA CON]: 10*[Nv de fracaso] daño (*5 si Acumulación)</v>
      </c>
      <c r="M150" s="6119"/>
      <c r="N150" s="6119"/>
      <c r="O150" s="6119"/>
      <c r="P150" s="6119"/>
      <c r="Q150" s="6119"/>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25" t="s">
        <v>2708</v>
      </c>
      <c r="M151" s="6119"/>
      <c r="N151" s="6119"/>
      <c r="O151" s="6119"/>
      <c r="P151" s="6119"/>
      <c r="Q151" s="6119"/>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19" t="str">
        <f>"Movimiento subterráneo de Tipo "&amp;Sheele!J14</f>
        <v>Movimiento subterráneo de Tipo 8</v>
      </c>
      <c r="M152" s="6119"/>
      <c r="N152" s="6119"/>
      <c r="O152" s="6119"/>
      <c r="P152" s="6119"/>
      <c r="Q152" s="6119"/>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27" t="s">
        <v>2745</v>
      </c>
      <c r="M153" s="6127"/>
      <c r="N153" s="6127"/>
      <c r="O153" s="6127"/>
      <c r="P153" s="6127"/>
      <c r="Q153" s="6127"/>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28" t="s">
        <v>1553</v>
      </c>
      <c r="M154" s="6128"/>
      <c r="N154" s="6128"/>
      <c r="O154" s="6128"/>
      <c r="P154" s="6128"/>
      <c r="Q154" s="6128"/>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19" t="str">
        <f>"Crea "&amp;Sheele!G15&amp;" proyectiles durante "&amp;Sheele!G16&amp;" asaltos. Máximo "&amp;ROUNDDOWN(Sheele!G11/2,0)&amp;" ataques/ turno. Ataca en ENE."</f>
        <v>Crea 8 proyectiles durante 6 asaltos. Máximo 4 ataques/ turno. Ataca en ENE.</v>
      </c>
      <c r="M155" s="6119"/>
      <c r="N155" s="6119"/>
      <c r="O155" s="6119"/>
      <c r="P155" s="6119"/>
      <c r="Q155" s="6119"/>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19" t="str">
        <f>"ENE. +15 Proy. cada asalto que lo prepare, máximo "&amp;Sheele!G15&amp;"."</f>
        <v>ENE. +15 Proy. cada asalto que lo prepare, máximo 8.</v>
      </c>
      <c r="M156" s="6119"/>
      <c r="N156" s="6119"/>
      <c r="O156" s="6119"/>
      <c r="P156" s="6119"/>
      <c r="Q156" s="6119"/>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19" t="str">
        <f>"5 asaltos. +"&amp;Sheele!H15*2&amp;" a toda acción y al ACT transferible. Después, -50 ata (10/ asalto)"</f>
        <v>5 asaltos. +20 a toda acción y al ACT transferible. Después, -50 ata (10/ asalto)</v>
      </c>
      <c r="M157" s="6119"/>
      <c r="N157" s="6119"/>
      <c r="O157" s="6119"/>
      <c r="P157" s="6119"/>
      <c r="Q157" s="6119"/>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19" t="str">
        <f>"Cura "&amp;Sheele!P15&amp;" PV o elimina penalizadores por el mismo valor. 1 uso/ persona/ día."</f>
        <v>Cura 25 PV o elimina penalizadores por el mismo valor. 1 uso/ persona/ día.</v>
      </c>
      <c r="M158" s="6119"/>
      <c r="N158" s="6119"/>
      <c r="O158" s="6119"/>
      <c r="P158" s="6119"/>
      <c r="Q158" s="6119"/>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19" t="s">
        <v>2750</v>
      </c>
      <c r="M159" s="6119"/>
      <c r="N159" s="6119"/>
      <c r="O159" s="6119"/>
      <c r="P159" s="6119"/>
      <c r="Q159" s="6119"/>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25" t="s">
        <v>2751</v>
      </c>
      <c r="M160" s="6119"/>
      <c r="N160" s="6119"/>
      <c r="O160" s="6119"/>
      <c r="P160" s="6119"/>
      <c r="Q160" s="6119"/>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30" t="s">
        <v>9871</v>
      </c>
      <c r="M161" s="6119"/>
      <c r="N161" s="6119"/>
      <c r="O161" s="6119"/>
      <c r="P161" s="6119"/>
      <c r="Q161" s="6119"/>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25" t="s">
        <v>2708</v>
      </c>
      <c r="M162" s="6119"/>
      <c r="N162" s="6119"/>
      <c r="O162" s="6119"/>
      <c r="P162" s="6119"/>
      <c r="Q162" s="6119"/>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19" t="str">
        <f>"A voluntad. Inmune a ataques físicos. Puede cegar a quien la mire, RM "&amp;Sheele!P15*2+Sheele!H15&amp;". Ver"</f>
        <v>A voluntad. Inmune a ataques físicos. Puede cegar a quien la mire, RM 60. Ver</v>
      </c>
      <c r="M163" s="6119"/>
      <c r="N163" s="6119"/>
      <c r="O163" s="6119"/>
      <c r="P163" s="6119"/>
      <c r="Q163" s="6119"/>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31" t="s">
        <v>9872</v>
      </c>
      <c r="M164" s="6127"/>
      <c r="N164" s="6127"/>
      <c r="O164" s="6127"/>
      <c r="P164" s="6127"/>
      <c r="Q164" s="6127"/>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28" t="s">
        <v>1553</v>
      </c>
      <c r="M165" s="6128"/>
      <c r="N165" s="6128"/>
      <c r="O165" s="6128"/>
      <c r="P165" s="6128"/>
      <c r="Q165" s="6128"/>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32" t="s">
        <v>2756</v>
      </c>
      <c r="M166" s="6133"/>
      <c r="N166" s="6133"/>
      <c r="O166" s="6133"/>
      <c r="P166" s="6133"/>
      <c r="Q166" s="6133"/>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20" t="s">
        <v>9873</v>
      </c>
      <c r="M167" s="6119"/>
      <c r="N167" s="6119"/>
      <c r="O167" s="6119"/>
      <c r="P167" s="6119"/>
      <c r="Q167" s="6119"/>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19" t="str">
        <f>"Defensa. RM "&amp;Sheele!P15*2+Sheele!H15&amp;": -50 a toda acción que se recupera a 10/asalto"</f>
        <v>Defensa. RM 60: -50 a toda acción que se recupera a 10/asalto</v>
      </c>
      <c r="M168" s="6119"/>
      <c r="N168" s="6119"/>
      <c r="O168" s="6119"/>
      <c r="P168" s="6119"/>
      <c r="Q168" s="6119"/>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19" t="s">
        <v>2760</v>
      </c>
      <c r="M169" s="6119"/>
      <c r="N169" s="6119"/>
      <c r="O169" s="6119"/>
      <c r="P169" s="6119"/>
      <c r="Q169" s="6119"/>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19" t="str">
        <f>"Automático 50m. RM "&amp;Sheele!P15*2&amp;": -"&amp;Sheele!H15*2&amp;" a toda acción."</f>
        <v>Automático 50m. RM 50: -20 a toda acción.</v>
      </c>
      <c r="M170" s="6119"/>
      <c r="N170" s="6119"/>
      <c r="O170" s="6119"/>
      <c r="P170" s="6119"/>
      <c r="Q170" s="6119"/>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19" t="str">
        <f>"5 asaltos. +"&amp;Sheele!H15*2&amp;" ATA y al ACT trasferible. Al finalizar, -50 ATA (-10/asalto)"</f>
        <v>5 asaltos. +20 ATA y al ACT trasferible. Al finalizar, -50 ATA (-10/asalto)</v>
      </c>
      <c r="M171" s="6119"/>
      <c r="N171" s="6119"/>
      <c r="O171" s="6119"/>
      <c r="P171" s="6119"/>
      <c r="Q171" s="6119"/>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19" t="str">
        <f>"Objetivo durmiendo. RM "&amp;Sheele!P15*2+Sheele!H15&amp;" o malos sueños. En la Vigilia es más potente. Ver"</f>
        <v>Objetivo durmiendo. RM 60 o malos sueños. En la Vigilia es más potente. Ver</v>
      </c>
      <c r="M172" s="6119"/>
      <c r="N172" s="6119"/>
      <c r="O172" s="6119"/>
      <c r="P172" s="6119"/>
      <c r="Q172" s="6119"/>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20" t="s">
        <v>9874</v>
      </c>
      <c r="M173" s="6119"/>
      <c r="N173" s="6119"/>
      <c r="O173" s="6119"/>
      <c r="P173" s="6119"/>
      <c r="Q173" s="6119"/>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25" t="s">
        <v>2708</v>
      </c>
      <c r="M174" s="6119"/>
      <c r="N174" s="6119"/>
      <c r="O174" s="6119"/>
      <c r="P174" s="6119"/>
      <c r="Q174" s="6119"/>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27" t="str">
        <f>"Puede atacar y defender usando su proyección. Daño base [Presencia]+[Bono Fue]"</f>
        <v>Puede atacar y defender usando su proyección. Daño base [Presencia]+[Bono Fue]</v>
      </c>
      <c r="M175" s="6127"/>
      <c r="N175" s="6127"/>
      <c r="O175" s="6127"/>
      <c r="P175" s="6127"/>
      <c r="Q175" s="6127"/>
      <c r="R175" s="692"/>
    </row>
    <row r="176" spans="2:18" x14ac:dyDescent="0.2">
      <c r="B176" s="684">
        <f t="shared" si="1"/>
        <v>0</v>
      </c>
      <c r="C176" s="2712" t="s">
        <v>2634</v>
      </c>
      <c r="D176" s="2704"/>
      <c r="E176" s="2704"/>
      <c r="F176" s="2691"/>
      <c r="G176" s="2690"/>
      <c r="H176" s="2705"/>
      <c r="I176" s="335" t="s">
        <v>2694</v>
      </c>
      <c r="J176" s="2706" t="s">
        <v>2695</v>
      </c>
      <c r="K176" s="332" t="s">
        <v>1570</v>
      </c>
      <c r="L176" s="6128" t="s">
        <v>1553</v>
      </c>
      <c r="M176" s="6128"/>
      <c r="N176" s="6128"/>
      <c r="O176" s="6128"/>
      <c r="P176" s="6128"/>
      <c r="Q176" s="6128"/>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9875</v>
      </c>
      <c r="J177" s="2702">
        <f>50+Sheele!N25</f>
        <v>100</v>
      </c>
      <c r="K177" s="337" t="s">
        <v>1459</v>
      </c>
      <c r="L177" s="6119" t="str">
        <f>"Presa de FUE "&amp;Sheele!G15&amp;". Se puede mantener pagando el coste de zeon."</f>
        <v>Presa de FUE 8. Se puede mantener pagando el coste de zeon.</v>
      </c>
      <c r="M177" s="6119"/>
      <c r="N177" s="6119"/>
      <c r="O177" s="6119"/>
      <c r="P177" s="6119"/>
      <c r="Q177" s="6119"/>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19" t="str">
        <f>"Escudo sobrenatural "&amp;10*Sheele!P15&amp;" PV, que dura máximo "&amp;Sheele!G16&amp;" asaltos."</f>
        <v>Escudo sobrenatural 250 PV, que dura máximo 6 asaltos.</v>
      </c>
      <c r="M178" s="6119"/>
      <c r="N178" s="6119"/>
      <c r="O178" s="6119"/>
      <c r="P178" s="6119"/>
      <c r="Q178" s="6119"/>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19" t="s">
        <v>2769</v>
      </c>
      <c r="M179" s="6119"/>
      <c r="N179" s="6119"/>
      <c r="O179" s="6119"/>
      <c r="P179" s="6119"/>
      <c r="Q179" s="6119"/>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19" t="str">
        <f>"Cura "&amp;Sheele!P15*2&amp;" PV. 1 uso/ persona/ día."</f>
        <v>Cura 50 PV. 1 uso/ persona/ día.</v>
      </c>
      <c r="M180" s="6119"/>
      <c r="N180" s="6119"/>
      <c r="O180" s="6119"/>
      <c r="P180" s="6119"/>
      <c r="Q180" s="6119"/>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20" t="s">
        <v>9876</v>
      </c>
      <c r="M181" s="6119"/>
      <c r="N181" s="6119"/>
      <c r="O181" s="6119"/>
      <c r="P181" s="6119"/>
      <c r="Q181" s="6119"/>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25" t="s">
        <v>2772</v>
      </c>
      <c r="M182" s="6119"/>
      <c r="N182" s="6119"/>
      <c r="O182" s="6119"/>
      <c r="P182" s="6119"/>
      <c r="Q182" s="6119"/>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20" t="s">
        <v>9877</v>
      </c>
      <c r="M183" s="6119"/>
      <c r="N183" s="6119"/>
      <c r="O183" s="6119"/>
      <c r="P183" s="6119"/>
      <c r="Q183" s="6119"/>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25" t="s">
        <v>2708</v>
      </c>
      <c r="M184" s="6119"/>
      <c r="N184" s="6119"/>
      <c r="O184" s="6119"/>
      <c r="P184" s="6119"/>
      <c r="Q184" s="6119"/>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9879</v>
      </c>
      <c r="J185" s="2708" t="s">
        <v>1459</v>
      </c>
      <c r="K185" s="2680" t="s">
        <v>1459</v>
      </c>
      <c r="L185" s="6120" t="s">
        <v>9878</v>
      </c>
      <c r="M185" s="6119"/>
      <c r="N185" s="6119"/>
      <c r="O185" s="6119"/>
      <c r="P185" s="6119"/>
      <c r="Q185" s="6119"/>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26" t="s">
        <v>2776</v>
      </c>
      <c r="M186" s="6127"/>
      <c r="N186" s="6127"/>
      <c r="O186" s="6127"/>
      <c r="P186" s="6127"/>
      <c r="Q186" s="6127"/>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28" t="s">
        <v>1553</v>
      </c>
      <c r="M187" s="6128"/>
      <c r="N187" s="6128"/>
      <c r="O187" s="6128"/>
      <c r="P187" s="6128"/>
      <c r="Q187" s="6128"/>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20" t="s">
        <v>2778</v>
      </c>
      <c r="M188" s="6119"/>
      <c r="N188" s="6119"/>
      <c r="O188" s="6119"/>
      <c r="P188" s="6119"/>
      <c r="Q188" s="6119"/>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20" t="s">
        <v>9880</v>
      </c>
      <c r="M189" s="6119"/>
      <c r="N189" s="6119"/>
      <c r="O189" s="6119"/>
      <c r="P189" s="6119"/>
      <c r="Q189" s="6119"/>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19" t="s">
        <v>2781</v>
      </c>
      <c r="M190" s="6119"/>
      <c r="N190" s="6119"/>
      <c r="O190" s="6119"/>
      <c r="P190" s="6119"/>
      <c r="Q190" s="6119"/>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19" t="str">
        <f>"Área 25m. RM "&amp;Sheele!P15*2+Sheele!H15&amp;": -[fracaso] Hab. PER y -0.5*[fracaso] ata. En contacto: Inmune"</f>
        <v>Área 25m. RM 60: -[fracaso] Hab. PER y -0.5*[fracaso] ata. En contacto: Inmune</v>
      </c>
      <c r="M191" s="6119"/>
      <c r="N191" s="6119"/>
      <c r="O191" s="6119"/>
      <c r="P191" s="6119"/>
      <c r="Q191" s="6119"/>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19" t="s">
        <v>2784</v>
      </c>
      <c r="M192" s="6119"/>
      <c r="N192" s="6119"/>
      <c r="O192" s="6119"/>
      <c r="P192" s="6119"/>
      <c r="Q192" s="6119"/>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25" t="s">
        <v>2786</v>
      </c>
      <c r="M193" s="6119"/>
      <c r="N193" s="6119"/>
      <c r="O193" s="6119"/>
      <c r="P193" s="6119"/>
      <c r="Q193" s="6119"/>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19" t="str">
        <f>"Defensa. Crea "&amp;Sheele!G15&amp;" copias. Se desvanece 1/ turno y 1/ defensa. Ver."</f>
        <v>Defensa. Crea 8 copias. Se desvanece 1/ turno y 1/ defensa. Ver.</v>
      </c>
      <c r="M194" s="6119"/>
      <c r="N194" s="6119"/>
      <c r="O194" s="6119"/>
      <c r="P194" s="6119"/>
      <c r="Q194" s="6119"/>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20" t="s">
        <v>9881</v>
      </c>
      <c r="M195" s="6119"/>
      <c r="N195" s="6119"/>
      <c r="O195" s="6119"/>
      <c r="P195" s="6119"/>
      <c r="Q195" s="6119"/>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25" t="s">
        <v>2708</v>
      </c>
      <c r="M196" s="6119"/>
      <c r="N196" s="6119"/>
      <c r="O196" s="6119"/>
      <c r="P196" s="6119"/>
      <c r="Q196" s="6119"/>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9882</v>
      </c>
      <c r="J197" s="696" t="s">
        <v>1459</v>
      </c>
      <c r="K197" s="2681" t="s">
        <v>1459</v>
      </c>
      <c r="L197" s="6144" t="str">
        <f>"A voluntad. Solo vulnerable a destrucción de sortilegios (Base, valor zeonico "&amp;Sheele!N10&amp;")"</f>
        <v>A voluntad. Solo vulnerable a destrucción de sortilegios (Base, valor zeonico 50)</v>
      </c>
      <c r="M197" s="6144"/>
      <c r="N197" s="6144"/>
      <c r="O197" s="6144"/>
      <c r="P197" s="6144"/>
      <c r="Q197" s="6144"/>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58" t="s">
        <v>2791</v>
      </c>
      <c r="C200" s="6159"/>
      <c r="D200" s="6159"/>
      <c r="E200" s="6159"/>
      <c r="F200" s="6159"/>
      <c r="G200" s="6159"/>
      <c r="H200" s="6159"/>
      <c r="I200" s="6159"/>
      <c r="J200" s="6159"/>
      <c r="K200" s="6159"/>
      <c r="L200" s="6159"/>
      <c r="M200" s="6160"/>
    </row>
    <row r="201" spans="2:18" x14ac:dyDescent="0.2">
      <c r="B201" s="6161"/>
      <c r="C201" s="6162"/>
      <c r="D201" s="6162"/>
      <c r="E201" s="6162"/>
      <c r="F201" s="6162"/>
      <c r="G201" s="6162"/>
      <c r="H201" s="6162"/>
      <c r="I201" s="6162"/>
      <c r="J201" s="6162"/>
      <c r="K201" s="6162"/>
      <c r="L201" s="6162"/>
      <c r="M201" s="6163"/>
    </row>
    <row r="202" spans="2:18" x14ac:dyDescent="0.2">
      <c r="B202" s="489"/>
      <c r="C202" s="479">
        <v>1</v>
      </c>
      <c r="D202" s="479">
        <v>2</v>
      </c>
      <c r="E202" s="479">
        <v>3</v>
      </c>
      <c r="F202" s="479">
        <v>4</v>
      </c>
      <c r="G202" s="479">
        <v>5</v>
      </c>
      <c r="H202" s="479">
        <v>6</v>
      </c>
      <c r="I202" s="479">
        <v>7</v>
      </c>
      <c r="J202" s="479">
        <v>8</v>
      </c>
      <c r="K202" s="487" t="s">
        <v>6339</v>
      </c>
      <c r="L202" s="6138" t="s">
        <v>2792</v>
      </c>
      <c r="M202" s="6139"/>
    </row>
    <row r="203" spans="2:18" x14ac:dyDescent="0.2">
      <c r="B203" s="486"/>
      <c r="C203" s="6136" t="s">
        <v>1607</v>
      </c>
      <c r="D203" s="6137"/>
      <c r="E203" s="488" t="str">
        <f t="array" ref="E203:H203">TRANSPOSE(C204:D207)</f>
        <v>Vuelo Místico 10</v>
      </c>
      <c r="F203" s="488" t="str">
        <v>Movimiento Defensivo</v>
      </c>
      <c r="G203" s="488" t="str">
        <v xml:space="preserve"> </v>
      </c>
      <c r="H203" s="488" t="str">
        <v xml:space="preserve"> </v>
      </c>
      <c r="I203" s="488"/>
      <c r="J203" s="2715"/>
      <c r="K203" s="482"/>
      <c r="L203" s="6140"/>
      <c r="M203" s="6141"/>
    </row>
    <row r="204" spans="2:18" x14ac:dyDescent="0.2">
      <c r="B204" s="336"/>
      <c r="C204" s="6134" t="s">
        <v>2793</v>
      </c>
      <c r="D204" s="6135"/>
      <c r="E204" s="6147" t="s">
        <v>2794</v>
      </c>
      <c r="F204" s="6147"/>
      <c r="G204" s="6147"/>
      <c r="H204" s="6147"/>
      <c r="I204" s="6147"/>
      <c r="J204" s="6147"/>
      <c r="K204" s="329" t="s">
        <v>1459</v>
      </c>
      <c r="L204" s="6142">
        <v>10</v>
      </c>
      <c r="M204" s="6143"/>
    </row>
    <row r="205" spans="2:18" x14ac:dyDescent="0.2">
      <c r="B205" s="336"/>
      <c r="C205" s="6134" t="s">
        <v>2795</v>
      </c>
      <c r="D205" s="6135"/>
      <c r="E205" s="6147" t="s">
        <v>2796</v>
      </c>
      <c r="F205" s="6148"/>
      <c r="G205" s="6148"/>
      <c r="H205" s="6148"/>
      <c r="I205" s="6148"/>
      <c r="J205" s="6148"/>
      <c r="K205" s="329" t="s">
        <v>1459</v>
      </c>
      <c r="L205" s="6142"/>
      <c r="M205" s="6143"/>
    </row>
    <row r="206" spans="2:18" x14ac:dyDescent="0.2">
      <c r="B206" s="297"/>
      <c r="C206" s="6145" t="s">
        <v>2797</v>
      </c>
      <c r="D206" s="6146"/>
      <c r="E206" s="6147"/>
      <c r="F206" s="6148"/>
      <c r="G206" s="6148"/>
      <c r="H206" s="6148"/>
      <c r="I206" s="6148"/>
      <c r="J206" s="6148"/>
      <c r="K206" s="329"/>
      <c r="L206" s="6110"/>
      <c r="M206" s="6151"/>
    </row>
    <row r="207" spans="2:18" x14ac:dyDescent="0.2">
      <c r="B207" s="297"/>
      <c r="C207" s="6145" t="s">
        <v>2797</v>
      </c>
      <c r="D207" s="6146"/>
      <c r="E207" s="6147"/>
      <c r="F207" s="6148"/>
      <c r="G207" s="6148"/>
      <c r="H207" s="6148"/>
      <c r="I207" s="6148"/>
      <c r="J207" s="6148"/>
      <c r="K207" s="329"/>
      <c r="L207" s="6110"/>
      <c r="M207" s="6151"/>
    </row>
    <row r="208" spans="2:18" x14ac:dyDescent="0.2">
      <c r="B208" s="486"/>
      <c r="C208" s="6136" t="s">
        <v>1610</v>
      </c>
      <c r="D208" s="6137"/>
      <c r="E208" s="488" t="str">
        <f t="array" ref="E208:H208">TRANSPOSE(C209:D212)</f>
        <v>Vuelo Místico 4</v>
      </c>
      <c r="F208" s="488" t="str">
        <v>Movimiento Acuático</v>
      </c>
      <c r="G208" s="488" t="str">
        <v>Respiración Acuática</v>
      </c>
      <c r="H208" s="488" t="str">
        <v>Resistencia Física</v>
      </c>
      <c r="I208" s="488"/>
      <c r="J208" s="2715"/>
      <c r="K208" s="485"/>
      <c r="L208" s="6149"/>
      <c r="M208" s="6150"/>
    </row>
    <row r="209" spans="2:13" x14ac:dyDescent="0.2">
      <c r="B209" s="336"/>
      <c r="C209" s="6134" t="s">
        <v>2798</v>
      </c>
      <c r="D209" s="6135"/>
      <c r="E209" s="6147" t="s">
        <v>2799</v>
      </c>
      <c r="F209" s="6147"/>
      <c r="G209" s="6147"/>
      <c r="H209" s="6147"/>
      <c r="I209" s="6147"/>
      <c r="J209" s="6147"/>
      <c r="K209" s="329" t="s">
        <v>1459</v>
      </c>
      <c r="L209" s="6142">
        <v>4</v>
      </c>
      <c r="M209" s="6143"/>
    </row>
    <row r="210" spans="2:13" x14ac:dyDescent="0.2">
      <c r="B210" s="336"/>
      <c r="C210" s="6134" t="s">
        <v>2800</v>
      </c>
      <c r="D210" s="6135"/>
      <c r="E210" s="6147" t="s">
        <v>2801</v>
      </c>
      <c r="F210" s="6148"/>
      <c r="G210" s="6148"/>
      <c r="H210" s="6148"/>
      <c r="I210" s="6148"/>
      <c r="J210" s="6148"/>
      <c r="K210" s="329" t="s">
        <v>1459</v>
      </c>
      <c r="L210" s="6142"/>
      <c r="M210" s="6143"/>
    </row>
    <row r="211" spans="2:13" x14ac:dyDescent="0.2">
      <c r="B211" s="297"/>
      <c r="C211" s="6145" t="s">
        <v>2802</v>
      </c>
      <c r="D211" s="6146"/>
      <c r="E211" s="6147" t="s">
        <v>2803</v>
      </c>
      <c r="F211" s="6148"/>
      <c r="G211" s="6148"/>
      <c r="H211" s="6148"/>
      <c r="I211" s="6148"/>
      <c r="J211" s="6148"/>
      <c r="K211" s="329" t="s">
        <v>1459</v>
      </c>
      <c r="L211" s="6142"/>
      <c r="M211" s="6143"/>
    </row>
    <row r="212" spans="2:13" x14ac:dyDescent="0.2">
      <c r="B212" s="297"/>
      <c r="C212" s="6145" t="s">
        <v>2804</v>
      </c>
      <c r="D212" s="6146"/>
      <c r="E212" s="6147" t="s">
        <v>2805</v>
      </c>
      <c r="F212" s="6148"/>
      <c r="G212" s="6148"/>
      <c r="H212" s="6148"/>
      <c r="I212" s="6148"/>
      <c r="J212" s="6148"/>
      <c r="K212" s="329" t="s">
        <v>1459</v>
      </c>
      <c r="L212" s="6142"/>
      <c r="M212" s="6143"/>
    </row>
    <row r="213" spans="2:13" x14ac:dyDescent="0.2">
      <c r="B213" s="486"/>
      <c r="C213" s="6136" t="s">
        <v>1614</v>
      </c>
      <c r="D213" s="6137"/>
      <c r="E213" s="488" t="str">
        <f t="array" ref="E213:H213">TRANSPOSE(C214:D217)</f>
        <v>Vuelo Místico 6</v>
      </c>
      <c r="F213" s="488" t="str">
        <v>Control de Llamas</v>
      </c>
      <c r="G213" s="488" t="str">
        <v xml:space="preserve"> </v>
      </c>
      <c r="H213" s="488" t="str">
        <v xml:space="preserve"> </v>
      </c>
      <c r="I213" s="488"/>
      <c r="J213" s="2715"/>
      <c r="K213" s="485"/>
      <c r="L213" s="6149"/>
      <c r="M213" s="6150"/>
    </row>
    <row r="214" spans="2:13" x14ac:dyDescent="0.2">
      <c r="B214" s="336"/>
      <c r="C214" s="6134" t="s">
        <v>2806</v>
      </c>
      <c r="D214" s="6135"/>
      <c r="E214" s="6147" t="s">
        <v>2807</v>
      </c>
      <c r="F214" s="6147"/>
      <c r="G214" s="6147"/>
      <c r="H214" s="6147"/>
      <c r="I214" s="6147"/>
      <c r="J214" s="6147"/>
      <c r="K214" s="329" t="s">
        <v>1459</v>
      </c>
      <c r="L214" s="6142">
        <v>6</v>
      </c>
      <c r="M214" s="6143"/>
    </row>
    <row r="215" spans="2:13" x14ac:dyDescent="0.2">
      <c r="B215" s="336"/>
      <c r="C215" s="6134" t="s">
        <v>2808</v>
      </c>
      <c r="D215" s="6135"/>
      <c r="E215" s="6147" t="str">
        <f>"Controlar llamas de intensidades no superiores a "&amp;Sheele!G15/2&amp;". Puede atacar con ellas."</f>
        <v>Controlar llamas de intensidades no superiores a 4. Puede atacar con ellas.</v>
      </c>
      <c r="F215" s="6148"/>
      <c r="G215" s="6148"/>
      <c r="H215" s="6148"/>
      <c r="I215" s="6148"/>
      <c r="J215" s="6148"/>
      <c r="K215" s="329" t="s">
        <v>1459</v>
      </c>
      <c r="L215" s="6142"/>
      <c r="M215" s="6143"/>
    </row>
    <row r="216" spans="2:13" x14ac:dyDescent="0.2">
      <c r="B216" s="297"/>
      <c r="C216" s="6145" t="s">
        <v>2797</v>
      </c>
      <c r="D216" s="6146"/>
      <c r="E216" s="6147"/>
      <c r="F216" s="6148"/>
      <c r="G216" s="6148"/>
      <c r="H216" s="6148"/>
      <c r="I216" s="6148"/>
      <c r="J216" s="6148"/>
      <c r="K216" s="329"/>
      <c r="L216" s="6110"/>
      <c r="M216" s="6151"/>
    </row>
    <row r="217" spans="2:13" x14ac:dyDescent="0.2">
      <c r="B217" s="297"/>
      <c r="C217" s="6145" t="s">
        <v>2797</v>
      </c>
      <c r="D217" s="6146"/>
      <c r="E217" s="6147"/>
      <c r="F217" s="6148"/>
      <c r="G217" s="6148"/>
      <c r="H217" s="6148"/>
      <c r="I217" s="6148"/>
      <c r="J217" s="6148"/>
      <c r="K217" s="329"/>
      <c r="L217" s="6110"/>
      <c r="M217" s="6151"/>
    </row>
    <row r="218" spans="2:13" x14ac:dyDescent="0.2">
      <c r="B218" s="486"/>
      <c r="C218" s="6136" t="s">
        <v>1708</v>
      </c>
      <c r="D218" s="6137"/>
      <c r="E218" s="488" t="str">
        <f t="array" ref="E218:H218">TRANSPOSE(C219:D222)</f>
        <v>Vuelo Místico 4</v>
      </c>
      <c r="F218" s="488" t="str">
        <v>Resistencia</v>
      </c>
      <c r="G218" s="488" t="str">
        <v xml:space="preserve"> </v>
      </c>
      <c r="H218" s="488" t="str">
        <v xml:space="preserve"> </v>
      </c>
      <c r="I218" s="488"/>
      <c r="J218" s="2715"/>
      <c r="K218" s="485"/>
      <c r="L218" s="6149"/>
      <c r="M218" s="6150"/>
    </row>
    <row r="219" spans="2:13" x14ac:dyDescent="0.2">
      <c r="B219" s="336"/>
      <c r="C219" s="6134" t="s">
        <v>2798</v>
      </c>
      <c r="D219" s="6135"/>
      <c r="E219" s="6147" t="s">
        <v>2799</v>
      </c>
      <c r="F219" s="6147"/>
      <c r="G219" s="6147"/>
      <c r="H219" s="6147"/>
      <c r="I219" s="6147"/>
      <c r="J219" s="6147"/>
      <c r="K219" s="329" t="s">
        <v>1459</v>
      </c>
      <c r="L219" s="6142">
        <v>4</v>
      </c>
      <c r="M219" s="6143"/>
    </row>
    <row r="220" spans="2:13" x14ac:dyDescent="0.2">
      <c r="B220" s="336"/>
      <c r="C220" s="6134" t="s">
        <v>2754</v>
      </c>
      <c r="D220" s="6135"/>
      <c r="E220" s="6147" t="s">
        <v>2809</v>
      </c>
      <c r="F220" s="6148"/>
      <c r="G220" s="6148"/>
      <c r="H220" s="6148"/>
      <c r="I220" s="6148"/>
      <c r="J220" s="6148"/>
      <c r="K220" s="329" t="s">
        <v>1459</v>
      </c>
      <c r="L220" s="6142"/>
      <c r="M220" s="6143"/>
    </row>
    <row r="221" spans="2:13" x14ac:dyDescent="0.2">
      <c r="B221" s="297"/>
      <c r="C221" s="6145" t="s">
        <v>2797</v>
      </c>
      <c r="D221" s="6146"/>
      <c r="E221" s="6147"/>
      <c r="F221" s="6148"/>
      <c r="G221" s="6148"/>
      <c r="H221" s="6148"/>
      <c r="I221" s="6148"/>
      <c r="J221" s="6148"/>
      <c r="K221" s="329"/>
      <c r="L221" s="6110"/>
      <c r="M221" s="6151"/>
    </row>
    <row r="222" spans="2:13" x14ac:dyDescent="0.2">
      <c r="B222" s="297"/>
      <c r="C222" s="6145" t="s">
        <v>2797</v>
      </c>
      <c r="D222" s="6146"/>
      <c r="E222" s="6147"/>
      <c r="F222" s="6148"/>
      <c r="G222" s="6148"/>
      <c r="H222" s="6148"/>
      <c r="I222" s="6148"/>
      <c r="J222" s="6148"/>
      <c r="K222" s="329"/>
      <c r="L222" s="6110"/>
      <c r="M222" s="6151"/>
    </row>
    <row r="223" spans="2:13" x14ac:dyDescent="0.2">
      <c r="B223" s="486"/>
      <c r="C223" s="6136" t="s">
        <v>1703</v>
      </c>
      <c r="D223" s="6137"/>
      <c r="E223" s="488" t="str">
        <f t="array" ref="E223:H223">TRANSPOSE(C224:D227)</f>
        <v>Vuelo  Místico 6</v>
      </c>
      <c r="F223" s="488" t="str">
        <v>Visión de Luz</v>
      </c>
      <c r="G223" s="488" t="str">
        <v>Luminosa</v>
      </c>
      <c r="H223" s="488" t="str">
        <v xml:space="preserve"> </v>
      </c>
      <c r="I223" s="488"/>
      <c r="J223" s="2715"/>
      <c r="K223" s="485"/>
      <c r="L223" s="6149"/>
      <c r="M223" s="6150"/>
    </row>
    <row r="224" spans="2:13" x14ac:dyDescent="0.2">
      <c r="B224" s="336"/>
      <c r="C224" s="6134" t="s">
        <v>2810</v>
      </c>
      <c r="D224" s="6135"/>
      <c r="E224" s="6147" t="s">
        <v>2807</v>
      </c>
      <c r="F224" s="6147"/>
      <c r="G224" s="6147"/>
      <c r="H224" s="6147"/>
      <c r="I224" s="6147"/>
      <c r="J224" s="6147"/>
      <c r="K224" s="329" t="s">
        <v>1459</v>
      </c>
      <c r="L224" s="6142">
        <v>6</v>
      </c>
      <c r="M224" s="6143"/>
    </row>
    <row r="225" spans="2:13" x14ac:dyDescent="0.2">
      <c r="B225" s="336"/>
      <c r="C225" s="6134" t="s">
        <v>2811</v>
      </c>
      <c r="D225" s="6135"/>
      <c r="E225" s="6147" t="s">
        <v>2812</v>
      </c>
      <c r="F225" s="6148"/>
      <c r="G225" s="6148"/>
      <c r="H225" s="6148"/>
      <c r="I225" s="6148"/>
      <c r="J225" s="6148"/>
      <c r="K225" s="329" t="s">
        <v>1459</v>
      </c>
      <c r="L225" s="6142"/>
      <c r="M225" s="6143"/>
    </row>
    <row r="226" spans="2:13" x14ac:dyDescent="0.2">
      <c r="B226" s="297"/>
      <c r="C226" s="6145" t="s">
        <v>2813</v>
      </c>
      <c r="D226" s="6146"/>
      <c r="E226" s="6147" t="s">
        <v>2814</v>
      </c>
      <c r="F226" s="6148"/>
      <c r="G226" s="6148"/>
      <c r="H226" s="6148"/>
      <c r="I226" s="6148"/>
      <c r="J226" s="6148"/>
      <c r="K226" s="329" t="s">
        <v>1459</v>
      </c>
      <c r="L226" s="6142"/>
      <c r="M226" s="6143"/>
    </row>
    <row r="227" spans="2:13" x14ac:dyDescent="0.2">
      <c r="B227" s="297"/>
      <c r="C227" s="6145" t="s">
        <v>2797</v>
      </c>
      <c r="D227" s="6146"/>
      <c r="E227" s="6147"/>
      <c r="F227" s="6148"/>
      <c r="G227" s="6148"/>
      <c r="H227" s="6148"/>
      <c r="I227" s="6148"/>
      <c r="J227" s="6148"/>
      <c r="K227" s="329"/>
      <c r="L227" s="6110"/>
      <c r="M227" s="6151"/>
    </row>
    <row r="228" spans="2:13" x14ac:dyDescent="0.2">
      <c r="B228" s="486"/>
      <c r="C228" s="6136" t="s">
        <v>1704</v>
      </c>
      <c r="D228" s="6137"/>
      <c r="E228" s="488" t="str">
        <f t="array" ref="E228:H228">TRANSPOSE(C229:D232)</f>
        <v>Vuelo Místico 8</v>
      </c>
      <c r="F228" s="488" t="str">
        <v>Visión oscura</v>
      </c>
      <c r="G228" s="488" t="str">
        <v>Invisible en la Sombra</v>
      </c>
      <c r="H228" s="488" t="str">
        <v xml:space="preserve"> </v>
      </c>
      <c r="I228" s="488"/>
      <c r="J228" s="2715"/>
      <c r="K228" s="485"/>
      <c r="L228" s="6149"/>
      <c r="M228" s="6150"/>
    </row>
    <row r="229" spans="2:13" x14ac:dyDescent="0.2">
      <c r="B229" s="336"/>
      <c r="C229" s="6134" t="s">
        <v>2815</v>
      </c>
      <c r="D229" s="6135"/>
      <c r="E229" s="6147" t="s">
        <v>2816</v>
      </c>
      <c r="F229" s="6147"/>
      <c r="G229" s="6147"/>
      <c r="H229" s="6147"/>
      <c r="I229" s="6147"/>
      <c r="J229" s="6147"/>
      <c r="K229" s="329" t="s">
        <v>1459</v>
      </c>
      <c r="L229" s="6142">
        <v>8</v>
      </c>
      <c r="M229" s="6143"/>
    </row>
    <row r="230" spans="2:13" x14ac:dyDescent="0.2">
      <c r="B230" s="336"/>
      <c r="C230" s="6134" t="s">
        <v>2817</v>
      </c>
      <c r="D230" s="6135"/>
      <c r="E230" s="6147" t="s">
        <v>2818</v>
      </c>
      <c r="F230" s="6148"/>
      <c r="G230" s="6148"/>
      <c r="H230" s="6148"/>
      <c r="I230" s="6148"/>
      <c r="J230" s="6148"/>
      <c r="K230" s="329" t="s">
        <v>1459</v>
      </c>
      <c r="L230" s="6142"/>
      <c r="M230" s="6143"/>
    </row>
    <row r="231" spans="2:13" x14ac:dyDescent="0.2">
      <c r="B231" s="297"/>
      <c r="C231" s="6145" t="s">
        <v>2819</v>
      </c>
      <c r="D231" s="6146"/>
      <c r="E231" s="6147" t="s">
        <v>2820</v>
      </c>
      <c r="F231" s="6148"/>
      <c r="G231" s="6148"/>
      <c r="H231" s="6148"/>
      <c r="I231" s="6148"/>
      <c r="J231" s="6148"/>
      <c r="K231" s="329" t="s">
        <v>1459</v>
      </c>
      <c r="L231" s="6142"/>
      <c r="M231" s="6143"/>
    </row>
    <row r="232" spans="2:13" x14ac:dyDescent="0.2">
      <c r="B232" s="297"/>
      <c r="C232" s="6145" t="s">
        <v>2797</v>
      </c>
      <c r="D232" s="6146"/>
      <c r="E232" s="6147"/>
      <c r="F232" s="6148"/>
      <c r="G232" s="6148"/>
      <c r="H232" s="6148"/>
      <c r="I232" s="6148"/>
      <c r="J232" s="6148"/>
      <c r="K232" s="329"/>
      <c r="L232" s="6110"/>
      <c r="M232" s="6151"/>
    </row>
    <row r="233" spans="2:13" x14ac:dyDescent="0.2">
      <c r="B233" s="486"/>
      <c r="C233" s="6136" t="s">
        <v>2633</v>
      </c>
      <c r="D233" s="6137"/>
      <c r="E233" s="488" t="str">
        <f t="array" ref="E233:H233">TRANSPOSE(C234:D237)</f>
        <v>Vuelo Místico 6</v>
      </c>
      <c r="F233" s="488" t="str">
        <v>Naturaleza Sanadora</v>
      </c>
      <c r="G233" s="488" t="str">
        <v xml:space="preserve"> </v>
      </c>
      <c r="H233" s="488" t="str">
        <v xml:space="preserve"> </v>
      </c>
      <c r="I233" s="488"/>
      <c r="J233" s="2715"/>
      <c r="K233" s="485"/>
      <c r="L233" s="6149"/>
      <c r="M233" s="6150"/>
    </row>
    <row r="234" spans="2:13" x14ac:dyDescent="0.2">
      <c r="B234" s="336"/>
      <c r="C234" s="6134" t="s">
        <v>2806</v>
      </c>
      <c r="D234" s="6135"/>
      <c r="E234" s="6147" t="s">
        <v>2807</v>
      </c>
      <c r="F234" s="6147"/>
      <c r="G234" s="6147"/>
      <c r="H234" s="6147"/>
      <c r="I234" s="6147"/>
      <c r="J234" s="6147"/>
      <c r="K234" s="329" t="s">
        <v>1459</v>
      </c>
      <c r="L234" s="6142">
        <v>6</v>
      </c>
      <c r="M234" s="6143"/>
    </row>
    <row r="235" spans="2:13" x14ac:dyDescent="0.2">
      <c r="B235" s="336"/>
      <c r="C235" s="6134" t="s">
        <v>2821</v>
      </c>
      <c r="D235" s="6135"/>
      <c r="E235" s="6147" t="s">
        <v>2822</v>
      </c>
      <c r="F235" s="6148"/>
      <c r="G235" s="6148"/>
      <c r="H235" s="6148"/>
      <c r="I235" s="6148"/>
      <c r="J235" s="6148"/>
      <c r="K235" s="329" t="s">
        <v>1459</v>
      </c>
      <c r="L235" s="6142"/>
      <c r="M235" s="6143"/>
    </row>
    <row r="236" spans="2:13" x14ac:dyDescent="0.2">
      <c r="B236" s="297"/>
      <c r="C236" s="6145" t="s">
        <v>2797</v>
      </c>
      <c r="D236" s="6146"/>
      <c r="E236" s="6147"/>
      <c r="F236" s="6148"/>
      <c r="G236" s="6148"/>
      <c r="H236" s="6148"/>
      <c r="I236" s="6148"/>
      <c r="J236" s="6148"/>
      <c r="K236" s="329"/>
      <c r="L236" s="6110"/>
      <c r="M236" s="6151"/>
    </row>
    <row r="237" spans="2:13" x14ac:dyDescent="0.2">
      <c r="B237" s="297"/>
      <c r="C237" s="6145" t="s">
        <v>2797</v>
      </c>
      <c r="D237" s="6146"/>
      <c r="E237" s="6147"/>
      <c r="F237" s="6148"/>
      <c r="G237" s="6148"/>
      <c r="H237" s="6148"/>
      <c r="I237" s="6148"/>
      <c r="J237" s="6148"/>
      <c r="K237" s="329"/>
      <c r="L237" s="6110"/>
      <c r="M237" s="6151"/>
    </row>
    <row r="238" spans="2:13" x14ac:dyDescent="0.2">
      <c r="B238" s="486"/>
      <c r="C238" s="6136" t="s">
        <v>1715</v>
      </c>
      <c r="D238" s="6137"/>
      <c r="E238" s="488" t="str">
        <f t="array" ref="E238:H238">TRANSPOSE(C239:D242)</f>
        <v>Vuelo Místico 6</v>
      </c>
      <c r="F238" s="488" t="str">
        <v>La que Todo lo Ve</v>
      </c>
      <c r="G238" s="488" t="str">
        <v>Destellos de Ilusión</v>
      </c>
      <c r="H238" s="488" t="str">
        <v xml:space="preserve"> </v>
      </c>
      <c r="I238" s="488"/>
      <c r="J238" s="2715"/>
      <c r="K238" s="485"/>
      <c r="L238" s="6149"/>
      <c r="M238" s="6150"/>
    </row>
    <row r="239" spans="2:13" x14ac:dyDescent="0.2">
      <c r="B239" s="336"/>
      <c r="C239" s="6134" t="s">
        <v>2806</v>
      </c>
      <c r="D239" s="6135"/>
      <c r="E239" s="6147" t="s">
        <v>2807</v>
      </c>
      <c r="F239" s="6147"/>
      <c r="G239" s="6147"/>
      <c r="H239" s="6147"/>
      <c r="I239" s="6147"/>
      <c r="J239" s="6147"/>
      <c r="K239" s="329" t="s">
        <v>1459</v>
      </c>
      <c r="L239" s="6142">
        <v>6</v>
      </c>
      <c r="M239" s="6143"/>
    </row>
    <row r="240" spans="2:13" x14ac:dyDescent="0.2">
      <c r="B240" s="336"/>
      <c r="C240" s="6134" t="s">
        <v>2823</v>
      </c>
      <c r="D240" s="6135"/>
      <c r="E240" s="6147" t="s">
        <v>2824</v>
      </c>
      <c r="F240" s="6148"/>
      <c r="G240" s="6148"/>
      <c r="H240" s="6148"/>
      <c r="I240" s="6148"/>
      <c r="J240" s="6148"/>
      <c r="K240" s="329" t="s">
        <v>1459</v>
      </c>
      <c r="L240" s="6142"/>
      <c r="M240" s="6143"/>
    </row>
    <row r="241" spans="2:13" x14ac:dyDescent="0.2">
      <c r="B241" s="297"/>
      <c r="C241" s="6145" t="s">
        <v>2825</v>
      </c>
      <c r="D241" s="6146"/>
      <c r="E241" s="6147" t="s">
        <v>2826</v>
      </c>
      <c r="F241" s="6148"/>
      <c r="G241" s="6148"/>
      <c r="H241" s="6148"/>
      <c r="I241" s="6148"/>
      <c r="J241" s="6148"/>
      <c r="K241" s="329" t="s">
        <v>1459</v>
      </c>
      <c r="L241" s="6142"/>
      <c r="M241" s="6143"/>
    </row>
    <row r="242" spans="2:13" ht="13.5" thickBot="1" x14ac:dyDescent="0.25">
      <c r="B242" s="483"/>
      <c r="C242" s="6154" t="s">
        <v>2797</v>
      </c>
      <c r="D242" s="6155"/>
      <c r="E242" s="6152"/>
      <c r="F242" s="6153"/>
      <c r="G242" s="6153"/>
      <c r="H242" s="6153"/>
      <c r="I242" s="6153"/>
      <c r="J242" s="6153"/>
      <c r="K242" s="484"/>
      <c r="L242" s="6156"/>
      <c r="M242" s="6157"/>
    </row>
  </sheetData>
  <sheetProtection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5784</v>
      </c>
      <c r="D3" s="939"/>
      <c r="E3" s="939"/>
      <c r="F3" s="939"/>
      <c r="G3" s="939"/>
      <c r="H3" s="939"/>
      <c r="I3" s="939"/>
      <c r="J3" s="939"/>
      <c r="K3" s="939"/>
      <c r="L3" s="939"/>
      <c r="M3" s="939"/>
      <c r="N3" s="939"/>
      <c r="O3" s="939"/>
      <c r="P3" s="939"/>
      <c r="Q3" s="939"/>
      <c r="R3" s="940"/>
      <c r="S3" s="380"/>
      <c r="T3" s="380"/>
      <c r="U3" s="6164" t="s">
        <v>9505</v>
      </c>
      <c r="V3" s="6165"/>
      <c r="W3" s="6165"/>
      <c r="X3" s="6165"/>
      <c r="Y3" s="6165"/>
      <c r="Z3" s="6165"/>
      <c r="AA3" s="6165"/>
      <c r="AB3" s="6165"/>
      <c r="AC3" s="6165"/>
      <c r="AD3" s="6165"/>
      <c r="AE3" s="6165"/>
      <c r="AF3" s="6165"/>
      <c r="AG3" s="6165"/>
      <c r="AH3" s="6166"/>
      <c r="AJ3" s="6174" t="s">
        <v>8994</v>
      </c>
      <c r="AK3" s="6175"/>
      <c r="AL3" s="6176"/>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67"/>
      <c r="V4" s="6168"/>
      <c r="W4" s="6168"/>
      <c r="X4" s="6168"/>
      <c r="Y4" s="6168"/>
      <c r="Z4" s="6168"/>
      <c r="AA4" s="6168"/>
      <c r="AB4" s="6168"/>
      <c r="AC4" s="6168"/>
      <c r="AD4" s="6168"/>
      <c r="AE4" s="6168"/>
      <c r="AF4" s="6168"/>
      <c r="AG4" s="6168"/>
      <c r="AH4" s="6169"/>
      <c r="AJ4" s="6177"/>
      <c r="AK4" s="6178"/>
      <c r="AL4" s="6179"/>
    </row>
    <row r="5" spans="1:38" ht="12.75" customHeight="1" x14ac:dyDescent="0.2">
      <c r="A5" s="816">
        <v>5</v>
      </c>
      <c r="B5" s="6091" t="s">
        <v>7162</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1" t="s">
        <v>7161</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9831</v>
      </c>
      <c r="AL5" s="2517" t="s">
        <v>2862</v>
      </c>
    </row>
    <row r="6" spans="1:38" ht="12.75" customHeight="1" thickBot="1" x14ac:dyDescent="0.25">
      <c r="A6" s="816">
        <v>6</v>
      </c>
      <c r="B6" s="6170"/>
      <c r="C6" s="385"/>
      <c r="D6" s="386" t="s">
        <v>1445</v>
      </c>
      <c r="E6" s="386" t="s">
        <v>118</v>
      </c>
      <c r="F6" s="386" t="s">
        <v>1406</v>
      </c>
      <c r="G6" s="386" t="s">
        <v>5785</v>
      </c>
      <c r="H6" s="386" t="s">
        <v>2854</v>
      </c>
      <c r="I6" s="386" t="s">
        <v>7369</v>
      </c>
      <c r="J6" s="386" t="s">
        <v>7370</v>
      </c>
      <c r="K6" s="386" t="s">
        <v>7371</v>
      </c>
      <c r="L6" s="386" t="s">
        <v>7380</v>
      </c>
      <c r="M6" s="386" t="s">
        <v>7372</v>
      </c>
      <c r="N6" s="386" t="s">
        <v>7373</v>
      </c>
      <c r="O6" s="386" t="s">
        <v>7374</v>
      </c>
      <c r="P6" s="386" t="s">
        <v>7375</v>
      </c>
      <c r="Q6" s="386" t="s">
        <v>7376</v>
      </c>
      <c r="R6" s="413" t="s">
        <v>7377</v>
      </c>
      <c r="S6" s="6170"/>
      <c r="U6" s="2174" t="s">
        <v>1445</v>
      </c>
      <c r="V6" s="2175" t="s">
        <v>9507</v>
      </c>
      <c r="W6" s="2175" t="s">
        <v>9508</v>
      </c>
      <c r="X6" s="2175" t="s">
        <v>7369</v>
      </c>
      <c r="Y6" s="2175" t="s">
        <v>7370</v>
      </c>
      <c r="Z6" s="2175" t="s">
        <v>7371</v>
      </c>
      <c r="AA6" s="2175" t="s">
        <v>7380</v>
      </c>
      <c r="AB6" s="2175" t="s">
        <v>7372</v>
      </c>
      <c r="AC6" s="2175" t="s">
        <v>7373</v>
      </c>
      <c r="AD6" s="2175" t="s">
        <v>7374</v>
      </c>
      <c r="AE6" s="2175" t="s">
        <v>7375</v>
      </c>
      <c r="AF6" s="2175" t="s">
        <v>7376</v>
      </c>
      <c r="AG6" s="2175" t="s">
        <v>7377</v>
      </c>
      <c r="AH6" s="2165" t="s">
        <v>9506</v>
      </c>
      <c r="AJ6" s="2518" t="s">
        <v>9832</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5786</v>
      </c>
      <c r="J8" s="390" t="s">
        <v>5787</v>
      </c>
      <c r="K8" s="390" t="s">
        <v>5788</v>
      </c>
      <c r="L8" s="390" t="s">
        <v>5789</v>
      </c>
      <c r="M8" s="390" t="s">
        <v>5790</v>
      </c>
      <c r="N8" s="390" t="s">
        <v>5791</v>
      </c>
      <c r="O8" s="390" t="s">
        <v>5792</v>
      </c>
      <c r="P8" s="390" t="s">
        <v>5793</v>
      </c>
      <c r="Q8" s="390" t="s">
        <v>5794</v>
      </c>
      <c r="R8" s="414" t="s">
        <v>5795</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5786</v>
      </c>
      <c r="J9" s="390" t="s">
        <v>5787</v>
      </c>
      <c r="K9" s="390" t="s">
        <v>5796</v>
      </c>
      <c r="L9" s="390" t="s">
        <v>5797</v>
      </c>
      <c r="M9" s="390" t="s">
        <v>5798</v>
      </c>
      <c r="N9" s="390" t="s">
        <v>5799</v>
      </c>
      <c r="O9" s="390" t="s">
        <v>5800</v>
      </c>
      <c r="P9" s="390" t="s">
        <v>5801</v>
      </c>
      <c r="Q9" s="390" t="s">
        <v>5802</v>
      </c>
      <c r="R9" s="414" t="s">
        <v>5803</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5786</v>
      </c>
      <c r="J10" s="390" t="s">
        <v>5787</v>
      </c>
      <c r="K10" s="390" t="s">
        <v>5804</v>
      </c>
      <c r="L10" s="390" t="s">
        <v>5805</v>
      </c>
      <c r="M10" s="390" t="s">
        <v>5806</v>
      </c>
      <c r="N10" s="390" t="s">
        <v>5807</v>
      </c>
      <c r="O10" s="390" t="s">
        <v>5808</v>
      </c>
      <c r="P10" s="390" t="s">
        <v>5809</v>
      </c>
      <c r="Q10" s="390" t="s">
        <v>5810</v>
      </c>
      <c r="R10" s="414" t="s">
        <v>5811</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5812</v>
      </c>
      <c r="J11" s="390" t="s">
        <v>5787</v>
      </c>
      <c r="K11" s="390" t="s">
        <v>5813</v>
      </c>
      <c r="L11" s="390" t="s">
        <v>5814</v>
      </c>
      <c r="M11" s="390" t="s">
        <v>5815</v>
      </c>
      <c r="N11" s="390" t="s">
        <v>5816</v>
      </c>
      <c r="O11" s="390" t="s">
        <v>5817</v>
      </c>
      <c r="P11" s="390" t="s">
        <v>5818</v>
      </c>
      <c r="Q11" s="390" t="s">
        <v>5819</v>
      </c>
      <c r="R11" s="414" t="s">
        <v>5820</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5786</v>
      </c>
      <c r="J12" s="390" t="s">
        <v>5787</v>
      </c>
      <c r="K12" s="390" t="s">
        <v>5821</v>
      </c>
      <c r="L12" s="390" t="s">
        <v>5804</v>
      </c>
      <c r="M12" s="390" t="s">
        <v>5805</v>
      </c>
      <c r="N12" s="390" t="s">
        <v>5806</v>
      </c>
      <c r="O12" s="390" t="s">
        <v>5807</v>
      </c>
      <c r="P12" s="390" t="s">
        <v>5808</v>
      </c>
      <c r="Q12" s="390" t="s">
        <v>5809</v>
      </c>
      <c r="R12" s="414" t="s">
        <v>5810</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5822</v>
      </c>
      <c r="J13" s="390" t="s">
        <v>5786</v>
      </c>
      <c r="K13" s="390" t="s">
        <v>5821</v>
      </c>
      <c r="L13" s="390" t="s">
        <v>5804</v>
      </c>
      <c r="M13" s="390" t="s">
        <v>5805</v>
      </c>
      <c r="N13" s="390" t="s">
        <v>5806</v>
      </c>
      <c r="O13" s="390" t="s">
        <v>5807</v>
      </c>
      <c r="P13" s="390" t="s">
        <v>5808</v>
      </c>
      <c r="Q13" s="390" t="s">
        <v>5809</v>
      </c>
      <c r="R13" s="414" t="s">
        <v>5810</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5823</v>
      </c>
      <c r="J14" s="390" t="s">
        <v>5822</v>
      </c>
      <c r="K14" s="390" t="s">
        <v>5786</v>
      </c>
      <c r="L14" s="390" t="s">
        <v>5804</v>
      </c>
      <c r="M14" s="390" t="s">
        <v>5805</v>
      </c>
      <c r="N14" s="390" t="s">
        <v>5806</v>
      </c>
      <c r="O14" s="390" t="s">
        <v>5807</v>
      </c>
      <c r="P14" s="390" t="s">
        <v>5808</v>
      </c>
      <c r="Q14" s="390" t="s">
        <v>5809</v>
      </c>
      <c r="R14" s="414" t="s">
        <v>5811</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5824</v>
      </c>
      <c r="J15" s="390" t="s">
        <v>5822</v>
      </c>
      <c r="K15" s="390" t="s">
        <v>5786</v>
      </c>
      <c r="L15" s="390" t="s">
        <v>5805</v>
      </c>
      <c r="M15" s="390" t="s">
        <v>5806</v>
      </c>
      <c r="N15" s="390" t="s">
        <v>5807</v>
      </c>
      <c r="O15" s="390" t="s">
        <v>5808</v>
      </c>
      <c r="P15" s="390" t="s">
        <v>5809</v>
      </c>
      <c r="Q15" s="390" t="s">
        <v>5810</v>
      </c>
      <c r="R15" s="414" t="s">
        <v>5825</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5823</v>
      </c>
      <c r="J16" s="390" t="s">
        <v>5822</v>
      </c>
      <c r="K16" s="390" t="s">
        <v>5786</v>
      </c>
      <c r="L16" s="390" t="s">
        <v>5796</v>
      </c>
      <c r="M16" s="390" t="s">
        <v>5797</v>
      </c>
      <c r="N16" s="390" t="s">
        <v>5798</v>
      </c>
      <c r="O16" s="390" t="s">
        <v>5799</v>
      </c>
      <c r="P16" s="390" t="s">
        <v>5800</v>
      </c>
      <c r="Q16" s="390" t="s">
        <v>5801</v>
      </c>
      <c r="R16" s="414" t="s">
        <v>5803</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5824</v>
      </c>
      <c r="J17" s="390" t="s">
        <v>5823</v>
      </c>
      <c r="K17" s="390" t="s">
        <v>5822</v>
      </c>
      <c r="L17" s="390" t="s">
        <v>5786</v>
      </c>
      <c r="M17" s="390" t="s">
        <v>5804</v>
      </c>
      <c r="N17" s="390" t="s">
        <v>5805</v>
      </c>
      <c r="O17" s="390" t="s">
        <v>5806</v>
      </c>
      <c r="P17" s="390" t="s">
        <v>5807</v>
      </c>
      <c r="Q17" s="390" t="s">
        <v>5808</v>
      </c>
      <c r="R17" s="414" t="s">
        <v>5809</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5824</v>
      </c>
      <c r="J18" s="390" t="s">
        <v>5823</v>
      </c>
      <c r="K18" s="390" t="s">
        <v>5822</v>
      </c>
      <c r="L18" s="390" t="s">
        <v>5786</v>
      </c>
      <c r="M18" s="390" t="s">
        <v>5826</v>
      </c>
      <c r="N18" s="390" t="s">
        <v>5827</v>
      </c>
      <c r="O18" s="390" t="s">
        <v>5828</v>
      </c>
      <c r="P18" s="390" t="s">
        <v>5829</v>
      </c>
      <c r="Q18" s="390" t="s">
        <v>5830</v>
      </c>
      <c r="R18" s="414" t="s">
        <v>5803</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5824</v>
      </c>
      <c r="J19" s="390" t="s">
        <v>5823</v>
      </c>
      <c r="K19" s="390" t="s">
        <v>5822</v>
      </c>
      <c r="L19" s="390" t="s">
        <v>5786</v>
      </c>
      <c r="M19" s="390" t="s">
        <v>5831</v>
      </c>
      <c r="N19" s="390" t="s">
        <v>5832</v>
      </c>
      <c r="O19" s="390" t="s">
        <v>5833</v>
      </c>
      <c r="P19" s="390" t="s">
        <v>5834</v>
      </c>
      <c r="Q19" s="390" t="s">
        <v>5835</v>
      </c>
      <c r="R19" s="414" t="s">
        <v>5836</v>
      </c>
      <c r="S19" s="813">
        <f>IF(COUNTIF(Psíquicos!$C$25:$E$36,E19)=0,0,1)</f>
        <v>0</v>
      </c>
      <c r="U19" s="2166" t="s">
        <v>134</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5837</v>
      </c>
      <c r="J20" s="390" t="s">
        <v>5824</v>
      </c>
      <c r="K20" s="390" t="s">
        <v>5823</v>
      </c>
      <c r="L20" s="390" t="s">
        <v>5822</v>
      </c>
      <c r="M20" s="390" t="s">
        <v>5804</v>
      </c>
      <c r="N20" s="390" t="s">
        <v>5805</v>
      </c>
      <c r="O20" s="390" t="s">
        <v>5806</v>
      </c>
      <c r="P20" s="390" t="s">
        <v>5807</v>
      </c>
      <c r="Q20" s="390" t="s">
        <v>5808</v>
      </c>
      <c r="R20" s="414" t="s">
        <v>5810</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5838</v>
      </c>
      <c r="J21" s="390" t="s">
        <v>5837</v>
      </c>
      <c r="K21" s="390" t="s">
        <v>5824</v>
      </c>
      <c r="L21" s="390" t="s">
        <v>5823</v>
      </c>
      <c r="M21" s="390" t="s">
        <v>5822</v>
      </c>
      <c r="N21" s="390" t="s">
        <v>5806</v>
      </c>
      <c r="O21" s="390" t="s">
        <v>5807</v>
      </c>
      <c r="P21" s="390" t="s">
        <v>5808</v>
      </c>
      <c r="Q21" s="390" t="s">
        <v>5810</v>
      </c>
      <c r="R21" s="414" t="s">
        <v>5811</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10281</v>
      </c>
      <c r="E22" s="390" t="s">
        <v>99</v>
      </c>
      <c r="F22" s="391">
        <v>3</v>
      </c>
      <c r="G22" s="391" t="s">
        <v>2612</v>
      </c>
      <c r="H22" s="392" t="s">
        <v>1307</v>
      </c>
      <c r="I22" s="390" t="s">
        <v>5838</v>
      </c>
      <c r="J22" s="390" t="s">
        <v>5837</v>
      </c>
      <c r="K22" s="390" t="s">
        <v>5824</v>
      </c>
      <c r="L22" s="390" t="s">
        <v>5822</v>
      </c>
      <c r="M22" s="390" t="s">
        <v>5839</v>
      </c>
      <c r="N22" s="390" t="s">
        <v>5796</v>
      </c>
      <c r="O22" s="390" t="s">
        <v>5798</v>
      </c>
      <c r="P22" s="390" t="s">
        <v>5799</v>
      </c>
      <c r="Q22" s="390" t="s">
        <v>5800</v>
      </c>
      <c r="R22" s="414" t="s">
        <v>5840</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5787</v>
      </c>
      <c r="J24" s="390" t="s">
        <v>5841</v>
      </c>
      <c r="K24" s="390" t="s">
        <v>5842</v>
      </c>
      <c r="L24" s="390" t="s">
        <v>5843</v>
      </c>
      <c r="M24" s="390" t="s">
        <v>5844</v>
      </c>
      <c r="N24" s="390" t="s">
        <v>5845</v>
      </c>
      <c r="O24" s="390" t="s">
        <v>5846</v>
      </c>
      <c r="P24" s="390" t="s">
        <v>5847</v>
      </c>
      <c r="Q24" s="390" t="s">
        <v>5848</v>
      </c>
      <c r="R24" s="414" t="s">
        <v>5849</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5786</v>
      </c>
      <c r="J25" s="390" t="s">
        <v>5787</v>
      </c>
      <c r="K25" s="390" t="s">
        <v>5850</v>
      </c>
      <c r="L25" s="390" t="s">
        <v>5851</v>
      </c>
      <c r="M25" s="390" t="s">
        <v>5852</v>
      </c>
      <c r="N25" s="390" t="s">
        <v>5853</v>
      </c>
      <c r="O25" s="390" t="s">
        <v>5854</v>
      </c>
      <c r="P25" s="390" t="s">
        <v>5855</v>
      </c>
      <c r="Q25" s="390" t="s">
        <v>5856</v>
      </c>
      <c r="R25" s="414" t="s">
        <v>5857</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5786</v>
      </c>
      <c r="J26" s="390" t="s">
        <v>5787</v>
      </c>
      <c r="K26" s="390" t="s">
        <v>5858</v>
      </c>
      <c r="L26" s="390" t="s">
        <v>5859</v>
      </c>
      <c r="M26" s="390" t="s">
        <v>5860</v>
      </c>
      <c r="N26" s="390" t="s">
        <v>5861</v>
      </c>
      <c r="O26" s="390" t="s">
        <v>5862</v>
      </c>
      <c r="P26" s="390" t="s">
        <v>5863</v>
      </c>
      <c r="Q26" s="390" t="s">
        <v>5864</v>
      </c>
      <c r="R26" s="414" t="s">
        <v>5865</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5786</v>
      </c>
      <c r="J27" s="390" t="s">
        <v>5787</v>
      </c>
      <c r="K27" s="390" t="s">
        <v>5866</v>
      </c>
      <c r="L27" s="390" t="s">
        <v>4347</v>
      </c>
      <c r="M27" s="390" t="s">
        <v>4348</v>
      </c>
      <c r="N27" s="390" t="s">
        <v>4349</v>
      </c>
      <c r="O27" s="390" t="s">
        <v>4350</v>
      </c>
      <c r="P27" s="390" t="s">
        <v>5867</v>
      </c>
      <c r="Q27" s="390" t="s">
        <v>5868</v>
      </c>
      <c r="R27" s="414" t="s">
        <v>5869</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5786</v>
      </c>
      <c r="J28" s="390" t="s">
        <v>5787</v>
      </c>
      <c r="K28" s="390" t="s">
        <v>5870</v>
      </c>
      <c r="L28" s="390" t="s">
        <v>5850</v>
      </c>
      <c r="M28" s="390" t="s">
        <v>5851</v>
      </c>
      <c r="N28" s="390" t="s">
        <v>5871</v>
      </c>
      <c r="O28" s="390" t="s">
        <v>5872</v>
      </c>
      <c r="P28" s="390" t="s">
        <v>5873</v>
      </c>
      <c r="Q28" s="390" t="s">
        <v>5874</v>
      </c>
      <c r="R28" s="414" t="s">
        <v>5875</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5822</v>
      </c>
      <c r="J29" s="390" t="s">
        <v>5786</v>
      </c>
      <c r="K29" s="390" t="s">
        <v>5787</v>
      </c>
      <c r="L29" s="401" t="s">
        <v>7101</v>
      </c>
      <c r="M29" s="401" t="s">
        <v>7102</v>
      </c>
      <c r="N29" s="401" t="s">
        <v>7103</v>
      </c>
      <c r="O29" s="401" t="s">
        <v>7104</v>
      </c>
      <c r="P29" s="401" t="s">
        <v>7105</v>
      </c>
      <c r="Q29" s="401" t="s">
        <v>7106</v>
      </c>
      <c r="R29" s="788" t="s">
        <v>7107</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5822</v>
      </c>
      <c r="J30" s="390" t="s">
        <v>5786</v>
      </c>
      <c r="K30" s="390" t="s">
        <v>5787</v>
      </c>
      <c r="L30" s="390" t="s">
        <v>5876</v>
      </c>
      <c r="M30" s="390" t="s">
        <v>5877</v>
      </c>
      <c r="N30" s="390" t="s">
        <v>5878</v>
      </c>
      <c r="O30" s="390" t="s">
        <v>5879</v>
      </c>
      <c r="P30" s="390" t="s">
        <v>5880</v>
      </c>
      <c r="Q30" s="390" t="s">
        <v>5881</v>
      </c>
      <c r="R30" s="414" t="s">
        <v>5882</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5824</v>
      </c>
      <c r="J31" s="390" t="s">
        <v>5823</v>
      </c>
      <c r="K31" s="390" t="s">
        <v>5822</v>
      </c>
      <c r="L31" s="390" t="s">
        <v>5786</v>
      </c>
      <c r="M31" s="390" t="s">
        <v>5883</v>
      </c>
      <c r="N31" s="390" t="s">
        <v>5884</v>
      </c>
      <c r="O31" s="390" t="s">
        <v>5885</v>
      </c>
      <c r="P31" s="390" t="s">
        <v>5886</v>
      </c>
      <c r="Q31" s="390" t="s">
        <v>5887</v>
      </c>
      <c r="R31" s="414" t="s">
        <v>5888</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5824</v>
      </c>
      <c r="J32" s="390" t="s">
        <v>5823</v>
      </c>
      <c r="K32" s="390" t="s">
        <v>5822</v>
      </c>
      <c r="L32" s="390" t="s">
        <v>5786</v>
      </c>
      <c r="M32" s="390" t="s">
        <v>5889</v>
      </c>
      <c r="N32" s="390" t="s">
        <v>5890</v>
      </c>
      <c r="O32" s="390" t="s">
        <v>5891</v>
      </c>
      <c r="P32" s="390" t="s">
        <v>5892</v>
      </c>
      <c r="Q32" s="390" t="s">
        <v>5893</v>
      </c>
      <c r="R32" s="414" t="s">
        <v>5894</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5822</v>
      </c>
      <c r="J33" s="390" t="s">
        <v>5786</v>
      </c>
      <c r="K33" s="390" t="s">
        <v>5787</v>
      </c>
      <c r="L33" s="390" t="s">
        <v>4912</v>
      </c>
      <c r="M33" s="390" t="s">
        <v>4913</v>
      </c>
      <c r="N33" s="390" t="s">
        <v>4914</v>
      </c>
      <c r="O33" s="390" t="s">
        <v>5895</v>
      </c>
      <c r="P33" s="390" t="s">
        <v>5896</v>
      </c>
      <c r="Q33" s="390" t="s">
        <v>5897</v>
      </c>
      <c r="R33" s="414" t="s">
        <v>5898</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5823</v>
      </c>
      <c r="J34" s="390" t="s">
        <v>5822</v>
      </c>
      <c r="K34" s="390" t="s">
        <v>5786</v>
      </c>
      <c r="L34" s="390" t="s">
        <v>5899</v>
      </c>
      <c r="M34" s="390" t="s">
        <v>5900</v>
      </c>
      <c r="N34" s="390" t="s">
        <v>5901</v>
      </c>
      <c r="O34" s="390" t="s">
        <v>5902</v>
      </c>
      <c r="P34" s="390" t="s">
        <v>5903</v>
      </c>
      <c r="Q34" s="390" t="s">
        <v>5904</v>
      </c>
      <c r="R34" s="414" t="s">
        <v>5905</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5838</v>
      </c>
      <c r="J35" s="390" t="s">
        <v>5837</v>
      </c>
      <c r="K35" s="390" t="s">
        <v>5824</v>
      </c>
      <c r="L35" s="390" t="s">
        <v>5823</v>
      </c>
      <c r="M35" s="390" t="s">
        <v>5822</v>
      </c>
      <c r="N35" s="390" t="s">
        <v>5906</v>
      </c>
      <c r="O35" s="390" t="s">
        <v>5907</v>
      </c>
      <c r="P35" s="390" t="s">
        <v>5908</v>
      </c>
      <c r="Q35" s="390" t="s">
        <v>5909</v>
      </c>
      <c r="R35" s="414" t="s">
        <v>5910</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5911</v>
      </c>
      <c r="J36" s="390" t="s">
        <v>5912</v>
      </c>
      <c r="K36" s="390" t="s">
        <v>5838</v>
      </c>
      <c r="L36" s="390" t="s">
        <v>5837</v>
      </c>
      <c r="M36" s="390" t="s">
        <v>5824</v>
      </c>
      <c r="N36" s="390" t="s">
        <v>5822</v>
      </c>
      <c r="O36" s="390" t="s">
        <v>5913</v>
      </c>
      <c r="P36" s="390" t="s">
        <v>5914</v>
      </c>
      <c r="Q36" s="390" t="s">
        <v>5915</v>
      </c>
      <c r="R36" s="414" t="s">
        <v>5916</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5911</v>
      </c>
      <c r="J37" s="390" t="s">
        <v>5912</v>
      </c>
      <c r="K37" s="390" t="s">
        <v>5838</v>
      </c>
      <c r="L37" s="390" t="s">
        <v>5837</v>
      </c>
      <c r="M37" s="390" t="s">
        <v>5824</v>
      </c>
      <c r="N37" s="390" t="s">
        <v>5823</v>
      </c>
      <c r="O37" s="390" t="s">
        <v>5822</v>
      </c>
      <c r="P37" s="390" t="s">
        <v>5917</v>
      </c>
      <c r="Q37" s="390" t="s">
        <v>5918</v>
      </c>
      <c r="R37" s="414" t="s">
        <v>5919</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5787</v>
      </c>
      <c r="J39" s="390" t="s">
        <v>3568</v>
      </c>
      <c r="K39" s="390" t="s">
        <v>4809</v>
      </c>
      <c r="L39" s="390" t="s">
        <v>3569</v>
      </c>
      <c r="M39" s="390" t="s">
        <v>5920</v>
      </c>
      <c r="N39" s="390" t="s">
        <v>3570</v>
      </c>
      <c r="O39" s="390" t="s">
        <v>5921</v>
      </c>
      <c r="P39" s="390" t="s">
        <v>5922</v>
      </c>
      <c r="Q39" s="390" t="s">
        <v>3571</v>
      </c>
      <c r="R39" s="414" t="s">
        <v>4290</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5787</v>
      </c>
      <c r="J40" s="390" t="s">
        <v>5923</v>
      </c>
      <c r="K40" s="390" t="s">
        <v>5924</v>
      </c>
      <c r="L40" s="390" t="s">
        <v>5925</v>
      </c>
      <c r="M40" s="390" t="s">
        <v>5926</v>
      </c>
      <c r="N40" s="390" t="s">
        <v>5927</v>
      </c>
      <c r="O40" s="390" t="s">
        <v>5928</v>
      </c>
      <c r="P40" s="390" t="s">
        <v>5929</v>
      </c>
      <c r="Q40" s="390" t="s">
        <v>5930</v>
      </c>
      <c r="R40" s="414" t="s">
        <v>5931</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5786</v>
      </c>
      <c r="J41" s="390" t="s">
        <v>5787</v>
      </c>
      <c r="K41" s="390" t="s">
        <v>5932</v>
      </c>
      <c r="L41" s="390" t="s">
        <v>5933</v>
      </c>
      <c r="M41" s="390" t="s">
        <v>5934</v>
      </c>
      <c r="N41" s="390" t="s">
        <v>5935</v>
      </c>
      <c r="O41" s="390" t="s">
        <v>5936</v>
      </c>
      <c r="P41" s="390" t="s">
        <v>5937</v>
      </c>
      <c r="Q41" s="390" t="s">
        <v>5938</v>
      </c>
      <c r="R41" s="414" t="s">
        <v>5939</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5822</v>
      </c>
      <c r="J42" s="390" t="s">
        <v>5786</v>
      </c>
      <c r="K42" s="390" t="s">
        <v>5787</v>
      </c>
      <c r="L42" s="390" t="s">
        <v>5940</v>
      </c>
      <c r="M42" s="390" t="s">
        <v>5941</v>
      </c>
      <c r="N42" s="390" t="s">
        <v>5942</v>
      </c>
      <c r="O42" s="390" t="s">
        <v>5943</v>
      </c>
      <c r="P42" s="390" t="s">
        <v>5944</v>
      </c>
      <c r="Q42" s="390" t="s">
        <v>5945</v>
      </c>
      <c r="R42" s="414" t="s">
        <v>5946</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5822</v>
      </c>
      <c r="J43" s="390" t="s">
        <v>5786</v>
      </c>
      <c r="K43" s="390" t="s">
        <v>5787</v>
      </c>
      <c r="L43" s="390" t="s">
        <v>3569</v>
      </c>
      <c r="M43" s="390" t="s">
        <v>3570</v>
      </c>
      <c r="N43" s="390" t="s">
        <v>4289</v>
      </c>
      <c r="O43" s="390" t="s">
        <v>3571</v>
      </c>
      <c r="P43" s="390" t="s">
        <v>5947</v>
      </c>
      <c r="Q43" s="390" t="s">
        <v>5948</v>
      </c>
      <c r="R43" s="414" t="s">
        <v>5949</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5822</v>
      </c>
      <c r="J44" s="390" t="s">
        <v>5786</v>
      </c>
      <c r="K44" s="390" t="s">
        <v>5787</v>
      </c>
      <c r="L44" s="390" t="s">
        <v>3569</v>
      </c>
      <c r="M44" s="390" t="s">
        <v>3570</v>
      </c>
      <c r="N44" s="390" t="s">
        <v>4289</v>
      </c>
      <c r="O44" s="390" t="s">
        <v>3571</v>
      </c>
      <c r="P44" s="390" t="s">
        <v>5947</v>
      </c>
      <c r="Q44" s="390" t="s">
        <v>5948</v>
      </c>
      <c r="R44" s="414" t="s">
        <v>5949</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5823</v>
      </c>
      <c r="J45" s="390" t="s">
        <v>5822</v>
      </c>
      <c r="K45" s="390" t="s">
        <v>5786</v>
      </c>
      <c r="L45" s="390" t="s">
        <v>5787</v>
      </c>
      <c r="M45" s="390" t="s">
        <v>5940</v>
      </c>
      <c r="N45" s="390" t="s">
        <v>5941</v>
      </c>
      <c r="O45" s="390" t="s">
        <v>5950</v>
      </c>
      <c r="P45" s="390" t="s">
        <v>5951</v>
      </c>
      <c r="Q45" s="390" t="s">
        <v>5952</v>
      </c>
      <c r="R45" s="414" t="s">
        <v>5953</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5823</v>
      </c>
      <c r="J46" s="390" t="s">
        <v>5822</v>
      </c>
      <c r="K46" s="390" t="s">
        <v>5786</v>
      </c>
      <c r="L46" s="390" t="s">
        <v>5787</v>
      </c>
      <c r="M46" s="390" t="s">
        <v>5954</v>
      </c>
      <c r="N46" s="390" t="s">
        <v>5955</v>
      </c>
      <c r="O46" s="390" t="s">
        <v>5956</v>
      </c>
      <c r="P46" s="390" t="s">
        <v>5957</v>
      </c>
      <c r="Q46" s="390" t="s">
        <v>5958</v>
      </c>
      <c r="R46" s="414" t="s">
        <v>5959</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5838</v>
      </c>
      <c r="J47" s="390" t="s">
        <v>5837</v>
      </c>
      <c r="K47" s="390" t="s">
        <v>5824</v>
      </c>
      <c r="L47" s="390" t="s">
        <v>5823</v>
      </c>
      <c r="M47" s="390" t="s">
        <v>5822</v>
      </c>
      <c r="N47" s="390" t="s">
        <v>5960</v>
      </c>
      <c r="O47" s="390" t="s">
        <v>5961</v>
      </c>
      <c r="P47" s="390" t="s">
        <v>5962</v>
      </c>
      <c r="Q47" s="390" t="s">
        <v>5963</v>
      </c>
      <c r="R47" s="414" t="s">
        <v>5964</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5838</v>
      </c>
      <c r="J48" s="390" t="s">
        <v>5837</v>
      </c>
      <c r="K48" s="390" t="s">
        <v>5824</v>
      </c>
      <c r="L48" s="390" t="s">
        <v>5965</v>
      </c>
      <c r="M48" s="390" t="s">
        <v>5966</v>
      </c>
      <c r="N48" s="390" t="s">
        <v>5967</v>
      </c>
      <c r="O48" s="390" t="s">
        <v>5029</v>
      </c>
      <c r="P48" s="390" t="s">
        <v>5968</v>
      </c>
      <c r="Q48" s="390" t="s">
        <v>5030</v>
      </c>
      <c r="R48" s="414" t="s">
        <v>5969</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5912</v>
      </c>
      <c r="J49" s="390" t="s">
        <v>5838</v>
      </c>
      <c r="K49" s="390" t="s">
        <v>5837</v>
      </c>
      <c r="L49" s="390" t="s">
        <v>5824</v>
      </c>
      <c r="M49" s="390" t="s">
        <v>5823</v>
      </c>
      <c r="N49" s="390" t="s">
        <v>5822</v>
      </c>
      <c r="O49" s="390" t="s">
        <v>5947</v>
      </c>
      <c r="P49" s="390" t="s">
        <v>5948</v>
      </c>
      <c r="Q49" s="390" t="s">
        <v>5949</v>
      </c>
      <c r="R49" s="414" t="s">
        <v>5970</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5787</v>
      </c>
      <c r="J51" s="390" t="s">
        <v>3568</v>
      </c>
      <c r="K51" s="390" t="s">
        <v>4809</v>
      </c>
      <c r="L51" s="390" t="s">
        <v>3569</v>
      </c>
      <c r="M51" s="390" t="s">
        <v>5920</v>
      </c>
      <c r="N51" s="390" t="s">
        <v>3570</v>
      </c>
      <c r="O51" s="390" t="s">
        <v>5921</v>
      </c>
      <c r="P51" s="390" t="s">
        <v>5922</v>
      </c>
      <c r="Q51" s="390" t="s">
        <v>3571</v>
      </c>
      <c r="R51" s="414" t="s">
        <v>4290</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5822</v>
      </c>
      <c r="J52" s="390" t="s">
        <v>5786</v>
      </c>
      <c r="K52" s="390" t="s">
        <v>5787</v>
      </c>
      <c r="L52" s="390" t="s">
        <v>5971</v>
      </c>
      <c r="M52" s="390" t="s">
        <v>5972</v>
      </c>
      <c r="N52" s="390" t="s">
        <v>5973</v>
      </c>
      <c r="O52" s="390" t="s">
        <v>5974</v>
      </c>
      <c r="P52" s="390" t="s">
        <v>4294</v>
      </c>
      <c r="Q52" s="390" t="s">
        <v>4296</v>
      </c>
      <c r="R52" s="414" t="s">
        <v>5975</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5787</v>
      </c>
      <c r="J53" s="390" t="s">
        <v>5923</v>
      </c>
      <c r="K53" s="390" t="s">
        <v>5924</v>
      </c>
      <c r="L53" s="390" t="s">
        <v>5925</v>
      </c>
      <c r="M53" s="390" t="s">
        <v>5926</v>
      </c>
      <c r="N53" s="390" t="s">
        <v>5927</v>
      </c>
      <c r="O53" s="390" t="s">
        <v>5928</v>
      </c>
      <c r="P53" s="390" t="s">
        <v>5929</v>
      </c>
      <c r="Q53" s="390" t="s">
        <v>5930</v>
      </c>
      <c r="R53" s="414" t="s">
        <v>5931</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5786</v>
      </c>
      <c r="J54" s="390" t="s">
        <v>5787</v>
      </c>
      <c r="K54" s="390" t="s">
        <v>5932</v>
      </c>
      <c r="L54" s="390" t="s">
        <v>5933</v>
      </c>
      <c r="M54" s="390" t="s">
        <v>5934</v>
      </c>
      <c r="N54" s="390" t="s">
        <v>5935</v>
      </c>
      <c r="O54" s="390" t="s">
        <v>5936</v>
      </c>
      <c r="P54" s="390" t="s">
        <v>5937</v>
      </c>
      <c r="Q54" s="390" t="s">
        <v>5938</v>
      </c>
      <c r="R54" s="414" t="s">
        <v>5939</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10145</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5824</v>
      </c>
      <c r="J55" s="390" t="s">
        <v>5823</v>
      </c>
      <c r="K55" s="390" t="s">
        <v>5822</v>
      </c>
      <c r="L55" s="390" t="s">
        <v>10217</v>
      </c>
      <c r="M55" s="390" t="s">
        <v>5889</v>
      </c>
      <c r="N55" s="390" t="s">
        <v>5890</v>
      </c>
      <c r="O55" s="390" t="s">
        <v>5891</v>
      </c>
      <c r="P55" s="390" t="s">
        <v>5892</v>
      </c>
      <c r="Q55" s="390" t="s">
        <v>5893</v>
      </c>
      <c r="R55" s="414" t="s">
        <v>5894</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5824</v>
      </c>
      <c r="J56" s="390" t="s">
        <v>5823</v>
      </c>
      <c r="K56" s="390" t="s">
        <v>5822</v>
      </c>
      <c r="L56" s="390" t="s">
        <v>5786</v>
      </c>
      <c r="M56" s="390" t="s">
        <v>5787</v>
      </c>
      <c r="N56" s="390" t="s">
        <v>4690</v>
      </c>
      <c r="O56" s="390" t="s">
        <v>3788</v>
      </c>
      <c r="P56" s="390" t="s">
        <v>3463</v>
      </c>
      <c r="Q56" s="390" t="s">
        <v>5976</v>
      </c>
      <c r="R56" s="414" t="s">
        <v>5977</v>
      </c>
      <c r="S56" s="813">
        <f>IF(COUNTIF(Psíquicos!$C$25:$E$36,E56)=0,0,1)</f>
        <v>0</v>
      </c>
      <c r="U56" s="2166" t="s">
        <v>180</v>
      </c>
      <c r="V56" s="390" t="str">
        <f t="shared" si="7"/>
        <v>MED</v>
      </c>
      <c r="W56" s="390" t="str">
        <f>IFERROR(VLOOKUP(U56,Psíquicos!$AD$11:$AK$64,8,FALSE),V56)</f>
        <v>MED</v>
      </c>
      <c r="X56" s="944" t="str">
        <f t="shared" si="9"/>
        <v/>
      </c>
      <c r="Y56" s="944" t="str">
        <f t="shared" si="9"/>
        <v/>
      </c>
      <c r="Z56" s="944">
        <f t="shared" ref="Z56:Z61" si="11">IF(ISNUMBER(VALUE(MID(K69,SEARCH("+",K69)+1,3))),VALUE(MID(K69,SEARCH("+",K69)+1,3)),"")</f>
        <v>1</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5823</v>
      </c>
      <c r="J57" s="390" t="s">
        <v>5822</v>
      </c>
      <c r="K57" s="390" t="s">
        <v>5786</v>
      </c>
      <c r="L57" s="390" t="s">
        <v>5787</v>
      </c>
      <c r="M57" s="390" t="s">
        <v>5978</v>
      </c>
      <c r="N57" s="390" t="s">
        <v>5979</v>
      </c>
      <c r="O57" s="390" t="s">
        <v>5980</v>
      </c>
      <c r="P57" s="390" t="s">
        <v>5981</v>
      </c>
      <c r="Q57" s="390" t="s">
        <v>5982</v>
      </c>
      <c r="R57" s="414" t="s">
        <v>5983</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5823</v>
      </c>
      <c r="J58" s="390" t="s">
        <v>5822</v>
      </c>
      <c r="K58" s="390" t="s">
        <v>5786</v>
      </c>
      <c r="L58" s="390" t="s">
        <v>5984</v>
      </c>
      <c r="M58" s="390" t="s">
        <v>5985</v>
      </c>
      <c r="N58" s="390" t="s">
        <v>5986</v>
      </c>
      <c r="O58" s="390" t="s">
        <v>5987</v>
      </c>
      <c r="P58" s="390" t="s">
        <v>5988</v>
      </c>
      <c r="Q58" s="390" t="s">
        <v>5989</v>
      </c>
      <c r="R58" s="414" t="s">
        <v>5990</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5837</v>
      </c>
      <c r="J59" s="390" t="s">
        <v>5824</v>
      </c>
      <c r="K59" s="390" t="s">
        <v>5823</v>
      </c>
      <c r="L59" s="390" t="s">
        <v>5822</v>
      </c>
      <c r="M59" s="390" t="s">
        <v>5786</v>
      </c>
      <c r="N59" s="390" t="s">
        <v>5890</v>
      </c>
      <c r="O59" s="390" t="s">
        <v>5891</v>
      </c>
      <c r="P59" s="390" t="s">
        <v>5892</v>
      </c>
      <c r="Q59" s="390" t="s">
        <v>5893</v>
      </c>
      <c r="R59" s="414" t="s">
        <v>5894</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5822</v>
      </c>
      <c r="J60" s="390" t="s">
        <v>5786</v>
      </c>
      <c r="K60" s="390" t="s">
        <v>5787</v>
      </c>
      <c r="L60" s="390" t="s">
        <v>3569</v>
      </c>
      <c r="M60" s="390" t="s">
        <v>3570</v>
      </c>
      <c r="N60" s="390" t="s">
        <v>4289</v>
      </c>
      <c r="O60" s="390" t="s">
        <v>3571</v>
      </c>
      <c r="P60" s="390" t="s">
        <v>5947</v>
      </c>
      <c r="Q60" s="390" t="s">
        <v>5948</v>
      </c>
      <c r="R60" s="414" t="s">
        <v>5949</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5838</v>
      </c>
      <c r="J61" s="390" t="s">
        <v>5837</v>
      </c>
      <c r="K61" s="390" t="s">
        <v>5824</v>
      </c>
      <c r="L61" s="390" t="s">
        <v>5823</v>
      </c>
      <c r="M61" s="390" t="s">
        <v>5822</v>
      </c>
      <c r="N61" s="390" t="s">
        <v>5991</v>
      </c>
      <c r="O61" s="390" t="s">
        <v>5992</v>
      </c>
      <c r="P61" s="390" t="s">
        <v>5993</v>
      </c>
      <c r="Q61" s="390" t="s">
        <v>5994</v>
      </c>
      <c r="R61" s="414" t="s">
        <v>5995</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5838</v>
      </c>
      <c r="J62" s="390" t="s">
        <v>5837</v>
      </c>
      <c r="K62" s="390" t="s">
        <v>5824</v>
      </c>
      <c r="L62" s="390" t="s">
        <v>5823</v>
      </c>
      <c r="M62" s="390" t="s">
        <v>5822</v>
      </c>
      <c r="N62" s="390" t="s">
        <v>5996</v>
      </c>
      <c r="O62" s="390" t="s">
        <v>5997</v>
      </c>
      <c r="P62" s="390" t="s">
        <v>5998</v>
      </c>
      <c r="Q62" s="390" t="s">
        <v>5999</v>
      </c>
      <c r="R62" s="414" t="s">
        <v>6000</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5912</v>
      </c>
      <c r="J63" s="390" t="s">
        <v>5838</v>
      </c>
      <c r="K63" s="390" t="s">
        <v>5837</v>
      </c>
      <c r="L63" s="390" t="s">
        <v>5824</v>
      </c>
      <c r="M63" s="390" t="s">
        <v>5823</v>
      </c>
      <c r="N63" s="390" t="s">
        <v>5822</v>
      </c>
      <c r="O63" s="390" t="s">
        <v>5947</v>
      </c>
      <c r="P63" s="390" t="s">
        <v>5948</v>
      </c>
      <c r="Q63" s="390" t="s">
        <v>5949</v>
      </c>
      <c r="R63" s="414" t="s">
        <v>5970</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5786</v>
      </c>
      <c r="J65" s="390" t="s">
        <v>6001</v>
      </c>
      <c r="K65" s="390" t="s">
        <v>6002</v>
      </c>
      <c r="L65" s="390" t="s">
        <v>6003</v>
      </c>
      <c r="M65" s="390" t="s">
        <v>6004</v>
      </c>
      <c r="N65" s="390" t="s">
        <v>6005</v>
      </c>
      <c r="O65" s="390" t="s">
        <v>6006</v>
      </c>
      <c r="P65" s="390" t="s">
        <v>6007</v>
      </c>
      <c r="Q65" s="390" t="s">
        <v>6008</v>
      </c>
      <c r="R65" s="414" t="s">
        <v>6009</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5786</v>
      </c>
      <c r="J66" s="390" t="s">
        <v>6010</v>
      </c>
      <c r="K66" s="390" t="s">
        <v>6011</v>
      </c>
      <c r="L66" s="390" t="s">
        <v>6012</v>
      </c>
      <c r="M66" s="390" t="s">
        <v>6013</v>
      </c>
      <c r="N66" s="390" t="s">
        <v>6014</v>
      </c>
      <c r="O66" s="390" t="s">
        <v>6015</v>
      </c>
      <c r="P66" s="390" t="s">
        <v>6016</v>
      </c>
      <c r="Q66" s="390" t="s">
        <v>6017</v>
      </c>
      <c r="R66" s="414" t="s">
        <v>6018</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5822</v>
      </c>
      <c r="J67" s="390" t="s">
        <v>5786</v>
      </c>
      <c r="K67" s="390" t="s">
        <v>6019</v>
      </c>
      <c r="L67" s="390" t="s">
        <v>6020</v>
      </c>
      <c r="M67" s="390" t="s">
        <v>6021</v>
      </c>
      <c r="N67" s="390" t="s">
        <v>6022</v>
      </c>
      <c r="O67" s="390" t="s">
        <v>6023</v>
      </c>
      <c r="P67" s="390" t="s">
        <v>6024</v>
      </c>
      <c r="Q67" s="390" t="s">
        <v>6025</v>
      </c>
      <c r="R67" s="414" t="s">
        <v>6026</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5822</v>
      </c>
      <c r="J68" s="390" t="s">
        <v>5786</v>
      </c>
      <c r="K68" s="390" t="s">
        <v>1686</v>
      </c>
      <c r="L68" s="390" t="s">
        <v>7382</v>
      </c>
      <c r="M68" s="390" t="s">
        <v>6027</v>
      </c>
      <c r="N68" s="390" t="s">
        <v>6028</v>
      </c>
      <c r="O68" s="390" t="s">
        <v>6029</v>
      </c>
      <c r="P68" s="390" t="s">
        <v>6030</v>
      </c>
      <c r="Q68" s="390" t="s">
        <v>6031</v>
      </c>
      <c r="R68" s="414" t="s">
        <v>6032</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5822</v>
      </c>
      <c r="J69" s="390" t="s">
        <v>5786</v>
      </c>
      <c r="K69" s="390" t="s">
        <v>6019</v>
      </c>
      <c r="L69" s="390" t="s">
        <v>6033</v>
      </c>
      <c r="M69" s="390" t="s">
        <v>6034</v>
      </c>
      <c r="N69" s="390" t="s">
        <v>6035</v>
      </c>
      <c r="O69" s="390" t="s">
        <v>6036</v>
      </c>
      <c r="P69" s="390" t="s">
        <v>6037</v>
      </c>
      <c r="Q69" s="390" t="s">
        <v>6038</v>
      </c>
      <c r="R69" s="414" t="s">
        <v>6039</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5822</v>
      </c>
      <c r="J70" s="390" t="s">
        <v>5786</v>
      </c>
      <c r="K70" s="390" t="s">
        <v>6040</v>
      </c>
      <c r="L70" s="390" t="s">
        <v>6041</v>
      </c>
      <c r="M70" s="390" t="s">
        <v>6042</v>
      </c>
      <c r="N70" s="390" t="s">
        <v>6043</v>
      </c>
      <c r="O70" s="390" t="s">
        <v>6044</v>
      </c>
      <c r="P70" s="390" t="s">
        <v>6045</v>
      </c>
      <c r="Q70" s="390" t="s">
        <v>6046</v>
      </c>
      <c r="R70" s="414" t="s">
        <v>6047</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5824</v>
      </c>
      <c r="J71" s="390" t="s">
        <v>5822</v>
      </c>
      <c r="K71" s="390" t="s">
        <v>5786</v>
      </c>
      <c r="L71" s="390" t="s">
        <v>6048</v>
      </c>
      <c r="M71" s="390" t="s">
        <v>6049</v>
      </c>
      <c r="N71" s="390" t="s">
        <v>6050</v>
      </c>
      <c r="O71" s="390" t="s">
        <v>6051</v>
      </c>
      <c r="P71" s="390" t="s">
        <v>6052</v>
      </c>
      <c r="Q71" s="390" t="s">
        <v>6053</v>
      </c>
      <c r="R71" s="414" t="s">
        <v>6054</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5824</v>
      </c>
      <c r="J72" s="390" t="s">
        <v>5822</v>
      </c>
      <c r="K72" s="390" t="s">
        <v>5786</v>
      </c>
      <c r="L72" s="390" t="s">
        <v>6055</v>
      </c>
      <c r="M72" s="390" t="s">
        <v>6056</v>
      </c>
      <c r="N72" s="390" t="s">
        <v>6057</v>
      </c>
      <c r="O72" s="390" t="s">
        <v>6058</v>
      </c>
      <c r="P72" s="390" t="s">
        <v>6059</v>
      </c>
      <c r="Q72" s="390" t="s">
        <v>6060</v>
      </c>
      <c r="R72" s="414" t="s">
        <v>6061</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5824</v>
      </c>
      <c r="J73" s="390" t="s">
        <v>5822</v>
      </c>
      <c r="K73" s="390" t="s">
        <v>5786</v>
      </c>
      <c r="L73" s="390" t="s">
        <v>6062</v>
      </c>
      <c r="M73" s="390" t="s">
        <v>6063</v>
      </c>
      <c r="N73" s="390" t="s">
        <v>6064</v>
      </c>
      <c r="O73" s="390" t="s">
        <v>6065</v>
      </c>
      <c r="P73" s="390" t="s">
        <v>6066</v>
      </c>
      <c r="Q73" s="390" t="s">
        <v>6067</v>
      </c>
      <c r="R73" s="414" t="s">
        <v>6068</v>
      </c>
      <c r="S73" s="813">
        <f>IF(COUNTIF(Psíquicos!$C$25:$E$36,E73)=0,0,1)</f>
        <v>0</v>
      </c>
      <c r="U73" s="2166" t="s">
        <v>201</v>
      </c>
      <c r="V73" s="390" t="str">
        <f>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5824</v>
      </c>
      <c r="J74" s="390" t="s">
        <v>5823</v>
      </c>
      <c r="K74" s="390" t="s">
        <v>5822</v>
      </c>
      <c r="L74" s="390" t="s">
        <v>6069</v>
      </c>
      <c r="M74" s="390" t="s">
        <v>6070</v>
      </c>
      <c r="N74" s="390" t="s">
        <v>6071</v>
      </c>
      <c r="O74" s="390" t="s">
        <v>6072</v>
      </c>
      <c r="P74" s="390" t="s">
        <v>6073</v>
      </c>
      <c r="Q74" s="390" t="s">
        <v>6074</v>
      </c>
      <c r="R74" s="414" t="s">
        <v>6075</v>
      </c>
      <c r="S74" s="813">
        <f>IF(COUNTIF(Psíquicos!$C$25:$E$36,E74)=0,0,1)</f>
        <v>0</v>
      </c>
      <c r="U74" s="2166" t="s">
        <v>202</v>
      </c>
      <c r="V74" s="390" t="str">
        <f>INDEX($I$6:$R$6,SUMPRODUCT(ISNUMBER(SEARCH("Fatiga",I92:R92))*1)+1)</f>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5838</v>
      </c>
      <c r="J75" s="390" t="s">
        <v>5837</v>
      </c>
      <c r="K75" s="390" t="s">
        <v>5824</v>
      </c>
      <c r="L75" s="390" t="s">
        <v>5823</v>
      </c>
      <c r="M75" s="390" t="s">
        <v>5822</v>
      </c>
      <c r="N75" s="390" t="s">
        <v>6076</v>
      </c>
      <c r="O75" s="390" t="s">
        <v>6077</v>
      </c>
      <c r="P75" s="390" t="s">
        <v>6078</v>
      </c>
      <c r="Q75" s="390" t="s">
        <v>6079</v>
      </c>
      <c r="R75" s="414" t="s">
        <v>6080</v>
      </c>
      <c r="S75" s="813">
        <f>IF(COUNTIF(Psíquicos!$C$25:$E$36,E75)=0,0,1)</f>
        <v>0</v>
      </c>
      <c r="U75" s="2166" t="s">
        <v>203</v>
      </c>
      <c r="V75" s="390" t="str">
        <f>INDEX($I$6:$R$6,SUMPRODUCT(ISNUMBER(SEARCH("Fatiga",I93:R93))*1)+1)</f>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5838</v>
      </c>
      <c r="J76" s="390" t="s">
        <v>5837</v>
      </c>
      <c r="K76" s="390" t="s">
        <v>5824</v>
      </c>
      <c r="L76" s="390" t="s">
        <v>5823</v>
      </c>
      <c r="M76" s="390" t="s">
        <v>5822</v>
      </c>
      <c r="N76" s="390" t="s">
        <v>6081</v>
      </c>
      <c r="O76" s="390" t="s">
        <v>6082</v>
      </c>
      <c r="P76" s="390" t="s">
        <v>6083</v>
      </c>
      <c r="Q76" s="390" t="s">
        <v>6084</v>
      </c>
      <c r="R76" s="414" t="s">
        <v>6085</v>
      </c>
      <c r="S76" s="813">
        <f>IF(COUNTIF(Psíquicos!$C$25:$E$36,E76)=0,0,1)</f>
        <v>0</v>
      </c>
      <c r="U76" s="2166" t="s">
        <v>204</v>
      </c>
      <c r="V76" s="390" t="str">
        <f>INDEX($I$6:$R$6,SUMPRODUCT(ISNUMBER(SEARCH("Fatiga",I94:R94))*1)+1)</f>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5838</v>
      </c>
      <c r="J77" s="390" t="s">
        <v>5837</v>
      </c>
      <c r="K77" s="390" t="s">
        <v>5824</v>
      </c>
      <c r="L77" s="390" t="s">
        <v>5823</v>
      </c>
      <c r="M77" s="390" t="s">
        <v>5822</v>
      </c>
      <c r="N77" s="390" t="s">
        <v>6086</v>
      </c>
      <c r="O77" s="390" t="s">
        <v>6087</v>
      </c>
      <c r="P77" s="390" t="s">
        <v>6088</v>
      </c>
      <c r="Q77" s="390" t="s">
        <v>6089</v>
      </c>
      <c r="R77" s="414" t="s">
        <v>6090</v>
      </c>
      <c r="S77" s="813">
        <f>IF(COUNTIF(Psíquicos!$C$25:$E$36,E77)=0,0,1)</f>
        <v>0</v>
      </c>
      <c r="U77" s="2166" t="s">
        <v>206</v>
      </c>
      <c r="V77" s="390" t="str">
        <f>INDEX($I$6:$R$6,SUMPRODUCT(ISNUMBER(SEARCH("Fatiga",I96:R96))*1)+1)</f>
        <v>MDF</v>
      </c>
      <c r="W77" s="390" t="str">
        <f>IFERROR(VLOOKUP(U77,Psíquicos!$AD$11:$AK$64,8,FALSE),V77)</f>
        <v>MDF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207</v>
      </c>
      <c r="V78" s="390" t="str">
        <f>INDEX($I$6:$R$6,SUMPRODUCT(ISNUMBER(SEARCH("Fatiga",I97:R97))*1)+1)</f>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5786</v>
      </c>
      <c r="J79" s="390" t="s">
        <v>5787</v>
      </c>
      <c r="K79" s="390" t="s">
        <v>5971</v>
      </c>
      <c r="L79" s="390" t="s">
        <v>5972</v>
      </c>
      <c r="M79" s="390" t="s">
        <v>5973</v>
      </c>
      <c r="N79" s="390" t="s">
        <v>6091</v>
      </c>
      <c r="O79" s="390" t="s">
        <v>5974</v>
      </c>
      <c r="P79" s="390" t="s">
        <v>4294</v>
      </c>
      <c r="Q79" s="390" t="s">
        <v>4296</v>
      </c>
      <c r="R79" s="414" t="s">
        <v>5975</v>
      </c>
      <c r="S79" s="813">
        <f>IF(COUNTIF(Psíquicos!$C$25:$E$36,E79)=0,0,1)</f>
        <v>0</v>
      </c>
      <c r="U79" s="2166" t="s">
        <v>208</v>
      </c>
      <c r="V79" s="390" t="str">
        <f>INDEX($I$6:$R$6,SUMPRODUCT(ISNUMBER(SEARCH("Fatiga",I98:R98))*1)+1)</f>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5786</v>
      </c>
      <c r="J80" s="390" t="s">
        <v>5787</v>
      </c>
      <c r="K80" s="390" t="s">
        <v>3568</v>
      </c>
      <c r="L80" s="390" t="s">
        <v>6092</v>
      </c>
      <c r="M80" s="390" t="s">
        <v>6093</v>
      </c>
      <c r="N80" s="390" t="s">
        <v>6094</v>
      </c>
      <c r="O80" s="390" t="s">
        <v>6095</v>
      </c>
      <c r="P80" s="390" t="s">
        <v>6096</v>
      </c>
      <c r="Q80" s="390" t="s">
        <v>6097</v>
      </c>
      <c r="R80" s="414" t="s">
        <v>6098</v>
      </c>
      <c r="S80" s="813">
        <f>IF(COUNTIF(Psíquicos!$C$25:$E$36,E80)=0,0,1)</f>
        <v>0</v>
      </c>
      <c r="U80" s="2166" t="s">
        <v>134</v>
      </c>
      <c r="V80" s="390" t="str">
        <f>INDEX($I$6:$R$6,SUMPRODUCT(ISNUMBER(SEARCH("Fatiga",I100:R100))*1)+1)</f>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5823</v>
      </c>
      <c r="J81" s="390" t="s">
        <v>5822</v>
      </c>
      <c r="K81" s="390" t="s">
        <v>5786</v>
      </c>
      <c r="L81" s="390" t="s">
        <v>5858</v>
      </c>
      <c r="M81" s="390" t="s">
        <v>5859</v>
      </c>
      <c r="N81" s="390" t="s">
        <v>5985</v>
      </c>
      <c r="O81" s="390" t="s">
        <v>5861</v>
      </c>
      <c r="P81" s="390" t="s">
        <v>6099</v>
      </c>
      <c r="Q81" s="390" t="s">
        <v>6100</v>
      </c>
      <c r="R81" s="414" t="s">
        <v>6101</v>
      </c>
      <c r="S81" s="813">
        <f>IF(COUNTIF(Psíquicos!$C$25:$E$36,E81)=0,0,1)</f>
        <v>0</v>
      </c>
      <c r="U81" s="2166" t="s">
        <v>210</v>
      </c>
      <c r="V81" s="390"/>
      <c r="W81" s="390"/>
      <c r="X81" s="944"/>
      <c r="Y81" s="944"/>
      <c r="Z81" s="944"/>
      <c r="AA81" s="944"/>
      <c r="AB81" s="944"/>
      <c r="AC81" s="944"/>
      <c r="AD81" s="944"/>
      <c r="AE81" s="944"/>
      <c r="AF81" s="944"/>
      <c r="AG81" s="944"/>
      <c r="AH81" s="2167" t="e">
        <f>IF(COUNTIF(Psíquicos!$AD$17:$AH$62,U81),VALUE(INDEX('Tablas psiquica'!$X81:$AG81,MATCH('Tablas psiquica'!$W81,'Tablas psiquica'!$X$6:$AG$6,0))),0)</f>
        <v>#N/A</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5822</v>
      </c>
      <c r="J82" s="390" t="s">
        <v>5786</v>
      </c>
      <c r="K82" s="390" t="s">
        <v>5787</v>
      </c>
      <c r="L82" s="390" t="s">
        <v>6102</v>
      </c>
      <c r="M82" s="390" t="s">
        <v>6103</v>
      </c>
      <c r="N82" s="390" t="s">
        <v>6104</v>
      </c>
      <c r="O82" s="390" t="s">
        <v>6105</v>
      </c>
      <c r="P82" s="390" t="s">
        <v>6106</v>
      </c>
      <c r="Q82" s="390" t="s">
        <v>6107</v>
      </c>
      <c r="R82" s="414" t="s">
        <v>6108</v>
      </c>
      <c r="S82" s="813">
        <f>IF(COUNTIF(Psíquicos!$C$25:$E$36,E82)=0,0,1)</f>
        <v>0</v>
      </c>
      <c r="U82" s="2166" t="s">
        <v>211</v>
      </c>
      <c r="V82" s="390" t="str">
        <f>INDEX($I$6:$R$6,SUMPRODUCT(ISNUMBER(SEARCH("Fatiga",I102:R102))*1)+1)</f>
        <v>FAC</v>
      </c>
      <c r="W82" s="390" t="str">
        <f>IFERROR(VLOOKUP(U82,Psíquicos!$AD$11:$AK$64,8,FALSE),V82)</f>
        <v>FAC</v>
      </c>
      <c r="X82" s="944"/>
      <c r="Y82" s="944"/>
      <c r="Z82" s="944"/>
      <c r="AA82" s="944"/>
      <c r="AB82" s="944"/>
      <c r="AC82" s="944"/>
      <c r="AD82" s="944"/>
      <c r="AE82" s="944"/>
      <c r="AF82" s="944"/>
      <c r="AG82" s="944"/>
      <c r="AH82" s="2167">
        <f>IF(COUNTIF(Psíquicos!$AD$17:$AH$62,U82),VALUE(INDEX('Tablas psiquica'!$X82:$AG82,MATCH('Tablas psiquica'!$W82,'Tablas psiquica'!$X$6:$AG$6,0))),0)</f>
        <v>0</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5822</v>
      </c>
      <c r="J83" s="390" t="s">
        <v>5786</v>
      </c>
      <c r="K83" s="390" t="s">
        <v>5787</v>
      </c>
      <c r="L83" s="390" t="s">
        <v>4210</v>
      </c>
      <c r="M83" s="390" t="s">
        <v>4211</v>
      </c>
      <c r="N83" s="390" t="s">
        <v>3788</v>
      </c>
      <c r="O83" s="390" t="s">
        <v>3463</v>
      </c>
      <c r="P83" s="390" t="s">
        <v>6109</v>
      </c>
      <c r="Q83" s="390" t="s">
        <v>6110</v>
      </c>
      <c r="R83" s="414" t="s">
        <v>6111</v>
      </c>
      <c r="S83" s="813">
        <f>IF(COUNTIF(Psíquicos!$C$25:$E$36,E83)=0,0,1)</f>
        <v>0</v>
      </c>
      <c r="U83" s="2166" t="s">
        <v>214</v>
      </c>
      <c r="V83" s="390" t="str">
        <f>INDEX($I$6:$R$6,SUMPRODUCT(ISNUMBER(SEARCH("Fatiga",I105:R105))*1)+1)</f>
        <v>ABS</v>
      </c>
      <c r="W83" s="390" t="str">
        <f>IFERROR(VLOOKUP(U83,Psíquicos!$AD$11:$AK$64,8,FALSE),V83)</f>
        <v>ABS</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5823</v>
      </c>
      <c r="J84" s="390" t="s">
        <v>5822</v>
      </c>
      <c r="K84" s="390" t="s">
        <v>5786</v>
      </c>
      <c r="L84" s="390" t="s">
        <v>6112</v>
      </c>
      <c r="M84" s="390" t="s">
        <v>6113</v>
      </c>
      <c r="N84" s="390" t="s">
        <v>6114</v>
      </c>
      <c r="O84" s="390" t="s">
        <v>6115</v>
      </c>
      <c r="P84" s="390" t="s">
        <v>6116</v>
      </c>
      <c r="Q84" s="390" t="s">
        <v>6117</v>
      </c>
      <c r="R84" s="414" t="s">
        <v>6118</v>
      </c>
      <c r="S84" s="813">
        <f>IF(COUNTIF(Psíquicos!$C$25:$E$36,E84)=0,0,1)</f>
        <v>0</v>
      </c>
      <c r="U84" s="2166" t="s">
        <v>215</v>
      </c>
      <c r="V84" s="390" t="str">
        <f>INDEX($I$6:$R$6,SUMPRODUCT(ISNUMBER(SEARCH("Fatiga",I106:R106))*1)+1)</f>
        <v>RUT</v>
      </c>
      <c r="W84" s="390" t="str">
        <f>IFERROR(VLOOKUP(U84,Psíquicos!$AD$11:$AK$64,8,FALSE),V84)</f>
        <v>RUT</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5837</v>
      </c>
      <c r="J85" s="390" t="s">
        <v>5824</v>
      </c>
      <c r="K85" s="390" t="s">
        <v>5823</v>
      </c>
      <c r="L85" s="390" t="s">
        <v>5822</v>
      </c>
      <c r="M85" s="390" t="s">
        <v>5786</v>
      </c>
      <c r="N85" s="390" t="s">
        <v>3570</v>
      </c>
      <c r="O85" s="390" t="s">
        <v>4289</v>
      </c>
      <c r="P85" s="390" t="s">
        <v>3571</v>
      </c>
      <c r="Q85" s="390" t="s">
        <v>5947</v>
      </c>
      <c r="R85" s="414" t="s">
        <v>5948</v>
      </c>
      <c r="S85" s="813">
        <f>IF(COUNTIF(Psíquicos!$C$25:$E$36,E85)=0,0,1)</f>
        <v>0</v>
      </c>
      <c r="U85" s="2166" t="s">
        <v>216</v>
      </c>
      <c r="V85" s="390" t="str">
        <f>INDEX($I$6:$R$6,SUMPRODUCT(ISNUMBER(SEARCH("Fatiga",I107:R107))*1)+1)</f>
        <v>ABS</v>
      </c>
      <c r="W85" s="390" t="str">
        <f>IFERROR(VLOOKUP(U85,Psíquicos!$AD$11:$AK$64,8,FALSE),V85)</f>
        <v>ABS</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5823</v>
      </c>
      <c r="J86" s="390" t="s">
        <v>5822</v>
      </c>
      <c r="K86" s="390" t="s">
        <v>5786</v>
      </c>
      <c r="L86" s="390" t="s">
        <v>6119</v>
      </c>
      <c r="M86" s="390" t="s">
        <v>6120</v>
      </c>
      <c r="N86" s="390" t="s">
        <v>6121</v>
      </c>
      <c r="O86" s="390" t="s">
        <v>6122</v>
      </c>
      <c r="P86" s="390" t="s">
        <v>6123</v>
      </c>
      <c r="Q86" s="390" t="s">
        <v>6124</v>
      </c>
      <c r="R86" s="414" t="s">
        <v>6125</v>
      </c>
      <c r="S86" s="813">
        <f>IF(COUNTIF(Psíquicos!$C$25:$E$36,E86)=0,0,1)</f>
        <v>0</v>
      </c>
      <c r="U86" s="2166" t="s">
        <v>217</v>
      </c>
      <c r="V86" s="390" t="str">
        <f>INDEX($I$6:$R$6,SUMPRODUCT(ISNUMBER(SEARCH("Fatiga",I108:R108))*1)+1)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5824</v>
      </c>
      <c r="J87" s="390" t="s">
        <v>5823</v>
      </c>
      <c r="K87" s="390" t="s">
        <v>5822</v>
      </c>
      <c r="L87" s="390" t="s">
        <v>5786</v>
      </c>
      <c r="M87" s="390" t="s">
        <v>6120</v>
      </c>
      <c r="N87" s="390" t="s">
        <v>6121</v>
      </c>
      <c r="O87" s="390" t="s">
        <v>6122</v>
      </c>
      <c r="P87" s="390" t="s">
        <v>6123</v>
      </c>
      <c r="Q87" s="390" t="s">
        <v>6124</v>
      </c>
      <c r="R87" s="414" t="s">
        <v>6125</v>
      </c>
      <c r="S87" s="813">
        <f>IF(COUNTIF(Psíquicos!$C$25:$E$36,E87)=0,0,1)</f>
        <v>0</v>
      </c>
      <c r="U87" s="2166" t="s">
        <v>219</v>
      </c>
      <c r="V87" s="390" t="str">
        <f>INDEX($I$6:$R$6,SUMPRODUCT(ISNUMBER(SEARCH("Fatiga",I110:R110))*1)+1)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5838</v>
      </c>
      <c r="J88" s="390" t="s">
        <v>5837</v>
      </c>
      <c r="K88" s="390" t="s">
        <v>5824</v>
      </c>
      <c r="L88" s="390" t="s">
        <v>5823</v>
      </c>
      <c r="M88" s="390" t="s">
        <v>5822</v>
      </c>
      <c r="N88" s="390" t="s">
        <v>6126</v>
      </c>
      <c r="O88" s="390" t="s">
        <v>6127</v>
      </c>
      <c r="P88" s="390" t="s">
        <v>6128</v>
      </c>
      <c r="Q88" s="390" t="s">
        <v>6129</v>
      </c>
      <c r="R88" s="414" t="s">
        <v>6130</v>
      </c>
      <c r="S88" s="813">
        <f>IF(COUNTIF(Psíquicos!$C$25:$E$36,E88)=0,0,1)</f>
        <v>0</v>
      </c>
      <c r="U88" s="2166" t="s">
        <v>221</v>
      </c>
      <c r="V88" s="944"/>
      <c r="W88" s="390"/>
      <c r="X88" s="944"/>
      <c r="Y88" s="944"/>
      <c r="Z88" s="944"/>
      <c r="AA88" s="944"/>
      <c r="AB88" s="944"/>
      <c r="AC88" s="944"/>
      <c r="AD88" s="944"/>
      <c r="AE88" s="944"/>
      <c r="AF88" s="944"/>
      <c r="AG88" s="944"/>
      <c r="AH88" s="2167" t="e">
        <f>IF(COUNTIF(Psíquicos!$AD$17:$AH$62,U88),VALUE(INDEX('Tablas psiquica'!$X88:$AG88,MATCH('Tablas psiquica'!$W88,'Tablas psiquica'!$X$6:$AG$6,0))),0)</f>
        <v>#N/A</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5912</v>
      </c>
      <c r="J89" s="390" t="s">
        <v>5838</v>
      </c>
      <c r="K89" s="390" t="s">
        <v>5837</v>
      </c>
      <c r="L89" s="390" t="s">
        <v>5824</v>
      </c>
      <c r="M89" s="390" t="s">
        <v>5823</v>
      </c>
      <c r="N89" s="390" t="s">
        <v>5822</v>
      </c>
      <c r="O89" s="390" t="s">
        <v>4290</v>
      </c>
      <c r="P89" s="390" t="s">
        <v>4291</v>
      </c>
      <c r="Q89" s="390" t="s">
        <v>4292</v>
      </c>
      <c r="R89" s="414" t="s">
        <v>6131</v>
      </c>
      <c r="S89" s="813">
        <f>IF(COUNTIF(Psíquicos!$C$25:$E$36,E89)=0,0,1)</f>
        <v>0</v>
      </c>
      <c r="U89" s="2166" t="s">
        <v>223</v>
      </c>
      <c r="V89" s="390" t="str">
        <f>INDEX($I$6:$R$6,SUMPRODUCT(ISNUMBER(SEARCH("Fatiga",I114:R114))*1)+1)</f>
        <v>MED</v>
      </c>
      <c r="W89" s="390" t="str">
        <f>IFERROR(VLOOKUP(U89,Psíquicos!$AD$11:$AK$64,8,FALSE),V89)</f>
        <v>MED</v>
      </c>
      <c r="X89" s="944"/>
      <c r="Y89" s="944"/>
      <c r="Z89" s="944"/>
      <c r="AA89" s="944"/>
      <c r="AB89" s="944"/>
      <c r="AC89" s="944"/>
      <c r="AD89" s="944"/>
      <c r="AE89" s="944"/>
      <c r="AF89" s="944"/>
      <c r="AG89" s="944"/>
      <c r="AH89" s="2167">
        <f>IF(COUNTIF(Psíquicos!$AD$17:$AH$62,U89),VALUE(INDEX('Tablas psiquica'!$X89:$AG89,MATCH('Tablas psiquica'!$W89,'Tablas psiquica'!$X$6:$AG$6,0))),0)</f>
        <v>0</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224</v>
      </c>
      <c r="V90" s="390" t="str">
        <f>INDEX($I$6:$R$6,SUMPRODUCT(ISNUMBER(SEARCH("Fatiga",I115:R115))*1)+1)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5786</v>
      </c>
      <c r="J91" s="390" t="s">
        <v>5787</v>
      </c>
      <c r="K91" s="390" t="s">
        <v>5804</v>
      </c>
      <c r="L91" s="390" t="s">
        <v>5805</v>
      </c>
      <c r="M91" s="390" t="s">
        <v>5806</v>
      </c>
      <c r="N91" s="390" t="s">
        <v>5807</v>
      </c>
      <c r="O91" s="390" t="s">
        <v>5808</v>
      </c>
      <c r="P91" s="390" t="s">
        <v>5809</v>
      </c>
      <c r="Q91" s="390" t="s">
        <v>5810</v>
      </c>
      <c r="R91" s="414" t="s">
        <v>5811</v>
      </c>
      <c r="S91" s="813">
        <f>IF(COUNTIF(Psíquicos!$C$25:$E$36,E91)=0,0,1)</f>
        <v>0</v>
      </c>
      <c r="U91" s="2166" t="s">
        <v>225</v>
      </c>
      <c r="V91" s="390" t="str">
        <f>INDEX($I$6:$R$6,SUMPRODUCT(ISNUMBER(SEARCH("Fatiga",I116:R116))*1)+1)</f>
        <v>DIF</v>
      </c>
      <c r="W91" s="390" t="str">
        <f>IFERROR(VLOOKUP(U91,Psíquicos!$AD$11:$AK$64,8,FALSE),V91)</f>
        <v>DIF</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5786</v>
      </c>
      <c r="J92" s="390" t="s">
        <v>5787</v>
      </c>
      <c r="K92" s="390" t="s">
        <v>5804</v>
      </c>
      <c r="L92" s="390" t="s">
        <v>5805</v>
      </c>
      <c r="M92" s="390" t="s">
        <v>5806</v>
      </c>
      <c r="N92" s="390" t="s">
        <v>5807</v>
      </c>
      <c r="O92" s="390" t="s">
        <v>5808</v>
      </c>
      <c r="P92" s="390" t="s">
        <v>5809</v>
      </c>
      <c r="Q92" s="390" t="s">
        <v>5810</v>
      </c>
      <c r="R92" s="414" t="s">
        <v>5811</v>
      </c>
      <c r="S92" s="813">
        <f>IF(COUNTIF(Psíquicos!$C$25:$E$36,E92)=0,0,1)</f>
        <v>0</v>
      </c>
      <c r="U92" s="2166" t="s">
        <v>226</v>
      </c>
      <c r="V92" s="390" t="str">
        <f>INDEX($I$6:$R$6,SUMPRODUCT(ISNUMBER(SEARCH("Fatiga",I117:R117))*1)+1)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5786</v>
      </c>
      <c r="J93" s="390" t="s">
        <v>5787</v>
      </c>
      <c r="K93" s="390" t="s">
        <v>6132</v>
      </c>
      <c r="L93" s="390" t="s">
        <v>6133</v>
      </c>
      <c r="M93" s="390" t="s">
        <v>6134</v>
      </c>
      <c r="N93" s="390" t="s">
        <v>6135</v>
      </c>
      <c r="O93" s="390" t="s">
        <v>6136</v>
      </c>
      <c r="P93" s="390" t="s">
        <v>6137</v>
      </c>
      <c r="Q93" s="390" t="s">
        <v>6138</v>
      </c>
      <c r="R93" s="414" t="s">
        <v>6139</v>
      </c>
      <c r="S93" s="813">
        <f>IF(COUNTIF(Psíquicos!$C$25:$E$36,E93)=0,0,1)</f>
        <v>0</v>
      </c>
      <c r="U93" s="2166" t="s">
        <v>227</v>
      </c>
      <c r="V93" s="390" t="str">
        <f>INDEX($I$6:$R$6,SUMPRODUCT(ISNUMBER(SEARCH("Fatiga",I118:R118))*1)+1)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5786</v>
      </c>
      <c r="J94" s="390" t="s">
        <v>5787</v>
      </c>
      <c r="K94" s="390" t="s">
        <v>6140</v>
      </c>
      <c r="L94" s="390" t="s">
        <v>6141</v>
      </c>
      <c r="M94" s="390" t="s">
        <v>6142</v>
      </c>
      <c r="N94" s="390" t="s">
        <v>6143</v>
      </c>
      <c r="O94" s="390" t="s">
        <v>6144</v>
      </c>
      <c r="P94" s="390" t="s">
        <v>6145</v>
      </c>
      <c r="Q94" s="390" t="s">
        <v>6146</v>
      </c>
      <c r="R94" s="414" t="s">
        <v>6147</v>
      </c>
      <c r="S94" s="813">
        <f>IF(COUNTIF(Psíquicos!$C$25:$E$36,E94)=0,0,1)</f>
        <v>0</v>
      </c>
      <c r="U94" s="2166" t="s">
        <v>231</v>
      </c>
      <c r="V94" s="944"/>
      <c r="W94" s="390"/>
      <c r="X94" s="944"/>
      <c r="Y94" s="944"/>
      <c r="Z94" s="944"/>
      <c r="AA94" s="944"/>
      <c r="AB94" s="944"/>
      <c r="AC94" s="944"/>
      <c r="AD94" s="944"/>
      <c r="AE94" s="944"/>
      <c r="AF94" s="944"/>
      <c r="AG94" s="944"/>
      <c r="AH94" s="2167" t="e">
        <f>IF(COUNTIF(Psíquicos!$AD$17:$AH$62,U94),VALUE(INDEX('Tablas psiquica'!$X94:$AG94,MATCH('Tablas psiquica'!$W94,'Tablas psiquica'!$X$6:$AG$6,0))),0)</f>
        <v>#N/A</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1384</v>
      </c>
      <c r="H95" s="392" t="s">
        <v>1307</v>
      </c>
      <c r="I95" s="390" t="s">
        <v>5824</v>
      </c>
      <c r="J95" s="390" t="s">
        <v>5822</v>
      </c>
      <c r="K95" s="390" t="s">
        <v>5786</v>
      </c>
      <c r="L95" s="390" t="s">
        <v>5821</v>
      </c>
      <c r="M95" s="390" t="s">
        <v>5804</v>
      </c>
      <c r="N95" s="390" t="s">
        <v>5805</v>
      </c>
      <c r="O95" s="390" t="s">
        <v>5806</v>
      </c>
      <c r="P95" s="390" t="s">
        <v>5807</v>
      </c>
      <c r="Q95" s="390" t="s">
        <v>5808</v>
      </c>
      <c r="R95" s="414" t="s">
        <v>5809</v>
      </c>
      <c r="S95" s="813">
        <f>IF(COUNTIF(Psíquicos!$C$25:$E$36,E95)=0,0,1)</f>
        <v>0</v>
      </c>
      <c r="U95" s="2166" t="s">
        <v>234</v>
      </c>
      <c r="V95" s="390" t="str">
        <f>INDEX($I$6:$R$6,SUMPRODUCT(ISNUMBER(SEARCH("Fatiga",I125:R125))*1)+1)</f>
        <v>DIF</v>
      </c>
      <c r="W95" s="390" t="str">
        <f>IFERROR(VLOOKUP(U95,Psíquicos!$AD$11:$AK$64,8,FALSE),V95)</f>
        <v>DIF</v>
      </c>
      <c r="X95" s="944"/>
      <c r="Y95" s="944"/>
      <c r="Z95" s="944"/>
      <c r="AA95" s="944"/>
      <c r="AB95" s="944"/>
      <c r="AC95" s="944"/>
      <c r="AD95" s="944"/>
      <c r="AE95" s="944"/>
      <c r="AF95" s="944"/>
      <c r="AG95" s="944"/>
      <c r="AH95" s="2167">
        <f>IF(COUNTIF(Psíquicos!$AD$17:$AH$62,U95),VALUE(INDEX('Tablas psiquica'!$X95:$AG95,MATCH('Tablas psiquica'!$W95,'Tablas psiquica'!$X$6:$AG$6,0))),0)</f>
        <v>0</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5824</v>
      </c>
      <c r="J96" s="390" t="s">
        <v>5823</v>
      </c>
      <c r="K96" s="390" t="s">
        <v>5822</v>
      </c>
      <c r="L96" s="390" t="s">
        <v>5786</v>
      </c>
      <c r="M96" s="390" t="s">
        <v>6148</v>
      </c>
      <c r="N96" s="390" t="s">
        <v>6149</v>
      </c>
      <c r="O96" s="390" t="s">
        <v>6150</v>
      </c>
      <c r="P96" s="390" t="s">
        <v>6151</v>
      </c>
      <c r="Q96" s="390" t="s">
        <v>6152</v>
      </c>
      <c r="R96" s="414" t="s">
        <v>6153</v>
      </c>
      <c r="S96" s="813">
        <f>IF(COUNTIF(Psíquicos!$C$25:$E$36,E96)=0,0,1)</f>
        <v>0</v>
      </c>
      <c r="U96" s="2166" t="s">
        <v>236</v>
      </c>
      <c r="V96" s="390" t="str">
        <f>INDEX($I$6:$R$6,SUMPRODUCT(ISNUMBER(SEARCH("Fatiga",I127:R127))*1)+1)</f>
        <v>ABS</v>
      </c>
      <c r="W96" s="390" t="str">
        <f>IFERROR(VLOOKUP(U96,Psíquicos!$AD$11:$AK$64,8,FALSE),V96)</f>
        <v>ABS</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5824</v>
      </c>
      <c r="J97" s="390" t="s">
        <v>5823</v>
      </c>
      <c r="K97" s="390" t="s">
        <v>5822</v>
      </c>
      <c r="L97" s="390" t="s">
        <v>5786</v>
      </c>
      <c r="M97" s="390" t="s">
        <v>5804</v>
      </c>
      <c r="N97" s="390" t="s">
        <v>5805</v>
      </c>
      <c r="O97" s="390" t="s">
        <v>5806</v>
      </c>
      <c r="P97" s="390" t="s">
        <v>5807</v>
      </c>
      <c r="Q97" s="390" t="s">
        <v>5808</v>
      </c>
      <c r="R97" s="414" t="s">
        <v>5810</v>
      </c>
      <c r="S97" s="813">
        <f>IF(COUNTIF(Psíquicos!$C$25:$E$36,E97)=0,0,1)</f>
        <v>0</v>
      </c>
      <c r="U97" s="2166" t="s">
        <v>238</v>
      </c>
      <c r="V97" s="944"/>
      <c r="W97" s="390"/>
      <c r="X97" s="944"/>
      <c r="Y97" s="944"/>
      <c r="Z97" s="944"/>
      <c r="AA97" s="944"/>
      <c r="AB97" s="944"/>
      <c r="AC97" s="944"/>
      <c r="AD97" s="944"/>
      <c r="AE97" s="944"/>
      <c r="AF97" s="944"/>
      <c r="AG97" s="944"/>
      <c r="AH97" s="2167" t="e">
        <f>IF(COUNTIF(Psíquicos!$AD$17:$AH$62,U97),VALUE(INDEX('Tablas psiquica'!$X97:$AG97,MATCH('Tablas psiquica'!$W97,'Tablas psiquica'!$X$6:$AG$6,0))),0)</f>
        <v>#N/A</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5824</v>
      </c>
      <c r="J98" s="390" t="s">
        <v>5823</v>
      </c>
      <c r="K98" s="390" t="s">
        <v>5822</v>
      </c>
      <c r="L98" s="390" t="s">
        <v>5786</v>
      </c>
      <c r="M98" s="390" t="s">
        <v>6154</v>
      </c>
      <c r="N98" s="390" t="s">
        <v>5799</v>
      </c>
      <c r="O98" s="390" t="s">
        <v>6155</v>
      </c>
      <c r="P98" s="390" t="s">
        <v>5800</v>
      </c>
      <c r="Q98" s="390" t="s">
        <v>5801</v>
      </c>
      <c r="R98" s="414" t="s">
        <v>5803</v>
      </c>
      <c r="S98" s="813">
        <f>IF(COUNTIF(Psíquicos!$C$25:$E$36,E98)=0,0,1)</f>
        <v>0</v>
      </c>
      <c r="U98" s="2166" t="s">
        <v>239</v>
      </c>
      <c r="V98" s="390" t="str">
        <f>INDEX($I$6:$R$6,SUMPRODUCT(ISNUMBER(SEARCH("Fatiga",I131:R131))*1)+1)</f>
        <v>DIF</v>
      </c>
      <c r="W98" s="390" t="str">
        <f>IFERROR(VLOOKUP(U98,Psíquicos!$AD$11:$AK$64,8,FALSE),V98)</f>
        <v>DIF</v>
      </c>
      <c r="X98" s="944"/>
      <c r="Y98" s="944"/>
      <c r="Z98" s="944"/>
      <c r="AA98" s="944"/>
      <c r="AB98" s="944"/>
      <c r="AC98" s="944"/>
      <c r="AD98" s="944"/>
      <c r="AE98" s="944"/>
      <c r="AF98" s="944"/>
      <c r="AG98" s="944"/>
      <c r="AH98" s="2167">
        <f>IF(COUNTIF(Psíquicos!$AD$17:$AH$62,U98),VALUE(INDEX('Tablas psiquica'!$X98:$AG98,MATCH('Tablas psiquica'!$W98,'Tablas psiquica'!$X$6:$AG$6,0))),0)</f>
        <v>0</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5838</v>
      </c>
      <c r="J99" s="390" t="s">
        <v>5837</v>
      </c>
      <c r="K99" s="390" t="s">
        <v>5824</v>
      </c>
      <c r="L99" s="390" t="s">
        <v>5823</v>
      </c>
      <c r="M99" s="390" t="s">
        <v>5822</v>
      </c>
      <c r="N99" s="390" t="s">
        <v>5805</v>
      </c>
      <c r="O99" s="390" t="s">
        <v>5806</v>
      </c>
      <c r="P99" s="390" t="s">
        <v>5807</v>
      </c>
      <c r="Q99" s="390" t="s">
        <v>5808</v>
      </c>
      <c r="R99" s="414" t="s">
        <v>5809</v>
      </c>
      <c r="S99" s="813">
        <f>IF(COUNTIF(Psíquicos!$C$25:$E$36,E99)=0,0,1)</f>
        <v>0</v>
      </c>
      <c r="U99" s="2166" t="s">
        <v>240</v>
      </c>
      <c r="V99" s="390" t="str">
        <f>INDEX($I$6:$R$6,SUMPRODUCT(ISNUMBER(SEARCH("Fatiga",I132:R132))*1)+1)</f>
        <v>MED</v>
      </c>
      <c r="W99" s="390" t="str">
        <f>IFERROR(VLOOKUP(U99,Psíquicos!$AD$11:$AK$64,8,FALSE),V99)</f>
        <v>MED</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10282</v>
      </c>
      <c r="E100" s="390" t="s">
        <v>111</v>
      </c>
      <c r="F100" s="391">
        <v>3</v>
      </c>
      <c r="G100" s="391" t="s">
        <v>2612</v>
      </c>
      <c r="H100" s="392" t="s">
        <v>1307</v>
      </c>
      <c r="I100" s="390" t="s">
        <v>5838</v>
      </c>
      <c r="J100" s="390" t="s">
        <v>5837</v>
      </c>
      <c r="K100" s="390" t="s">
        <v>5824</v>
      </c>
      <c r="L100" s="390" t="s">
        <v>5822</v>
      </c>
      <c r="M100" s="390" t="s">
        <v>5839</v>
      </c>
      <c r="N100" s="390" t="s">
        <v>5796</v>
      </c>
      <c r="O100" s="390" t="s">
        <v>5798</v>
      </c>
      <c r="P100" s="390" t="s">
        <v>5799</v>
      </c>
      <c r="Q100" s="390" t="s">
        <v>5800</v>
      </c>
      <c r="R100" s="414" t="s">
        <v>5840</v>
      </c>
      <c r="S100" s="813">
        <f>IF(COUNTIF(Psíquicos!$C$25:$E$36,E100)=0,0,1)</f>
        <v>0</v>
      </c>
      <c r="U100" s="2166" t="s">
        <v>242</v>
      </c>
      <c r="V100" s="390" t="str">
        <f>INDEX($I$6:$R$6,SUMPRODUCT(ISNUMBER(SEARCH("Fatiga",I134:R134))*1)+1)</f>
        <v>MDF</v>
      </c>
      <c r="W100" s="390" t="str">
        <f>IFERROR(VLOOKUP(U100,Psíquicos!$AD$11:$AK$64,8,FALSE),V100)</f>
        <v>MDF</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243</v>
      </c>
      <c r="V101" s="390" t="str">
        <f>INDEX($I$6:$R$6,SUMPRODUCT(ISNUMBER(SEARCH("Fatiga",I135:R135))*1)+1)</f>
        <v>ABS</v>
      </c>
      <c r="W101" s="390" t="str">
        <f>IFERROR(VLOOKUP(U101,Psíquicos!$AD$11:$AK$64,8,FALSE),V101)</f>
        <v>ABS</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5787</v>
      </c>
      <c r="J102" s="390" t="s">
        <v>6156</v>
      </c>
      <c r="K102" s="390" t="s">
        <v>6157</v>
      </c>
      <c r="L102" s="390" t="s">
        <v>3416</v>
      </c>
      <c r="M102" s="390" t="s">
        <v>6158</v>
      </c>
      <c r="N102" s="390" t="s">
        <v>3417</v>
      </c>
      <c r="O102" s="390" t="s">
        <v>3418</v>
      </c>
      <c r="P102" s="390" t="s">
        <v>3406</v>
      </c>
      <c r="Q102" s="390" t="s">
        <v>5210</v>
      </c>
      <c r="R102" s="414" t="s">
        <v>5211</v>
      </c>
      <c r="S102" s="813">
        <f>IF(COUNTIF(Psíquicos!$C$25:$E$36,E102)=0,0,1)</f>
        <v>0</v>
      </c>
      <c r="U102" s="2166" t="s">
        <v>245</v>
      </c>
      <c r="V102" s="944"/>
      <c r="W102" s="390"/>
      <c r="X102" s="944"/>
      <c r="Y102" s="944"/>
      <c r="Z102" s="944"/>
      <c r="AA102" s="944"/>
      <c r="AB102" s="944"/>
      <c r="AC102" s="944"/>
      <c r="AD102" s="944"/>
      <c r="AE102" s="944"/>
      <c r="AF102" s="944"/>
      <c r="AG102" s="944"/>
      <c r="AH102" s="2167" t="e">
        <f>IF(COUNTIF(Psíquicos!$AD$17:$AH$62,U102),VALUE(INDEX('Tablas psiquica'!$X102:$AG102,MATCH('Tablas psiquica'!$W102,'Tablas psiquica'!$X$6:$AG$6,0))),0)</f>
        <v>#N/A</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5824</v>
      </c>
      <c r="J103" s="390" t="s">
        <v>5823</v>
      </c>
      <c r="K103" s="390" t="s">
        <v>5822</v>
      </c>
      <c r="L103" s="390" t="s">
        <v>5786</v>
      </c>
      <c r="M103" s="390" t="s">
        <v>6156</v>
      </c>
      <c r="N103" s="390" t="s">
        <v>6157</v>
      </c>
      <c r="O103" s="390" t="s">
        <v>3416</v>
      </c>
      <c r="P103" s="390" t="s">
        <v>3417</v>
      </c>
      <c r="Q103" s="390" t="s">
        <v>3418</v>
      </c>
      <c r="R103" s="414" t="s">
        <v>3406</v>
      </c>
      <c r="S103" s="813">
        <f>IF(COUNTIF(Psíquicos!$C$25:$E$36,E103)=0,0,1)</f>
        <v>0</v>
      </c>
      <c r="U103" s="2166" t="s">
        <v>246</v>
      </c>
      <c r="V103" s="390" t="str">
        <f>INDEX($I$6:$R$6,SUMPRODUCT(ISNUMBER(SEARCH("Fatiga",I138:R138))*1)+1)</f>
        <v>FAC</v>
      </c>
      <c r="W103" s="390" t="str">
        <f>IFERROR(VLOOKUP(U103,Psíquicos!$AD$11:$AK$64,8,FALSE),V103)</f>
        <v>FAC</v>
      </c>
      <c r="X103" s="944"/>
      <c r="Y103" s="944"/>
      <c r="Z103" s="944"/>
      <c r="AA103" s="944"/>
      <c r="AB103" s="944"/>
      <c r="AC103" s="944"/>
      <c r="AD103" s="944"/>
      <c r="AE103" s="944"/>
      <c r="AF103" s="944"/>
      <c r="AG103" s="944"/>
      <c r="AH103" s="2167">
        <f>IF(COUNTIF(Psíquicos!$AD$17:$AH$62,U103),VALUE(INDEX('Tablas psiquica'!$X103:$AG103,MATCH('Tablas psiquica'!$W103,'Tablas psiquica'!$X$6:$AG$6,0))),0)</f>
        <v>0</v>
      </c>
      <c r="AJ103" s="2509" t="str">
        <f>IFERROR(IF(VLOOKUP(AK103,$D$7:$G$145,4,FALSE)&lt;&gt;"No",MAX(AJ$5:AJ102)+1,0),"")</f>
        <v/>
      </c>
      <c r="AK103" s="2510" t="str">
        <f t="shared" ref="AK103:AK134" si="14">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5823</v>
      </c>
      <c r="J104" s="390" t="s">
        <v>5822</v>
      </c>
      <c r="K104" s="390" t="s">
        <v>5786</v>
      </c>
      <c r="L104" s="390" t="s">
        <v>6159</v>
      </c>
      <c r="M104" s="390" t="s">
        <v>6160</v>
      </c>
      <c r="N104" s="390" t="s">
        <v>6161</v>
      </c>
      <c r="O104" s="390" t="s">
        <v>6162</v>
      </c>
      <c r="P104" s="390" t="s">
        <v>6163</v>
      </c>
      <c r="Q104" s="390" t="s">
        <v>6164</v>
      </c>
      <c r="R104" s="414" t="s">
        <v>6165</v>
      </c>
      <c r="S104" s="813">
        <f>IF(COUNTIF(Psíquicos!$C$25:$E$36,E104)=0,0,1)</f>
        <v>0</v>
      </c>
      <c r="U104" s="2166" t="s">
        <v>247</v>
      </c>
      <c r="V104" s="390" t="str">
        <f>INDEX($I$6:$R$6,SUMPRODUCT(ISNUMBER(SEARCH("Fatiga",I139:R139))*1)+1)</f>
        <v>MED</v>
      </c>
      <c r="W104" s="390" t="str">
        <f>IFERROR(VLOOKUP(U104,Psíquicos!$AD$11:$AK$64,8,FALSE),V104)</f>
        <v>MED</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4"/>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5838</v>
      </c>
      <c r="J105" s="390" t="s">
        <v>5837</v>
      </c>
      <c r="K105" s="390" t="s">
        <v>5824</v>
      </c>
      <c r="L105" s="390" t="s">
        <v>5823</v>
      </c>
      <c r="M105" s="390" t="s">
        <v>5822</v>
      </c>
      <c r="N105" s="390" t="s">
        <v>3406</v>
      </c>
      <c r="O105" s="390" t="s">
        <v>6166</v>
      </c>
      <c r="P105" s="390" t="s">
        <v>5211</v>
      </c>
      <c r="Q105" s="390" t="s">
        <v>6167</v>
      </c>
      <c r="R105" s="414" t="s">
        <v>6168</v>
      </c>
      <c r="S105" s="813">
        <f>IF(COUNTIF(Psíquicos!$C$25:$E$36,E105)=0,0,1)</f>
        <v>0</v>
      </c>
      <c r="U105" s="2166" t="s">
        <v>248</v>
      </c>
      <c r="V105" s="390" t="str">
        <f>INDEX($I$6:$R$6,SUMPRODUCT(ISNUMBER(SEARCH("Fatiga",I140:R140))*1)+1)</f>
        <v>ABS</v>
      </c>
      <c r="W105" s="390" t="str">
        <f>IFERROR(VLOOKUP(U105,Psíquicos!$AD$11:$AK$64,8,FALSE),V105)</f>
        <v>ABS</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4"/>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249</v>
      </c>
      <c r="V106" s="390"/>
      <c r="W106" s="390"/>
      <c r="X106" s="944"/>
      <c r="Y106" s="944"/>
      <c r="Z106" s="944"/>
      <c r="AA106" s="944"/>
      <c r="AB106" s="944"/>
      <c r="AC106" s="944"/>
      <c r="AD106" s="944"/>
      <c r="AE106" s="944"/>
      <c r="AF106" s="944"/>
      <c r="AG106" s="944"/>
      <c r="AH106" s="2167" t="e">
        <f>IF(COUNTIF(Psíquicos!$AD$17:$AH$62,U106),VALUE(INDEX('Tablas psiquica'!$X106:$AG106,MATCH('Tablas psiquica'!$W106,'Tablas psiquica'!$X$6:$AG$6,0))),0)</f>
        <v>#N/A</v>
      </c>
      <c r="AJ106" s="2509" t="str">
        <f>IFERROR(IF(VLOOKUP(AK106,$D$7:$G$145,4,FALSE)&lt;&gt;"No",MAX(AJ$5:AJ105)+1,0),"")</f>
        <v/>
      </c>
      <c r="AK106" s="2510" t="str">
        <f t="shared" si="14"/>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5837</v>
      </c>
      <c r="J107" s="390" t="s">
        <v>5824</v>
      </c>
      <c r="K107" s="390" t="s">
        <v>5823</v>
      </c>
      <c r="L107" s="390" t="s">
        <v>5822</v>
      </c>
      <c r="M107" s="390" t="s">
        <v>5786</v>
      </c>
      <c r="N107" s="390" t="s">
        <v>6169</v>
      </c>
      <c r="O107" s="390" t="s">
        <v>5797</v>
      </c>
      <c r="P107" s="390" t="s">
        <v>6154</v>
      </c>
      <c r="Q107" s="390" t="s">
        <v>6170</v>
      </c>
      <c r="R107" s="414" t="s">
        <v>6171</v>
      </c>
      <c r="S107" s="813">
        <f>IF(COUNTIF(Psíquicos!$C$25:$E$36,E107)=0,0,1)</f>
        <v>0</v>
      </c>
      <c r="U107" s="2166" t="s">
        <v>250</v>
      </c>
      <c r="V107" s="390" t="str">
        <f>INDEX($I$6:$R$6,SUMPRODUCT(ISNUMBER(SEARCH("Fatiga",I142:R142))*1)+1)</f>
        <v>DIF</v>
      </c>
      <c r="W107" s="390" t="str">
        <f>IFERROR(VLOOKUP(U107,Psíquicos!$AD$11:$AK$64,8,FALSE),V107)</f>
        <v>DIF</v>
      </c>
      <c r="X107" s="944"/>
      <c r="Y107" s="944"/>
      <c r="Z107" s="944"/>
      <c r="AA107" s="944"/>
      <c r="AB107" s="944"/>
      <c r="AC107" s="944"/>
      <c r="AD107" s="944"/>
      <c r="AE107" s="944"/>
      <c r="AF107" s="944"/>
      <c r="AG107" s="944"/>
      <c r="AH107" s="2167">
        <f>IF(COUNTIF(Psíquicos!$AD$17:$AH$62,U107),VALUE(INDEX('Tablas psiquica'!$X107:$AG107,MATCH('Tablas psiquica'!$W107,'Tablas psiquica'!$X$6:$AG$6,0))),0)</f>
        <v>0</v>
      </c>
      <c r="AJ107" s="2509" t="str">
        <f>IFERROR(IF(VLOOKUP(AK107,$D$7:$G$145,4,FALSE)&lt;&gt;"No",MAX(AJ$5:AJ106)+1,0),"")</f>
        <v/>
      </c>
      <c r="AK107" s="2510" t="str">
        <f t="shared" si="14"/>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5837</v>
      </c>
      <c r="J108" s="390" t="s">
        <v>5824</v>
      </c>
      <c r="K108" s="390" t="s">
        <v>5823</v>
      </c>
      <c r="L108" s="390" t="s">
        <v>5822</v>
      </c>
      <c r="M108" s="390" t="s">
        <v>5786</v>
      </c>
      <c r="N108" s="390" t="s">
        <v>6172</v>
      </c>
      <c r="O108" s="390" t="s">
        <v>6173</v>
      </c>
      <c r="P108" s="390" t="s">
        <v>6174</v>
      </c>
      <c r="Q108" s="390" t="s">
        <v>6175</v>
      </c>
      <c r="R108" s="390" t="s">
        <v>6176</v>
      </c>
      <c r="S108" s="813">
        <f>IF(COUNTIF(Psíquicos!$C$25:$E$36,E108)=0,0,1)</f>
        <v>0</v>
      </c>
      <c r="U108" s="2166" t="s">
        <v>251</v>
      </c>
      <c r="V108" s="390" t="str">
        <f>INDEX($I$6:$R$6,SUMPRODUCT(ISNUMBER(SEARCH("Fatiga",I143:R143))*1)+1)</f>
        <v>FAC</v>
      </c>
      <c r="W108" s="390" t="str">
        <f>IFERROR(VLOOKUP(U108,Psíquicos!$AD$11:$AK$64,8,FALSE),V108)</f>
        <v>FAC</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4"/>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5823</v>
      </c>
      <c r="J109" s="390" t="s">
        <v>5822</v>
      </c>
      <c r="K109" s="390" t="s">
        <v>5786</v>
      </c>
      <c r="L109" s="390" t="s">
        <v>5787</v>
      </c>
      <c r="M109" s="390" t="s">
        <v>6177</v>
      </c>
      <c r="N109" s="390" t="s">
        <v>6178</v>
      </c>
      <c r="O109" s="390" t="s">
        <v>6179</v>
      </c>
      <c r="P109" s="390" t="s">
        <v>6180</v>
      </c>
      <c r="Q109" s="390" t="s">
        <v>6181</v>
      </c>
      <c r="R109" s="414" t="s">
        <v>6182</v>
      </c>
      <c r="S109" s="813">
        <f>IF(COUNTIF(Psíquicos!$C$25:$E$36,E109)=0,0,1)</f>
        <v>0</v>
      </c>
      <c r="U109" s="2166" t="s">
        <v>252</v>
      </c>
      <c r="V109" s="390" t="str">
        <f>INDEX($I$6:$R$6,SUMPRODUCT(ISNUMBER(SEARCH("Fatiga",I144:R144))*1)+1)</f>
        <v>MED</v>
      </c>
      <c r="W109" s="390" t="str">
        <f>IFERROR(VLOOKUP(U109,Psíquicos!$AD$11:$AK$64,8,FALSE),V109)</f>
        <v>MED</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4"/>
        <v/>
      </c>
      <c r="AL109" s="2513" t="str">
        <f>IFERROR(VLOOKUP(Tablas!$A103,$AJ$7:$AK$145,2,FALSE),"")</f>
        <v/>
      </c>
    </row>
    <row r="110" spans="1:38" ht="12.75" customHeight="1" thickBot="1" x14ac:dyDescent="0.25">
      <c r="A110" s="816">
        <v>110</v>
      </c>
      <c r="B110" s="811">
        <f>IF(OR(S110=0),0,SUM($S$6:S110))</f>
        <v>0</v>
      </c>
      <c r="C110" s="398"/>
      <c r="D110" s="282" t="s">
        <v>219</v>
      </c>
      <c r="E110" s="415" t="s">
        <v>112</v>
      </c>
      <c r="F110" s="391">
        <v>3</v>
      </c>
      <c r="G110" s="391" t="s">
        <v>2612</v>
      </c>
      <c r="H110" s="392" t="s">
        <v>1307</v>
      </c>
      <c r="I110" s="390" t="s">
        <v>5837</v>
      </c>
      <c r="J110" s="390" t="s">
        <v>5824</v>
      </c>
      <c r="K110" s="390" t="s">
        <v>5823</v>
      </c>
      <c r="L110" s="390" t="s">
        <v>5822</v>
      </c>
      <c r="M110" s="390" t="s">
        <v>5786</v>
      </c>
      <c r="N110" s="390" t="s">
        <v>6169</v>
      </c>
      <c r="O110" s="390" t="s">
        <v>5797</v>
      </c>
      <c r="P110" s="390" t="s">
        <v>6183</v>
      </c>
      <c r="Q110" s="390" t="s">
        <v>6184</v>
      </c>
      <c r="R110" s="390" t="s">
        <v>6185</v>
      </c>
      <c r="S110" s="813">
        <f>IF(COUNTIF(Psíquicos!$C$25:$E$36,E110)=0,0,1)</f>
        <v>0</v>
      </c>
      <c r="U110" s="2168" t="s">
        <v>253</v>
      </c>
      <c r="V110" s="416" t="str">
        <f>INDEX($I$6:$R$6,SUMPRODUCT(ISNUMBER(SEARCH("Fatiga",I145:R145))*1)+1)</f>
        <v>DIF</v>
      </c>
      <c r="W110" s="416" t="str">
        <f>IFERROR(VLOOKUP(U110,Psíquicos!$AD$11:$AK$64,8,FALSE),V110)</f>
        <v>DIF</v>
      </c>
      <c r="X110" s="2169"/>
      <c r="Y110" s="2169"/>
      <c r="Z110" s="2169"/>
      <c r="AA110" s="2169"/>
      <c r="AB110" s="2169"/>
      <c r="AC110" s="2169"/>
      <c r="AD110" s="2169"/>
      <c r="AE110" s="2169"/>
      <c r="AF110" s="2169"/>
      <c r="AG110" s="2169"/>
      <c r="AH110" s="2170">
        <f>IF(COUNTIF(Psíquicos!$AD$17:$AH$62,U110),VALUE(INDEX('Tablas psiquica'!$X110:$AG110,MATCH('Tablas psiquica'!$W110,'Tablas psiquica'!$X$6:$AG$6,0))),0)</f>
        <v>0</v>
      </c>
      <c r="AJ110" s="2509" t="str">
        <f>IFERROR(IF(VLOOKUP(AK110,$D$7:$G$145,4,FALSE)&lt;&gt;"No",MAX(AJ$5:AJ109)+1,0),"")</f>
        <v/>
      </c>
      <c r="AK110" s="2510" t="str">
        <f t="shared" si="14"/>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5838</v>
      </c>
      <c r="J111" s="390" t="s">
        <v>5837</v>
      </c>
      <c r="K111" s="390" t="s">
        <v>5824</v>
      </c>
      <c r="L111" s="390" t="s">
        <v>5823</v>
      </c>
      <c r="M111" s="390" t="s">
        <v>5822</v>
      </c>
      <c r="N111" s="390" t="s">
        <v>5786</v>
      </c>
      <c r="O111" s="390" t="s">
        <v>6186</v>
      </c>
      <c r="P111" s="390" t="s">
        <v>6187</v>
      </c>
      <c r="Q111" s="390" t="s">
        <v>6188</v>
      </c>
      <c r="R111" s="414" t="s">
        <v>6189</v>
      </c>
      <c r="S111" s="813">
        <f>IF(COUNTIF(Psíquicos!$C$25:$E$36,E111)=0,0,1)</f>
        <v>0</v>
      </c>
      <c r="AJ111" s="2509" t="str">
        <f>IFERROR(IF(VLOOKUP(AK111,$D$7:$G$145,4,FALSE)&lt;&gt;"No",MAX(AJ$5:AJ110)+1,0),"")</f>
        <v/>
      </c>
      <c r="AK111" s="2510" t="str">
        <f t="shared" si="14"/>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U112" s="6171" t="s">
        <v>8929</v>
      </c>
      <c r="V112" s="6172"/>
      <c r="W112" s="6172"/>
      <c r="X112" s="6172"/>
      <c r="Y112" s="6172"/>
      <c r="Z112" s="6172"/>
      <c r="AA112" s="6172"/>
      <c r="AB112" s="6172"/>
      <c r="AC112" s="6172"/>
      <c r="AD112" s="6172"/>
      <c r="AE112" s="6172"/>
      <c r="AF112" s="6172"/>
      <c r="AG112" s="6172"/>
      <c r="AH112" s="6173"/>
      <c r="AJ112" s="2509" t="str">
        <f>IFERROR(IF(VLOOKUP(AK112,$D$7:$G$145,4,FALSE)&lt;&gt;"No",MAX(AJ$5:AJ111)+1,0),"")</f>
        <v/>
      </c>
      <c r="AK112" s="2510" t="str">
        <f t="shared" si="14"/>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5822</v>
      </c>
      <c r="J113" s="390" t="s">
        <v>5786</v>
      </c>
      <c r="K113" s="390" t="s">
        <v>5787</v>
      </c>
      <c r="L113" s="390" t="s">
        <v>5971</v>
      </c>
      <c r="M113" s="390" t="s">
        <v>6190</v>
      </c>
      <c r="N113" s="390" t="s">
        <v>5972</v>
      </c>
      <c r="O113" s="390" t="s">
        <v>6191</v>
      </c>
      <c r="P113" s="390" t="s">
        <v>6192</v>
      </c>
      <c r="Q113" s="390" t="s">
        <v>6193</v>
      </c>
      <c r="R113" s="414" t="s">
        <v>6194</v>
      </c>
      <c r="S113" s="813">
        <f>IF(COUNTIF(Psíquicos!$C$25:$E$36,E113)=0,0,1)</f>
        <v>0</v>
      </c>
      <c r="U113" s="1776" t="s">
        <v>99</v>
      </c>
      <c r="V113" s="1777" t="s">
        <v>101</v>
      </c>
      <c r="W113" s="1777" t="s">
        <v>103</v>
      </c>
      <c r="X113" s="1777" t="s">
        <v>105</v>
      </c>
      <c r="Y113" s="1777" t="s">
        <v>8916</v>
      </c>
      <c r="Z113" s="1777" t="s">
        <v>108</v>
      </c>
      <c r="AA113" s="1777" t="s">
        <v>111</v>
      </c>
      <c r="AB113" s="1777" t="s">
        <v>109</v>
      </c>
      <c r="AC113" s="1777" t="s">
        <v>112</v>
      </c>
      <c r="AD113" s="1777" t="s">
        <v>113</v>
      </c>
      <c r="AE113" s="1777" t="s">
        <v>115</v>
      </c>
      <c r="AF113" s="1777" t="s">
        <v>1703</v>
      </c>
      <c r="AG113" s="1777" t="s">
        <v>116</v>
      </c>
      <c r="AH113" s="2193" t="s">
        <v>6305</v>
      </c>
      <c r="AJ113" s="2509" t="str">
        <f>IFERROR(IF(VLOOKUP(AK113,$D$7:$G$145,4,FALSE)&lt;&gt;"No",MAX(AJ$5:AJ112)+1,0),"")</f>
        <v/>
      </c>
      <c r="AK113" s="2510" t="str">
        <f t="shared" si="14"/>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5786</v>
      </c>
      <c r="J114" s="390" t="s">
        <v>5787</v>
      </c>
      <c r="K114" s="390" t="s">
        <v>3568</v>
      </c>
      <c r="L114" s="390" t="s">
        <v>4809</v>
      </c>
      <c r="M114" s="390" t="s">
        <v>3569</v>
      </c>
      <c r="N114" s="390" t="s">
        <v>5920</v>
      </c>
      <c r="O114" s="390" t="s">
        <v>3570</v>
      </c>
      <c r="P114" s="390" t="s">
        <v>5921</v>
      </c>
      <c r="Q114" s="390" t="s">
        <v>5922</v>
      </c>
      <c r="R114" s="390" t="s">
        <v>3571</v>
      </c>
      <c r="S114" s="813">
        <f>IF(COUNTIF(Psíquicos!$C$25:$E$36,E114)=0,0,1)</f>
        <v>0</v>
      </c>
      <c r="U114" s="1778">
        <f>IF(ISNA(VLOOKUP(U113,Psíquicos!$C$25:$E$36,1,0)),0,1)</f>
        <v>0</v>
      </c>
      <c r="V114" s="1779">
        <f>IF(ISNA(VLOOKUP(V113,Psíquicos!$C$25:$E$36,1,0)),0,1)</f>
        <v>0</v>
      </c>
      <c r="W114" s="1779">
        <f>IF(ISNA(VLOOKUP(W113,Psíquicos!$C$25:$E$36,1,0)),0,1)</f>
        <v>0</v>
      </c>
      <c r="X114" s="1779">
        <f>IF(ISNA(VLOOKUP(X113,Psíquicos!$C$25:$E$36,1,0)),0,1)</f>
        <v>0</v>
      </c>
      <c r="Y114" s="1779">
        <f>IF(ISNA(VLOOKUP(Y113,Psíquicos!$C$25:$E$36,1,0)),0,1)</f>
        <v>0</v>
      </c>
      <c r="Z114" s="1779">
        <f>IF(ISNA(VLOOKUP(Z113,Psíquicos!$C$25:$E$36,1,0)),0,1)</f>
        <v>0</v>
      </c>
      <c r="AA114" s="1779">
        <f>IF(ISNA(VLOOKUP(AA113,Psíquicos!$C$25:$E$36,1,0)),0,1)</f>
        <v>0</v>
      </c>
      <c r="AB114" s="1779">
        <f>IF(ISNA(VLOOKUP(AB113,Psíquicos!$C$25:$E$36,1,0)),0,1)</f>
        <v>0</v>
      </c>
      <c r="AC114" s="1779">
        <f>IF(ISNA(VLOOKUP(AC113,Psíquicos!$C$25:$E$36,1,0)),0,1)</f>
        <v>0</v>
      </c>
      <c r="AD114" s="1779">
        <f>IF(ISNA(VLOOKUP(AD113,Psíquicos!$C$25:$E$36,1,0)),0,1)</f>
        <v>0</v>
      </c>
      <c r="AE114" s="1779">
        <f>IF(ISNA(VLOOKUP(AE113,Psíquicos!$C$25:$E$36,1,0)),0,1)</f>
        <v>0</v>
      </c>
      <c r="AF114" s="1779">
        <f>IF(ISNA(VLOOKUP(AF113,Psíquicos!$C$25:$E$36,1,0)),0,1)</f>
        <v>0</v>
      </c>
      <c r="AG114" s="1779">
        <f>IF(ISNA(VLOOKUP(AG113,Psíquicos!$C$25:$E$36,1,0)),0,1)</f>
        <v>0</v>
      </c>
      <c r="AH114" s="2194">
        <v>1</v>
      </c>
      <c r="AJ114" s="2509" t="str">
        <f>IFERROR(IF(VLOOKUP(AK114,$D$7:$G$145,4,FALSE)&lt;&gt;"No",MAX(AJ$5:AJ113)+1,0),"")</f>
        <v/>
      </c>
      <c r="AK114" s="2510" t="str">
        <f t="shared" si="14"/>
        <v/>
      </c>
      <c r="AL114" s="2513" t="str">
        <f>IFERROR(VLOOKUP(Tablas!$A108,$AJ$7:$AK$145,2,FALSE),"")</f>
        <v/>
      </c>
    </row>
    <row r="115" spans="1:38" ht="12.75" customHeight="1" x14ac:dyDescent="0.2">
      <c r="A115" s="816">
        <v>115</v>
      </c>
      <c r="B115" s="811">
        <f>IF(OR(S115=0),0,SUM($S$6:S115))</f>
        <v>0</v>
      </c>
      <c r="C115" s="398"/>
      <c r="D115" s="282" t="s">
        <v>224</v>
      </c>
      <c r="E115" s="415" t="s">
        <v>113</v>
      </c>
      <c r="F115" s="391">
        <v>1</v>
      </c>
      <c r="G115" s="391" t="s">
        <v>2612</v>
      </c>
      <c r="H115" s="392" t="s">
        <v>1307</v>
      </c>
      <c r="I115" s="390" t="s">
        <v>5786</v>
      </c>
      <c r="J115" s="390" t="s">
        <v>5787</v>
      </c>
      <c r="K115" s="390" t="s">
        <v>6195</v>
      </c>
      <c r="L115" s="390" t="s">
        <v>6196</v>
      </c>
      <c r="M115" s="390" t="s">
        <v>6197</v>
      </c>
      <c r="N115" s="390" t="s">
        <v>6198</v>
      </c>
      <c r="O115" s="390" t="s">
        <v>6199</v>
      </c>
      <c r="P115" s="390" t="s">
        <v>6200</v>
      </c>
      <c r="Q115" s="390" t="s">
        <v>6201</v>
      </c>
      <c r="R115" s="390" t="s">
        <v>6202</v>
      </c>
      <c r="S115" s="813">
        <f>IF(COUNTIF(Psíquicos!$C$25:$E$36,E115)=0,0,1)</f>
        <v>0</v>
      </c>
      <c r="U115" s="1780" t="s">
        <v>120</v>
      </c>
      <c r="V115" s="1781" t="s">
        <v>136</v>
      </c>
      <c r="W115" s="1781" t="s">
        <v>151</v>
      </c>
      <c r="X115" s="1781" t="s">
        <v>163</v>
      </c>
      <c r="Y115" s="1781" t="s">
        <v>177</v>
      </c>
      <c r="Z115" s="1781" t="s">
        <v>189</v>
      </c>
      <c r="AA115" s="1781" t="s">
        <v>201</v>
      </c>
      <c r="AB115" s="1781" t="s">
        <v>211</v>
      </c>
      <c r="AC115" s="1781" t="s">
        <v>216</v>
      </c>
      <c r="AD115" s="1781" t="s">
        <v>222</v>
      </c>
      <c r="AE115" s="1782" t="s">
        <v>232</v>
      </c>
      <c r="AF115" s="1782" t="s">
        <v>239</v>
      </c>
      <c r="AG115" s="1782" t="s">
        <v>246</v>
      </c>
      <c r="AH115" s="2195" t="s">
        <v>250</v>
      </c>
      <c r="AJ115" s="2509" t="str">
        <f>IFERROR(IF(VLOOKUP(AK115,$D$7:$G$145,4,FALSE)&lt;&gt;"No",MAX(AJ$5:AJ114)+1,0),"")</f>
        <v/>
      </c>
      <c r="AK115" s="2510" t="str">
        <f t="shared" si="14"/>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5822</v>
      </c>
      <c r="J116" s="390" t="s">
        <v>5786</v>
      </c>
      <c r="K116" s="390" t="s">
        <v>5787</v>
      </c>
      <c r="L116" s="390" t="s">
        <v>6203</v>
      </c>
      <c r="M116" s="390" t="s">
        <v>6204</v>
      </c>
      <c r="N116" s="390" t="s">
        <v>6205</v>
      </c>
      <c r="O116" s="390" t="s">
        <v>6206</v>
      </c>
      <c r="P116" s="390" t="s">
        <v>6207</v>
      </c>
      <c r="Q116" s="390" t="s">
        <v>6208</v>
      </c>
      <c r="R116" s="414" t="s">
        <v>6209</v>
      </c>
      <c r="S116" s="815">
        <f>S117</f>
        <v>0</v>
      </c>
      <c r="U116" s="1780" t="s">
        <v>121</v>
      </c>
      <c r="V116" s="1781" t="s">
        <v>137</v>
      </c>
      <c r="W116" s="1781" t="s">
        <v>152</v>
      </c>
      <c r="X116" s="1781" t="s">
        <v>164</v>
      </c>
      <c r="Y116" s="1781" t="s">
        <v>178</v>
      </c>
      <c r="Z116" s="1781" t="s">
        <v>190</v>
      </c>
      <c r="AA116" s="1781" t="s">
        <v>202</v>
      </c>
      <c r="AB116" s="1781" t="s">
        <v>212</v>
      </c>
      <c r="AC116" s="1781" t="s">
        <v>217</v>
      </c>
      <c r="AD116" s="1781" t="s">
        <v>223</v>
      </c>
      <c r="AE116" s="1782" t="s">
        <v>233</v>
      </c>
      <c r="AF116" s="1782" t="s">
        <v>240</v>
      </c>
      <c r="AG116" s="1782" t="s">
        <v>247</v>
      </c>
      <c r="AH116" s="2195" t="s">
        <v>251</v>
      </c>
      <c r="AJ116" s="2509" t="str">
        <f>IFERROR(IF(VLOOKUP(AK116,$D$7:$G$145,4,FALSE)&lt;&gt;"No",MAX(AJ$5:AJ115)+1,0),"")</f>
        <v/>
      </c>
      <c r="AK116" s="2510" t="str">
        <f t="shared" si="14"/>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5822</v>
      </c>
      <c r="J117" s="390" t="s">
        <v>5786</v>
      </c>
      <c r="K117" s="390" t="s">
        <v>5787</v>
      </c>
      <c r="L117" s="390" t="s">
        <v>5984</v>
      </c>
      <c r="M117" s="390" t="s">
        <v>5985</v>
      </c>
      <c r="N117" s="390" t="s">
        <v>5986</v>
      </c>
      <c r="O117" s="390" t="s">
        <v>6210</v>
      </c>
      <c r="P117" s="390" t="s">
        <v>6211</v>
      </c>
      <c r="Q117" s="390" t="s">
        <v>6212</v>
      </c>
      <c r="R117" s="390" t="s">
        <v>6213</v>
      </c>
      <c r="S117" s="813">
        <f>IF(COUNTIF(Psíquicos!$C$25:$E$36,E117)=0,0,1)</f>
        <v>0</v>
      </c>
      <c r="U117" s="1780" t="s">
        <v>122</v>
      </c>
      <c r="V117" s="1781" t="s">
        <v>138</v>
      </c>
      <c r="W117" s="1781" t="s">
        <v>153</v>
      </c>
      <c r="X117" s="1781" t="s">
        <v>165</v>
      </c>
      <c r="Y117" s="1781" t="s">
        <v>179</v>
      </c>
      <c r="Z117" s="1781" t="s">
        <v>191</v>
      </c>
      <c r="AA117" s="1781" t="s">
        <v>203</v>
      </c>
      <c r="AB117" s="1781" t="s">
        <v>213</v>
      </c>
      <c r="AC117" s="1781" t="s">
        <v>218</v>
      </c>
      <c r="AD117" s="1781" t="s">
        <v>224</v>
      </c>
      <c r="AE117" s="1782" t="s">
        <v>234</v>
      </c>
      <c r="AF117" s="1782" t="s">
        <v>241</v>
      </c>
      <c r="AG117" s="1782" t="s">
        <v>248</v>
      </c>
      <c r="AH117" s="2195" t="s">
        <v>252</v>
      </c>
      <c r="AJ117" s="2509" t="str">
        <f>IFERROR(IF(VLOOKUP(AK117,$D$7:$G$145,4,FALSE)&lt;&gt;"No",MAX(AJ$5:AJ116)+1,0),"")</f>
        <v/>
      </c>
      <c r="AK117" s="2510" t="str">
        <f t="shared" si="14"/>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5822</v>
      </c>
      <c r="J118" s="390" t="s">
        <v>5786</v>
      </c>
      <c r="K118" s="390" t="s">
        <v>5787</v>
      </c>
      <c r="L118" s="390" t="s">
        <v>6214</v>
      </c>
      <c r="M118" s="390" t="s">
        <v>6215</v>
      </c>
      <c r="N118" s="390" t="s">
        <v>6216</v>
      </c>
      <c r="O118" s="390" t="s">
        <v>6217</v>
      </c>
      <c r="P118" s="390" t="s">
        <v>6218</v>
      </c>
      <c r="Q118" s="390" t="s">
        <v>6219</v>
      </c>
      <c r="R118" s="390" t="s">
        <v>6220</v>
      </c>
      <c r="S118" s="813">
        <f>IF(COUNTIF(Psíquicos!$C$25:$E$36,E118)=0,0,1)</f>
        <v>0</v>
      </c>
      <c r="U118" s="1780" t="s">
        <v>123</v>
      </c>
      <c r="V118" s="1781" t="s">
        <v>139</v>
      </c>
      <c r="W118" s="1781" t="s">
        <v>154</v>
      </c>
      <c r="X118" s="1781" t="s">
        <v>166</v>
      </c>
      <c r="Y118" s="1781" t="s">
        <v>1686</v>
      </c>
      <c r="Z118" s="1781" t="s">
        <v>192</v>
      </c>
      <c r="AA118" s="1781" t="s">
        <v>204</v>
      </c>
      <c r="AB118" s="1781" t="s">
        <v>214</v>
      </c>
      <c r="AC118" s="1781" t="s">
        <v>219</v>
      </c>
      <c r="AD118" s="1781" t="s">
        <v>225</v>
      </c>
      <c r="AE118" s="1782" t="s">
        <v>235</v>
      </c>
      <c r="AF118" s="1782" t="s">
        <v>242</v>
      </c>
      <c r="AG118" s="1782"/>
      <c r="AH118" s="2195" t="s">
        <v>253</v>
      </c>
      <c r="AJ118" s="2509" t="str">
        <f>IFERROR(IF(VLOOKUP(AK118,$D$7:$G$145,4,FALSE)&lt;&gt;"No",MAX(AJ$5:AJ117)+1,0),"")</f>
        <v/>
      </c>
      <c r="AK118" s="2510" t="str">
        <f t="shared" si="14"/>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5822</v>
      </c>
      <c r="J119" s="390" t="s">
        <v>5786</v>
      </c>
      <c r="K119" s="390" t="s">
        <v>5787</v>
      </c>
      <c r="L119" s="390" t="s">
        <v>4950</v>
      </c>
      <c r="M119" s="390" t="s">
        <v>4690</v>
      </c>
      <c r="N119" s="390" t="s">
        <v>3463</v>
      </c>
      <c r="O119" s="390" t="s">
        <v>4691</v>
      </c>
      <c r="P119" s="390" t="s">
        <v>6221</v>
      </c>
      <c r="Q119" s="390" t="s">
        <v>4692</v>
      </c>
      <c r="R119" s="390" t="s">
        <v>3789</v>
      </c>
      <c r="S119" s="813">
        <f>IF(COUNTIF(Psíquicos!$C$25:$E$36,E119)=0,0,1)</f>
        <v>0</v>
      </c>
      <c r="U119" s="1780" t="s">
        <v>124</v>
      </c>
      <c r="V119" s="1781" t="s">
        <v>140</v>
      </c>
      <c r="W119" s="1781" t="s">
        <v>155</v>
      </c>
      <c r="X119" s="1781" t="s">
        <v>167</v>
      </c>
      <c r="Y119" s="1781" t="s">
        <v>180</v>
      </c>
      <c r="Z119" s="1781" t="s">
        <v>193</v>
      </c>
      <c r="AA119" s="1781" t="s">
        <v>205</v>
      </c>
      <c r="AB119" s="1782"/>
      <c r="AC119" s="1781" t="s">
        <v>220</v>
      </c>
      <c r="AD119" s="1781" t="s">
        <v>226</v>
      </c>
      <c r="AE119" s="1782" t="s">
        <v>236</v>
      </c>
      <c r="AF119" s="1782" t="s">
        <v>243</v>
      </c>
      <c r="AG119" s="1782"/>
      <c r="AH119" s="2195"/>
      <c r="AJ119" s="2509" t="str">
        <f>IFERROR(IF(VLOOKUP(AK119,$D$7:$G$145,4,FALSE)&lt;&gt;"No",MAX(AJ$5:AJ118)+1,0),"")</f>
        <v/>
      </c>
      <c r="AK119" s="2510" t="str">
        <f t="shared" si="14"/>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5837</v>
      </c>
      <c r="J120" s="390" t="s">
        <v>6222</v>
      </c>
      <c r="K120" s="390" t="s">
        <v>5824</v>
      </c>
      <c r="L120" s="390" t="s">
        <v>5823</v>
      </c>
      <c r="M120" s="390" t="s">
        <v>5822</v>
      </c>
      <c r="N120" s="390" t="s">
        <v>5786</v>
      </c>
      <c r="O120" s="401" t="s">
        <v>6223</v>
      </c>
      <c r="P120" s="401" t="s">
        <v>6224</v>
      </c>
      <c r="Q120" s="401" t="s">
        <v>6225</v>
      </c>
      <c r="R120" s="401" t="s">
        <v>6226</v>
      </c>
      <c r="S120" s="813">
        <f>IF(COUNTIF(Psíquicos!$C$25:$E$36,E120)=0,0,1)</f>
        <v>0</v>
      </c>
      <c r="U120" s="1780" t="s">
        <v>125</v>
      </c>
      <c r="V120" s="1781" t="s">
        <v>141</v>
      </c>
      <c r="W120" s="1781" t="s">
        <v>156</v>
      </c>
      <c r="X120" s="1781" t="s">
        <v>168</v>
      </c>
      <c r="Y120" s="1781" t="s">
        <v>181</v>
      </c>
      <c r="Z120" s="1781" t="s">
        <v>194</v>
      </c>
      <c r="AA120" s="1781" t="s">
        <v>206</v>
      </c>
      <c r="AB120" s="1782"/>
      <c r="AC120" s="1782"/>
      <c r="AD120" s="1781" t="s">
        <v>227</v>
      </c>
      <c r="AE120" s="1782" t="s">
        <v>237</v>
      </c>
      <c r="AF120" s="1782" t="s">
        <v>244</v>
      </c>
      <c r="AG120" s="1782"/>
      <c r="AH120" s="2195"/>
      <c r="AJ120" s="2509" t="str">
        <f>IFERROR(IF(VLOOKUP(AK120,$D$7:$G$145,4,FALSE)&lt;&gt;"No",MAX(AJ$5:AJ119)+1,0),"")</f>
        <v/>
      </c>
      <c r="AK120" s="2510" t="str">
        <f t="shared" si="14"/>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5837</v>
      </c>
      <c r="J121" s="390" t="s">
        <v>6222</v>
      </c>
      <c r="K121" s="390" t="s">
        <v>5824</v>
      </c>
      <c r="L121" s="390" t="s">
        <v>5823</v>
      </c>
      <c r="M121" s="390" t="s">
        <v>5822</v>
      </c>
      <c r="N121" s="390" t="s">
        <v>5786</v>
      </c>
      <c r="O121" s="401" t="s">
        <v>6227</v>
      </c>
      <c r="P121" s="401" t="s">
        <v>6228</v>
      </c>
      <c r="Q121" s="390" t="s">
        <v>6229</v>
      </c>
      <c r="R121" s="390" t="s">
        <v>6230</v>
      </c>
      <c r="S121" s="813">
        <f>IF(COUNTIF(Psíquicos!$C$25:$E$36,E121)=0,0,1)</f>
        <v>0</v>
      </c>
      <c r="U121" s="1780" t="s">
        <v>126</v>
      </c>
      <c r="V121" s="1781" t="s">
        <v>142</v>
      </c>
      <c r="W121" s="1781" t="s">
        <v>157</v>
      </c>
      <c r="X121" s="1781" t="s">
        <v>169</v>
      </c>
      <c r="Y121" s="1781" t="s">
        <v>182</v>
      </c>
      <c r="Z121" s="1781" t="s">
        <v>195</v>
      </c>
      <c r="AA121" s="1781" t="s">
        <v>207</v>
      </c>
      <c r="AB121" s="1782"/>
      <c r="AC121" s="1782"/>
      <c r="AD121" s="1781" t="s">
        <v>228</v>
      </c>
      <c r="AE121" s="1782" t="s">
        <v>115</v>
      </c>
      <c r="AF121" s="1782"/>
      <c r="AG121" s="1782"/>
      <c r="AH121" s="2195"/>
      <c r="AJ121" s="2509" t="str">
        <f>IFERROR(IF(VLOOKUP(AK121,$D$7:$G$145,4,FALSE)&lt;&gt;"No",MAX(AJ$5:AJ120)+1,0),"")</f>
        <v/>
      </c>
      <c r="AK121" s="2510" t="str">
        <f t="shared" si="14"/>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127</v>
      </c>
      <c r="V122" s="1781" t="s">
        <v>143</v>
      </c>
      <c r="W122" s="1781" t="s">
        <v>158</v>
      </c>
      <c r="X122" s="1781" t="s">
        <v>170</v>
      </c>
      <c r="Y122" s="1781" t="s">
        <v>183</v>
      </c>
      <c r="Z122" s="1781" t="s">
        <v>196</v>
      </c>
      <c r="AA122" s="1781" t="s">
        <v>208</v>
      </c>
      <c r="AB122" s="1782"/>
      <c r="AC122" s="1782"/>
      <c r="AD122" s="1781" t="s">
        <v>229</v>
      </c>
      <c r="AE122" s="1782"/>
      <c r="AF122" s="1782"/>
      <c r="AG122" s="1782"/>
      <c r="AH122" s="2195"/>
      <c r="AJ122" s="2509" t="str">
        <f>IFERROR(IF(VLOOKUP(AK122,$D$7:$G$145,4,FALSE)&lt;&gt;"No",MAX(AJ$5:AJ121)+1,0),"")</f>
        <v/>
      </c>
      <c r="AK122" s="2510" t="str">
        <f t="shared" si="14"/>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5786</v>
      </c>
      <c r="J123" s="390" t="s">
        <v>5787</v>
      </c>
      <c r="K123" s="390" t="s">
        <v>6231</v>
      </c>
      <c r="L123" s="390" t="s">
        <v>6232</v>
      </c>
      <c r="M123" s="390" t="s">
        <v>6233</v>
      </c>
      <c r="N123" s="390" t="s">
        <v>6234</v>
      </c>
      <c r="O123" s="390" t="s">
        <v>6235</v>
      </c>
      <c r="P123" s="390" t="s">
        <v>6236</v>
      </c>
      <c r="Q123" s="390" t="s">
        <v>6237</v>
      </c>
      <c r="R123" s="390" t="s">
        <v>6238</v>
      </c>
      <c r="S123" s="813">
        <f>IF(COUNTIF(Psíquicos!$C$25:$E$36,E123)=0,0,1)</f>
        <v>0</v>
      </c>
      <c r="U123" s="1780" t="s">
        <v>128</v>
      </c>
      <c r="V123" s="1781" t="s">
        <v>144</v>
      </c>
      <c r="W123" s="1781" t="s">
        <v>159</v>
      </c>
      <c r="X123" s="1781" t="s">
        <v>171</v>
      </c>
      <c r="Y123" s="1781" t="s">
        <v>184</v>
      </c>
      <c r="Z123" s="1781" t="s">
        <v>197</v>
      </c>
      <c r="AA123" s="1781" t="s">
        <v>209</v>
      </c>
      <c r="AB123" s="1782"/>
      <c r="AC123" s="1782"/>
      <c r="AD123" s="1781" t="s">
        <v>230</v>
      </c>
      <c r="AE123" s="1782"/>
      <c r="AF123" s="1782"/>
      <c r="AG123" s="1782"/>
      <c r="AH123" s="2195"/>
      <c r="AJ123" s="2509" t="str">
        <f>IFERROR(IF(VLOOKUP(AK123,$D$7:$G$145,4,FALSE)&lt;&gt;"No",MAX(AJ$5:AJ122)+1,0),"")</f>
        <v/>
      </c>
      <c r="AK123" s="2510" t="str">
        <f t="shared" si="14"/>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5823</v>
      </c>
      <c r="J124" s="390" t="s">
        <v>5822</v>
      </c>
      <c r="K124" s="390" t="s">
        <v>5786</v>
      </c>
      <c r="L124" s="390" t="s">
        <v>6239</v>
      </c>
      <c r="M124" s="390" t="s">
        <v>6240</v>
      </c>
      <c r="N124" s="390" t="s">
        <v>5839</v>
      </c>
      <c r="O124" s="390" t="s">
        <v>6241</v>
      </c>
      <c r="P124" s="390" t="s">
        <v>6169</v>
      </c>
      <c r="Q124" s="390" t="s">
        <v>5796</v>
      </c>
      <c r="R124" s="390" t="s">
        <v>6242</v>
      </c>
      <c r="S124" s="813">
        <f>IF(COUNTIF(Psíquicos!$C$25:$E$36,E124)=0,0,1)</f>
        <v>0</v>
      </c>
      <c r="U124" s="1780" t="s">
        <v>129</v>
      </c>
      <c r="V124" s="1781" t="s">
        <v>145</v>
      </c>
      <c r="W124" s="1781" t="s">
        <v>160</v>
      </c>
      <c r="X124" s="1781" t="s">
        <v>172</v>
      </c>
      <c r="Y124" s="1781" t="s">
        <v>1371</v>
      </c>
      <c r="Z124" s="1781" t="s">
        <v>198</v>
      </c>
      <c r="AA124" s="1781" t="s">
        <v>134</v>
      </c>
      <c r="AB124" s="1782"/>
      <c r="AC124" s="1782"/>
      <c r="AD124" s="1782"/>
      <c r="AE124" s="1782"/>
      <c r="AF124" s="1782"/>
      <c r="AG124" s="1782"/>
      <c r="AH124" s="2195"/>
      <c r="AJ124" s="2509" t="str">
        <f>IFERROR(IF(VLOOKUP(AK124,$D$7:$G$145,4,FALSE)&lt;&gt;"No",MAX(AJ$5:AJ123)+1,0),"")</f>
        <v/>
      </c>
      <c r="AK124" s="2510" t="str">
        <f t="shared" si="14"/>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5823</v>
      </c>
      <c r="J125" s="390" t="s">
        <v>5822</v>
      </c>
      <c r="K125" s="390" t="s">
        <v>5786</v>
      </c>
      <c r="L125" s="390" t="s">
        <v>6243</v>
      </c>
      <c r="M125" s="390" t="s">
        <v>6244</v>
      </c>
      <c r="N125" s="390" t="s">
        <v>6245</v>
      </c>
      <c r="O125" s="390" t="s">
        <v>6246</v>
      </c>
      <c r="P125" s="390" t="s">
        <v>6247</v>
      </c>
      <c r="Q125" s="390" t="s">
        <v>6248</v>
      </c>
      <c r="R125" s="390" t="s">
        <v>6249</v>
      </c>
      <c r="S125" s="813">
        <f>IF(COUNTIF(Psíquicos!$C$25:$E$36,E125)=0,0,1)</f>
        <v>0</v>
      </c>
      <c r="U125" s="1780" t="s">
        <v>130</v>
      </c>
      <c r="V125" s="1781" t="s">
        <v>146</v>
      </c>
      <c r="W125" s="1781" t="s">
        <v>161</v>
      </c>
      <c r="X125" s="1781" t="s">
        <v>173</v>
      </c>
      <c r="Y125" s="1781" t="s">
        <v>185</v>
      </c>
      <c r="Z125" s="1781" t="s">
        <v>199</v>
      </c>
      <c r="AA125" s="1782"/>
      <c r="AB125" s="1782"/>
      <c r="AC125" s="1782"/>
      <c r="AD125" s="1782"/>
      <c r="AE125" s="1782"/>
      <c r="AF125" s="1782"/>
      <c r="AG125" s="1782"/>
      <c r="AH125" s="2195"/>
      <c r="AJ125" s="2509" t="str">
        <f>IFERROR(IF(VLOOKUP(AK125,$D$7:$G$145,4,FALSE)&lt;&gt;"No",MAX(AJ$5:AJ124)+1,0),"")</f>
        <v/>
      </c>
      <c r="AK125" s="2510" t="str">
        <f t="shared" si="14"/>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5837</v>
      </c>
      <c r="J126" s="390" t="s">
        <v>5824</v>
      </c>
      <c r="K126" s="390" t="s">
        <v>5823</v>
      </c>
      <c r="L126" s="390" t="s">
        <v>5822</v>
      </c>
      <c r="M126" s="390" t="s">
        <v>5786</v>
      </c>
      <c r="N126" s="390" t="s">
        <v>6154</v>
      </c>
      <c r="O126" s="390" t="s">
        <v>5799</v>
      </c>
      <c r="P126" s="390" t="s">
        <v>5800</v>
      </c>
      <c r="Q126" s="390" t="s">
        <v>5801</v>
      </c>
      <c r="R126" s="414" t="s">
        <v>5803</v>
      </c>
      <c r="S126" s="813">
        <f>IF(COUNTIF(Psíquicos!$C$25:$E$36,E126)=0,0,1)</f>
        <v>0</v>
      </c>
      <c r="U126" s="1780" t="s">
        <v>131</v>
      </c>
      <c r="V126" s="1781" t="s">
        <v>147</v>
      </c>
      <c r="W126" s="1782"/>
      <c r="X126" s="1781" t="s">
        <v>174</v>
      </c>
      <c r="Y126" s="1781" t="s">
        <v>186</v>
      </c>
      <c r="Z126" s="1782"/>
      <c r="AA126" s="1782"/>
      <c r="AB126" s="1782"/>
      <c r="AC126" s="1782"/>
      <c r="AD126" s="1782"/>
      <c r="AE126" s="1782"/>
      <c r="AF126" s="1782"/>
      <c r="AG126" s="1782"/>
      <c r="AH126" s="2195"/>
      <c r="AJ126" s="2509" t="str">
        <f>IFERROR(IF(VLOOKUP(AK126,$D$7:$G$145,4,FALSE)&lt;&gt;"No",MAX(AJ$5:AJ125)+1,0),"")</f>
        <v/>
      </c>
      <c r="AK126" s="2510" t="str">
        <f t="shared" si="14"/>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5838</v>
      </c>
      <c r="J127" s="390" t="s">
        <v>5837</v>
      </c>
      <c r="K127" s="390" t="s">
        <v>5824</v>
      </c>
      <c r="L127" s="390" t="s">
        <v>5823</v>
      </c>
      <c r="M127" s="390" t="s">
        <v>5822</v>
      </c>
      <c r="N127" s="390" t="s">
        <v>6250</v>
      </c>
      <c r="O127" s="390" t="s">
        <v>6251</v>
      </c>
      <c r="P127" s="390" t="s">
        <v>6252</v>
      </c>
      <c r="Q127" s="390" t="s">
        <v>6253</v>
      </c>
      <c r="R127" s="390" t="s">
        <v>6254</v>
      </c>
      <c r="S127" s="813">
        <f>IF(COUNTIF(Psíquicos!$C$25:$E$36,E127)=0,0,1)</f>
        <v>0</v>
      </c>
      <c r="U127" s="1780" t="s">
        <v>132</v>
      </c>
      <c r="V127" s="1781" t="s">
        <v>148</v>
      </c>
      <c r="W127" s="1782"/>
      <c r="X127" s="1781" t="s">
        <v>175</v>
      </c>
      <c r="Y127" s="1781" t="s">
        <v>187</v>
      </c>
      <c r="Z127" s="1782"/>
      <c r="AA127" s="1782"/>
      <c r="AB127" s="1782"/>
      <c r="AC127" s="1782"/>
      <c r="AD127" s="1782"/>
      <c r="AE127" s="1782"/>
      <c r="AF127" s="1782"/>
      <c r="AG127" s="1782"/>
      <c r="AH127" s="2195"/>
      <c r="AJ127" s="2509" t="str">
        <f>IFERROR(IF(VLOOKUP(AK127,$D$7:$G$145,4,FALSE)&lt;&gt;"No",MAX(AJ$5:AJ126)+1,0),"")</f>
        <v/>
      </c>
      <c r="AK127" s="2510" t="str">
        <f t="shared" si="14"/>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5911</v>
      </c>
      <c r="J128" s="390" t="s">
        <v>5912</v>
      </c>
      <c r="K128" s="390" t="s">
        <v>5838</v>
      </c>
      <c r="L128" s="390" t="s">
        <v>5837</v>
      </c>
      <c r="M128" s="390" t="s">
        <v>5824</v>
      </c>
      <c r="N128" s="390" t="s">
        <v>5822</v>
      </c>
      <c r="O128" s="390" t="s">
        <v>6255</v>
      </c>
      <c r="P128" s="390" t="s">
        <v>6256</v>
      </c>
      <c r="Q128" s="390" t="s">
        <v>6257</v>
      </c>
      <c r="R128" s="390" t="s">
        <v>6258</v>
      </c>
      <c r="S128" s="813">
        <f>IF(COUNTIF(Psíquicos!$C$25:$E$36,E128)=0,0,1)</f>
        <v>0</v>
      </c>
      <c r="U128" s="1780" t="s">
        <v>133</v>
      </c>
      <c r="V128" s="1781" t="s">
        <v>149</v>
      </c>
      <c r="W128" s="1782"/>
      <c r="X128" s="1782"/>
      <c r="Y128" s="1782"/>
      <c r="Z128" s="1782"/>
      <c r="AA128" s="1782"/>
      <c r="AB128" s="1782"/>
      <c r="AC128" s="1782"/>
      <c r="AD128" s="1782"/>
      <c r="AE128" s="1782"/>
      <c r="AF128" s="1782"/>
      <c r="AG128" s="1782"/>
      <c r="AH128" s="2195"/>
      <c r="AJ128" s="2509" t="str">
        <f>IFERROR(IF(VLOOKUP(AK128,$D$7:$G$145,4,FALSE)&lt;&gt;"No",MAX(AJ$5:AJ127)+1,0),"")</f>
        <v/>
      </c>
      <c r="AK128" s="2510" t="str">
        <f t="shared" si="14"/>
        <v/>
      </c>
      <c r="AL128" s="2513" t="str">
        <f>IFERROR(VLOOKUP(Tablas!$A122,$AJ$7:$AK$145,2,FALSE),"")</f>
        <v/>
      </c>
    </row>
    <row r="129" spans="1:38" ht="12.75" customHeight="1" thickBot="1" x14ac:dyDescent="0.25">
      <c r="A129" s="816">
        <v>129</v>
      </c>
      <c r="B129" s="811">
        <f>IF(OR(S129=0),0,SUM($S$6:S129))</f>
        <v>0</v>
      </c>
      <c r="C129" s="398"/>
      <c r="D129" s="282" t="s">
        <v>115</v>
      </c>
      <c r="E129" s="415" t="s">
        <v>115</v>
      </c>
      <c r="F129" s="391">
        <v>3</v>
      </c>
      <c r="G129" s="391" t="s">
        <v>1384</v>
      </c>
      <c r="H129" s="392" t="s">
        <v>1307</v>
      </c>
      <c r="I129" s="390" t="s">
        <v>5837</v>
      </c>
      <c r="J129" s="390" t="s">
        <v>5824</v>
      </c>
      <c r="K129" s="390" t="s">
        <v>5823</v>
      </c>
      <c r="L129" s="390" t="s">
        <v>5822</v>
      </c>
      <c r="M129" s="390" t="s">
        <v>5786</v>
      </c>
      <c r="N129" s="390" t="s">
        <v>6259</v>
      </c>
      <c r="O129" s="390" t="s">
        <v>6260</v>
      </c>
      <c r="P129" s="390" t="s">
        <v>6261</v>
      </c>
      <c r="Q129" s="390" t="s">
        <v>6262</v>
      </c>
      <c r="R129" s="390" t="s">
        <v>6263</v>
      </c>
      <c r="S129" s="813">
        <f>IF(COUNTIF(Psíquicos!$C$25:$E$36,E129)=0,0,1)</f>
        <v>0</v>
      </c>
      <c r="U129" s="1783" t="s">
        <v>134</v>
      </c>
      <c r="V129" s="1784"/>
      <c r="W129" s="1784"/>
      <c r="X129" s="1784"/>
      <c r="Y129" s="1784"/>
      <c r="Z129" s="1784"/>
      <c r="AA129" s="1784"/>
      <c r="AB129" s="1784"/>
      <c r="AC129" s="1784"/>
      <c r="AD129" s="1784"/>
      <c r="AE129" s="1784"/>
      <c r="AF129" s="1784"/>
      <c r="AG129" s="1784"/>
      <c r="AH129" s="2196"/>
      <c r="AJ129" s="2509" t="str">
        <f>IFERROR(IF(VLOOKUP(AK129,$D$7:$G$145,4,FALSE)&lt;&gt;"No",MAX(AJ$5:AJ128)+1,0),"")</f>
        <v/>
      </c>
      <c r="AK129" s="2510" t="str">
        <f t="shared" si="14"/>
        <v/>
      </c>
      <c r="AL129" s="2513" t="str">
        <f>IFERROR(VLOOKUP(Tablas!$A123,$AJ$7:$AK$145,2,FALSE),"")</f>
        <v/>
      </c>
    </row>
    <row r="130" spans="1:38" ht="12.75" customHeight="1" x14ac:dyDescent="0.2">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AJ130" s="2509" t="str">
        <f>IFERROR(IF(VLOOKUP(AK130,$D$7:$G$145,4,FALSE)&lt;&gt;"No",MAX(AJ$5:AJ129)+1,0),"")</f>
        <v/>
      </c>
      <c r="AK130" s="2510" t="str">
        <f t="shared" si="14"/>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5822</v>
      </c>
      <c r="J131" s="390" t="s">
        <v>5786</v>
      </c>
      <c r="K131" s="390" t="s">
        <v>5787</v>
      </c>
      <c r="L131" s="390" t="s">
        <v>6264</v>
      </c>
      <c r="M131" s="390" t="s">
        <v>6265</v>
      </c>
      <c r="N131" s="390" t="s">
        <v>6266</v>
      </c>
      <c r="O131" s="390" t="s">
        <v>6267</v>
      </c>
      <c r="P131" s="390" t="s">
        <v>6268</v>
      </c>
      <c r="Q131" s="390" t="s">
        <v>6269</v>
      </c>
      <c r="R131" s="390" t="s">
        <v>6270</v>
      </c>
      <c r="S131" s="813">
        <f>IF(COUNTIF(Psíquicos!$C$25:$E$36,E131)=0,0,1)</f>
        <v>0</v>
      </c>
      <c r="AJ131" s="2509" t="str">
        <f>IFERROR(IF(VLOOKUP(AK131,$D$7:$G$145,4,FALSE)&lt;&gt;"No",MAX(AJ$5:AJ130)+1,0),"")</f>
        <v/>
      </c>
      <c r="AK131" s="2510" t="str">
        <f t="shared" si="14"/>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5786</v>
      </c>
      <c r="J132" s="390" t="s">
        <v>5787</v>
      </c>
      <c r="K132" s="390" t="s">
        <v>6271</v>
      </c>
      <c r="L132" s="390" t="s">
        <v>6272</v>
      </c>
      <c r="M132" s="390" t="s">
        <v>5971</v>
      </c>
      <c r="N132" s="390" t="s">
        <v>6190</v>
      </c>
      <c r="O132" s="390" t="s">
        <v>5972</v>
      </c>
      <c r="P132" s="390" t="s">
        <v>5973</v>
      </c>
      <c r="Q132" s="390" t="s">
        <v>6091</v>
      </c>
      <c r="R132" s="390" t="s">
        <v>5974</v>
      </c>
      <c r="S132" s="813">
        <f>IF(COUNTIF(Psíquicos!$C$25:$E$36,E132)=0,0,1)</f>
        <v>0</v>
      </c>
      <c r="AJ132" s="2509" t="str">
        <f>IFERROR(IF(VLOOKUP(AK132,$D$7:$G$145,4,FALSE)&lt;&gt;"No",MAX(AJ$5:AJ131)+1,0),"")</f>
        <v/>
      </c>
      <c r="AK132" s="2510" t="str">
        <f t="shared" si="14"/>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5786</v>
      </c>
      <c r="J133" s="390" t="s">
        <v>5787</v>
      </c>
      <c r="K133" s="390" t="s">
        <v>6273</v>
      </c>
      <c r="L133" s="390" t="s">
        <v>6274</v>
      </c>
      <c r="M133" s="390" t="s">
        <v>6275</v>
      </c>
      <c r="N133" s="390" t="s">
        <v>6276</v>
      </c>
      <c r="O133" s="390" t="s">
        <v>6277</v>
      </c>
      <c r="P133" s="390" t="s">
        <v>6278</v>
      </c>
      <c r="Q133" s="390" t="s">
        <v>6279</v>
      </c>
      <c r="R133" s="390" t="s">
        <v>6280</v>
      </c>
      <c r="S133" s="813">
        <f>IF(COUNTIF(Psíquicos!$C$25:$E$36,E133)=0,0,1)</f>
        <v>0</v>
      </c>
      <c r="AJ133" s="2509" t="str">
        <f>IFERROR(IF(VLOOKUP(AK133,$D$7:$G$145,4,FALSE)&lt;&gt;"No",MAX(AJ$5:AJ132)+1,0),"")</f>
        <v/>
      </c>
      <c r="AK133" s="2510" t="str">
        <f t="shared" si="14"/>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5823</v>
      </c>
      <c r="J134" s="390" t="s">
        <v>5822</v>
      </c>
      <c r="K134" s="390" t="s">
        <v>5786</v>
      </c>
      <c r="L134" s="390" t="s">
        <v>5787</v>
      </c>
      <c r="M134" s="390" t="s">
        <v>5859</v>
      </c>
      <c r="N134" s="390" t="s">
        <v>5985</v>
      </c>
      <c r="O134" s="390" t="s">
        <v>5861</v>
      </c>
      <c r="P134" s="390" t="s">
        <v>6281</v>
      </c>
      <c r="Q134" s="390" t="s">
        <v>6100</v>
      </c>
      <c r="R134" s="414" t="s">
        <v>6101</v>
      </c>
      <c r="S134" s="813">
        <f>IF(COUNTIF(Psíquicos!$C$25:$E$36,E134)=0,0,1)</f>
        <v>0</v>
      </c>
      <c r="AJ134" s="2509" t="str">
        <f>IFERROR(IF(VLOOKUP(AK134,$D$7:$G$145,4,FALSE)&lt;&gt;"No",MAX(AJ$5:AJ133)+1,0),"")</f>
        <v/>
      </c>
      <c r="AK134" s="2510" t="str">
        <f t="shared" si="14"/>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5824</v>
      </c>
      <c r="J135" s="390" t="s">
        <v>5823</v>
      </c>
      <c r="K135" s="390" t="s">
        <v>5822</v>
      </c>
      <c r="L135" s="390" t="s">
        <v>5786</v>
      </c>
      <c r="M135" s="390" t="s">
        <v>5787</v>
      </c>
      <c r="N135" s="390" t="s">
        <v>6282</v>
      </c>
      <c r="O135" s="390" t="s">
        <v>6283</v>
      </c>
      <c r="P135" s="390" t="s">
        <v>6284</v>
      </c>
      <c r="Q135" s="390" t="s">
        <v>6285</v>
      </c>
      <c r="R135" s="414" t="s">
        <v>6286</v>
      </c>
      <c r="S135" s="813">
        <f>IF(COUNTIF(Psíquicos!$C$25:$E$36,E135)=0,0,1)</f>
        <v>0</v>
      </c>
      <c r="AJ135" s="2509" t="str">
        <f>IFERROR(IF(VLOOKUP(AK135,$D$7:$G$145,4,FALSE)&lt;&gt;"No",MAX(AJ$5:AJ134)+1,0),"")</f>
        <v/>
      </c>
      <c r="AK135" s="2510" t="str">
        <f t="shared" ref="AK135:AK145" si="15">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5838</v>
      </c>
      <c r="J136" s="390" t="s">
        <v>5837</v>
      </c>
      <c r="K136" s="390" t="s">
        <v>5824</v>
      </c>
      <c r="L136" s="390" t="s">
        <v>5823</v>
      </c>
      <c r="M136" s="390" t="s">
        <v>5822</v>
      </c>
      <c r="N136" s="390" t="s">
        <v>6287</v>
      </c>
      <c r="O136" s="390" t="s">
        <v>6288</v>
      </c>
      <c r="P136" s="390" t="s">
        <v>6289</v>
      </c>
      <c r="Q136" s="390" t="s">
        <v>6290</v>
      </c>
      <c r="R136" s="390" t="s">
        <v>6291</v>
      </c>
      <c r="S136" s="813">
        <f>IF(COUNTIF(Psíquicos!$C$25:$E$36,E136)=0,0,1)</f>
        <v>0</v>
      </c>
      <c r="AJ136" s="2509" t="str">
        <f>IFERROR(IF(VLOOKUP(AK136,$D$7:$G$145,4,FALSE)&lt;&gt;"No",MAX(AJ$5:AJ135)+1,0),"")</f>
        <v/>
      </c>
      <c r="AK136" s="2510" t="str">
        <f t="shared" si="15"/>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5"/>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5787</v>
      </c>
      <c r="J138" s="390" t="s">
        <v>6292</v>
      </c>
      <c r="K138" s="390" t="s">
        <v>6293</v>
      </c>
      <c r="L138" s="390" t="s">
        <v>6294</v>
      </c>
      <c r="M138" s="390" t="s">
        <v>6295</v>
      </c>
      <c r="N138" s="390" t="s">
        <v>6296</v>
      </c>
      <c r="O138" s="390" t="s">
        <v>6297</v>
      </c>
      <c r="P138" s="390" t="s">
        <v>6298</v>
      </c>
      <c r="Q138" s="390" t="s">
        <v>6299</v>
      </c>
      <c r="R138" s="390" t="s">
        <v>6300</v>
      </c>
      <c r="S138" s="813">
        <f>IF(COUNTIF(Psíquicos!$C$25:$E$36,E138)=0,0,1)</f>
        <v>0</v>
      </c>
      <c r="AJ138" s="2509" t="str">
        <f>IFERROR(IF(VLOOKUP(AK138,$D$7:$G$145,4,FALSE)&lt;&gt;"No",MAX(AJ$5:AJ137)+1,0),"")</f>
        <v/>
      </c>
      <c r="AK138" s="2510" t="str">
        <f t="shared" si="15"/>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5822</v>
      </c>
      <c r="J139" s="390" t="s">
        <v>5786</v>
      </c>
      <c r="K139" s="390" t="s">
        <v>6239</v>
      </c>
      <c r="L139" s="390" t="s">
        <v>6240</v>
      </c>
      <c r="M139" s="390" t="s">
        <v>5839</v>
      </c>
      <c r="N139" s="390" t="s">
        <v>6241</v>
      </c>
      <c r="O139" s="390" t="s">
        <v>6169</v>
      </c>
      <c r="P139" s="390" t="s">
        <v>5796</v>
      </c>
      <c r="Q139" s="390" t="s">
        <v>6242</v>
      </c>
      <c r="R139" s="414" t="s">
        <v>5797</v>
      </c>
      <c r="S139" s="813">
        <f>IF(COUNTIF(Psíquicos!$C$25:$E$36,E139)=0,0,1)</f>
        <v>0</v>
      </c>
      <c r="AJ139" s="2509" t="str">
        <f>IFERROR(IF(VLOOKUP(AK139,$D$7:$G$145,4,FALSE)&lt;&gt;"No",MAX(AJ$5:AJ138)+1,0),"")</f>
        <v/>
      </c>
      <c r="AK139" s="2510" t="str">
        <f t="shared" si="15"/>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5837</v>
      </c>
      <c r="J140" s="390" t="s">
        <v>6222</v>
      </c>
      <c r="K140" s="390" t="s">
        <v>5824</v>
      </c>
      <c r="L140" s="390" t="s">
        <v>5823</v>
      </c>
      <c r="M140" s="390" t="s">
        <v>5822</v>
      </c>
      <c r="N140" s="390" t="s">
        <v>6301</v>
      </c>
      <c r="O140" s="390" t="s">
        <v>251</v>
      </c>
      <c r="P140" s="390" t="s">
        <v>6302</v>
      </c>
      <c r="Q140" s="390" t="s">
        <v>6303</v>
      </c>
      <c r="R140" s="414" t="s">
        <v>6304</v>
      </c>
      <c r="S140" s="813">
        <f>IF(COUNTIF(Psíquicos!$C$25:$E$36,E140)=0,0,1)</f>
        <v>0</v>
      </c>
      <c r="AJ140" s="2509" t="str">
        <f>IFERROR(IF(VLOOKUP(AK140,$D$7:$G$145,4,FALSE)&lt;&gt;"No",MAX(AJ$5:AJ139)+1,0),"")</f>
        <v/>
      </c>
      <c r="AK140" s="2510" t="str">
        <f t="shared" si="15"/>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5"/>
        <v/>
      </c>
      <c r="AL141" s="2513" t="str">
        <f>IFERROR(VLOOKUP(Tablas!$A135,$AJ$7:$AK$145,2,FALSE),"")</f>
        <v/>
      </c>
    </row>
    <row r="142" spans="1:38" ht="12.75" customHeight="1" x14ac:dyDescent="0.2">
      <c r="A142" s="816">
        <v>142</v>
      </c>
      <c r="B142" s="811">
        <f>IF(OR(S142=0),0,SUM($S$6:S142))</f>
        <v>2</v>
      </c>
      <c r="C142" s="398"/>
      <c r="D142" s="282" t="s">
        <v>250</v>
      </c>
      <c r="E142" s="390" t="s">
        <v>6305</v>
      </c>
      <c r="F142" s="391" t="s">
        <v>1459</v>
      </c>
      <c r="G142" s="391" t="s">
        <v>2612</v>
      </c>
      <c r="H142" s="392" t="s">
        <v>1307</v>
      </c>
      <c r="I142" s="390" t="s">
        <v>5823</v>
      </c>
      <c r="J142" s="390" t="s">
        <v>5822</v>
      </c>
      <c r="K142" s="390" t="s">
        <v>5786</v>
      </c>
      <c r="L142" s="390" t="s">
        <v>6306</v>
      </c>
      <c r="M142" s="390" t="s">
        <v>6307</v>
      </c>
      <c r="N142" s="390" t="s">
        <v>6086</v>
      </c>
      <c r="O142" s="390" t="s">
        <v>6087</v>
      </c>
      <c r="P142" s="390" t="s">
        <v>6088</v>
      </c>
      <c r="Q142" s="390" t="s">
        <v>6089</v>
      </c>
      <c r="R142" s="414" t="s">
        <v>6090</v>
      </c>
      <c r="S142" s="813">
        <v>1</v>
      </c>
      <c r="AJ142" s="2509" t="str">
        <f>IFERROR(IF(VLOOKUP(AK142,$D$7:$G$145,4,FALSE)&lt;&gt;"No",MAX(AJ$5:AJ141)+1,0),"")</f>
        <v/>
      </c>
      <c r="AK142" s="2510" t="str">
        <f t="shared" si="15"/>
        <v/>
      </c>
      <c r="AL142" s="2513" t="str">
        <f>IFERROR(VLOOKUP(Tablas!$A136,$AJ$7:$AK$145,2,FALSE),"")</f>
        <v/>
      </c>
    </row>
    <row r="143" spans="1:38" ht="12.75" customHeight="1" x14ac:dyDescent="0.2">
      <c r="A143" s="816">
        <v>143</v>
      </c>
      <c r="B143" s="811">
        <f>IF(OR(S143=0),0,SUM($S$6:S143))</f>
        <v>3</v>
      </c>
      <c r="C143" s="398"/>
      <c r="D143" s="282" t="s">
        <v>251</v>
      </c>
      <c r="E143" s="390" t="s">
        <v>6305</v>
      </c>
      <c r="F143" s="391" t="s">
        <v>1459</v>
      </c>
      <c r="G143" s="391" t="s">
        <v>2612</v>
      </c>
      <c r="H143" s="392" t="s">
        <v>1307</v>
      </c>
      <c r="I143" s="390" t="s">
        <v>5787</v>
      </c>
      <c r="J143" s="390" t="s">
        <v>6308</v>
      </c>
      <c r="K143" s="390" t="s">
        <v>6309</v>
      </c>
      <c r="L143" s="390" t="s">
        <v>6310</v>
      </c>
      <c r="M143" s="390" t="s">
        <v>5796</v>
      </c>
      <c r="N143" s="390" t="s">
        <v>10262</v>
      </c>
      <c r="O143" s="390" t="s">
        <v>10260</v>
      </c>
      <c r="P143" s="390" t="s">
        <v>6311</v>
      </c>
      <c r="Q143" s="390" t="s">
        <v>10261</v>
      </c>
      <c r="R143" s="414" t="s">
        <v>6312</v>
      </c>
      <c r="S143" s="813">
        <v>1</v>
      </c>
      <c r="AJ143" s="2509" t="str">
        <f>IFERROR(IF(VLOOKUP(AK143,$D$7:$G$145,4,FALSE)&lt;&gt;"No",MAX(AJ$5:AJ142)+1,0),"")</f>
        <v/>
      </c>
      <c r="AK143" s="2510" t="str">
        <f t="shared" si="15"/>
        <v/>
      </c>
      <c r="AL143" s="2513" t="str">
        <f>IFERROR(VLOOKUP(Tablas!$A137,$AJ$7:$AK$145,2,FALSE),"")</f>
        <v/>
      </c>
    </row>
    <row r="144" spans="1:38" ht="12.75" customHeight="1" x14ac:dyDescent="0.2">
      <c r="A144" s="816">
        <v>144</v>
      </c>
      <c r="B144" s="811">
        <f>IF(OR(S144=0),0,SUM($S$6:S144))</f>
        <v>4</v>
      </c>
      <c r="C144" s="398"/>
      <c r="D144" s="282" t="s">
        <v>252</v>
      </c>
      <c r="E144" s="390" t="s">
        <v>6305</v>
      </c>
      <c r="F144" s="391" t="s">
        <v>1459</v>
      </c>
      <c r="G144" s="391" t="s">
        <v>2612</v>
      </c>
      <c r="H144" s="392" t="s">
        <v>1308</v>
      </c>
      <c r="I144" s="390" t="s">
        <v>5786</v>
      </c>
      <c r="J144" s="390" t="s">
        <v>5787</v>
      </c>
      <c r="K144" s="390" t="s">
        <v>6313</v>
      </c>
      <c r="L144" s="390" t="s">
        <v>6314</v>
      </c>
      <c r="M144" s="390" t="s">
        <v>6315</v>
      </c>
      <c r="N144" s="390" t="s">
        <v>6316</v>
      </c>
      <c r="O144" s="390" t="s">
        <v>6317</v>
      </c>
      <c r="P144" s="390" t="s">
        <v>6318</v>
      </c>
      <c r="Q144" s="390" t="s">
        <v>6319</v>
      </c>
      <c r="R144" s="414" t="s">
        <v>6320</v>
      </c>
      <c r="S144" s="813">
        <v>1</v>
      </c>
      <c r="AJ144" s="2509" t="str">
        <f>IFERROR(IF(VLOOKUP(AK144,$D$7:$G$145,4,FALSE)&lt;&gt;"No",MAX(AJ$5:AJ143)+1,0),"")</f>
        <v/>
      </c>
      <c r="AK144" s="2510" t="str">
        <f t="shared" si="15"/>
        <v/>
      </c>
      <c r="AL144" s="2513" t="str">
        <f>IFERROR(VLOOKUP(Tablas!$A138,$AJ$7:$AK$145,2,FALSE),"")</f>
        <v/>
      </c>
    </row>
    <row r="145" spans="1:38" ht="12.75" customHeight="1" thickBot="1" x14ac:dyDescent="0.25">
      <c r="A145" s="816">
        <v>145</v>
      </c>
      <c r="B145" s="812">
        <f>IF(OR(S145=0),0,SUM($S$6:S145))</f>
        <v>5</v>
      </c>
      <c r="C145" s="406"/>
      <c r="D145" s="284" t="s">
        <v>253</v>
      </c>
      <c r="E145" s="416" t="s">
        <v>6305</v>
      </c>
      <c r="F145" s="417" t="s">
        <v>1459</v>
      </c>
      <c r="G145" s="417" t="s">
        <v>2612</v>
      </c>
      <c r="H145" s="418" t="s">
        <v>1307</v>
      </c>
      <c r="I145" s="416" t="s">
        <v>5823</v>
      </c>
      <c r="J145" s="416" t="s">
        <v>5822</v>
      </c>
      <c r="K145" s="416" t="s">
        <v>5786</v>
      </c>
      <c r="L145" s="416" t="s">
        <v>6321</v>
      </c>
      <c r="M145" s="416" t="s">
        <v>6322</v>
      </c>
      <c r="N145" s="416" t="s">
        <v>6323</v>
      </c>
      <c r="O145" s="416" t="s">
        <v>6324</v>
      </c>
      <c r="P145" s="416" t="s">
        <v>6325</v>
      </c>
      <c r="Q145" s="416" t="s">
        <v>6326</v>
      </c>
      <c r="R145" s="419" t="s">
        <v>6327</v>
      </c>
      <c r="S145" s="814">
        <v>1</v>
      </c>
      <c r="AJ145" s="2514" t="str">
        <f>IFERROR(IF(VLOOKUP(AK145,$D$7:$G$145,4,FALSE)&lt;&gt;"No",MAX(AJ$5:AJ144)+1,0),"")</f>
        <v/>
      </c>
      <c r="AK145" s="2515" t="str">
        <f t="shared" si="15"/>
        <v/>
      </c>
      <c r="AL145" s="2516" t="str">
        <f>IFERROR(VLOOKUP(Tablas!$A139,$AJ$7:$AK$145,2,FALSE),"")</f>
        <v/>
      </c>
    </row>
  </sheetData>
  <mergeCells count="5">
    <mergeCell ref="U3:AH4"/>
    <mergeCell ref="B5:B6"/>
    <mergeCell ref="S5:S6"/>
    <mergeCell ref="U112:AH112"/>
    <mergeCell ref="AJ3:AL4"/>
  </mergeCells>
  <conditionalFormatting sqref="V7:V14">
    <cfRule type="expression" dxfId="588" priority="1" stopIfTrue="1">
      <formula>$G7&lt;&gt;"No"</formula>
    </cfRule>
  </conditionalFormatting>
  <conditionalFormatting sqref="V15">
    <cfRule type="expression" dxfId="587" priority="6876" stopIfTrue="1">
      <formula>$G16&lt;&gt;"No"</formula>
    </cfRule>
  </conditionalFormatting>
  <conditionalFormatting sqref="V16:V18">
    <cfRule type="expression" dxfId="586" priority="6881" stopIfTrue="1">
      <formula>$G18&lt;&gt;"No"</formula>
    </cfRule>
  </conditionalFormatting>
  <conditionalFormatting sqref="V19 V21">
    <cfRule type="expression" dxfId="585" priority="6886" stopIfTrue="1">
      <formula>$G22&lt;&gt;"No"</formula>
    </cfRule>
  </conditionalFormatting>
  <conditionalFormatting sqref="V22:V24">
    <cfRule type="expression" dxfId="584" priority="6891" stopIfTrue="1">
      <formula>$G26&lt;&gt;"No"</formula>
    </cfRule>
  </conditionalFormatting>
  <conditionalFormatting sqref="V25:V26">
    <cfRule type="expression" dxfId="583" priority="6896" stopIfTrue="1">
      <formula>$G30&lt;&gt;"No"</formula>
    </cfRule>
  </conditionalFormatting>
  <conditionalFormatting sqref="V27:V28">
    <cfRule type="expression" dxfId="582" priority="6901" stopIfTrue="1">
      <formula>$G33&lt;&gt;"No"</formula>
    </cfRule>
  </conditionalFormatting>
  <conditionalFormatting sqref="V29">
    <cfRule type="expression" dxfId="581" priority="6906" stopIfTrue="1">
      <formula>$G36&lt;&gt;"No"</formula>
    </cfRule>
  </conditionalFormatting>
  <conditionalFormatting sqref="V31">
    <cfRule type="expression" dxfId="580" priority="6911" stopIfTrue="1">
      <formula>$G39&lt;&gt;"No"</formula>
    </cfRule>
  </conditionalFormatting>
  <conditionalFormatting sqref="V32">
    <cfRule type="expression" dxfId="579" priority="6916" stopIfTrue="1">
      <formula>$G41&lt;&gt;"No"</formula>
    </cfRule>
  </conditionalFormatting>
  <conditionalFormatting sqref="V33:V36">
    <cfRule type="expression" dxfId="578" priority="6921" stopIfTrue="1">
      <formula>$G43&lt;&gt;"No"</formula>
    </cfRule>
  </conditionalFormatting>
  <conditionalFormatting sqref="V37:V38 V40:V42">
    <cfRule type="expression" dxfId="577" priority="6926" stopIfTrue="1">
      <formula>$G48&lt;&gt;"No"</formula>
    </cfRule>
  </conditionalFormatting>
  <conditionalFormatting sqref="V43">
    <cfRule type="expression" dxfId="576" priority="6931" stopIfTrue="1">
      <formula>$G55&lt;&gt;"No"</formula>
    </cfRule>
  </conditionalFormatting>
  <conditionalFormatting sqref="V44:V50 V52:V61">
    <cfRule type="expression" dxfId="575" priority="6936" stopIfTrue="1">
      <formula>$G57&lt;&gt;"No"</formula>
    </cfRule>
  </conditionalFormatting>
  <conditionalFormatting sqref="V62:V63 V65:V68">
    <cfRule type="expression" dxfId="574" priority="6945" stopIfTrue="1">
      <formula>$G76&lt;&gt;"No"</formula>
    </cfRule>
  </conditionalFormatting>
  <conditionalFormatting sqref="V69:V70">
    <cfRule type="expression" dxfId="573" priority="6950" stopIfTrue="1">
      <formula>$G85&lt;&gt;"No"</formula>
    </cfRule>
  </conditionalFormatting>
  <conditionalFormatting sqref="V71:V76">
    <cfRule type="expression" dxfId="572" priority="6955" stopIfTrue="1">
      <formula>$G89&lt;&gt;"No"</formula>
    </cfRule>
  </conditionalFormatting>
  <conditionalFormatting sqref="V77:V79">
    <cfRule type="expression" dxfId="571" priority="6960" stopIfTrue="1">
      <formula>$G96&lt;&gt;"No"</formula>
    </cfRule>
  </conditionalFormatting>
  <conditionalFormatting sqref="V80:V82">
    <cfRule type="expression" dxfId="570" priority="6965" stopIfTrue="1">
      <formula>$G100&lt;&gt;"No"</formula>
    </cfRule>
  </conditionalFormatting>
  <conditionalFormatting sqref="V83:V86">
    <cfRule type="expression" dxfId="569" priority="6970" stopIfTrue="1">
      <formula>$G105&lt;&gt;"No"</formula>
    </cfRule>
  </conditionalFormatting>
  <conditionalFormatting sqref="V87">
    <cfRule type="expression" dxfId="568" priority="6975" stopIfTrue="1">
      <formula>$G110&lt;&gt;"No"</formula>
    </cfRule>
  </conditionalFormatting>
  <conditionalFormatting sqref="V89:V93">
    <cfRule type="expression" dxfId="567" priority="6980" stopIfTrue="1">
      <formula>$G114&lt;&gt;"No"</formula>
    </cfRule>
  </conditionalFormatting>
  <conditionalFormatting sqref="V95">
    <cfRule type="expression" dxfId="566" priority="6985" stopIfTrue="1">
      <formula>$G125&lt;&gt;"No"</formula>
    </cfRule>
  </conditionalFormatting>
  <conditionalFormatting sqref="V96">
    <cfRule type="expression" dxfId="565" priority="6990" stopIfTrue="1">
      <formula>$G127&lt;&gt;"No"</formula>
    </cfRule>
  </conditionalFormatting>
  <conditionalFormatting sqref="V98:V99">
    <cfRule type="expression" dxfId="564" priority="6995" stopIfTrue="1">
      <formula>$G131&lt;&gt;"No"</formula>
    </cfRule>
  </conditionalFormatting>
  <conditionalFormatting sqref="V100:V101">
    <cfRule type="expression" dxfId="563" priority="7000" stopIfTrue="1">
      <formula>$G134&lt;&gt;"No"</formula>
    </cfRule>
  </conditionalFormatting>
  <conditionalFormatting sqref="V103:V110">
    <cfRule type="expression" dxfId="562"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208"/>
      <c r="D3" s="4209"/>
      <c r="E3" s="4209"/>
      <c r="F3" s="4209"/>
      <c r="G3" s="4209"/>
      <c r="H3" s="4209"/>
      <c r="I3" s="424"/>
      <c r="J3" s="424"/>
      <c r="K3" s="424"/>
      <c r="L3" s="424"/>
      <c r="M3" s="424"/>
      <c r="N3" s="424"/>
      <c r="O3" s="424"/>
      <c r="P3" s="424"/>
      <c r="Q3" s="425"/>
      <c r="R3" s="426"/>
      <c r="S3" s="420"/>
      <c r="T3" s="420"/>
      <c r="U3" s="289"/>
      <c r="V3" s="4208"/>
      <c r="W3" s="4209"/>
      <c r="X3" s="4209"/>
      <c r="Y3" s="4209"/>
      <c r="Z3" s="4209"/>
      <c r="AA3" s="4209"/>
      <c r="AB3" s="2779"/>
      <c r="AC3" s="2779"/>
      <c r="AD3" s="2779"/>
      <c r="AE3" s="2779"/>
      <c r="AF3" s="2779"/>
      <c r="AG3" s="2779"/>
      <c r="AH3" s="2779"/>
      <c r="AI3" s="2779"/>
      <c r="AJ3" s="425"/>
      <c r="AK3" s="426"/>
      <c r="AL3" s="420"/>
      <c r="AM3" s="420"/>
      <c r="AN3" s="289"/>
      <c r="AO3" s="4208"/>
      <c r="AP3" s="4209"/>
      <c r="AQ3" s="4209"/>
      <c r="AR3" s="4209"/>
      <c r="AS3" s="4209"/>
      <c r="AT3" s="4209"/>
      <c r="AU3" s="2779"/>
      <c r="AV3" s="2779"/>
      <c r="AW3" s="2779"/>
      <c r="AX3" s="2779"/>
      <c r="AY3" s="2779"/>
      <c r="AZ3" s="2779"/>
      <c r="BA3" s="2779"/>
      <c r="BB3" s="2779"/>
      <c r="BC3" s="425"/>
      <c r="BD3" s="426"/>
      <c r="BE3" s="420"/>
      <c r="BF3" s="2737"/>
      <c r="BG3" s="289"/>
      <c r="BH3" s="4208"/>
      <c r="BI3" s="4209"/>
      <c r="BJ3" s="4209"/>
      <c r="BK3" s="4209"/>
      <c r="BL3" s="4209"/>
      <c r="BM3" s="4209"/>
      <c r="BN3" s="2779"/>
      <c r="BO3" s="2779"/>
      <c r="BP3" s="2779"/>
      <c r="BQ3" s="2779"/>
      <c r="BR3" s="2779"/>
      <c r="BS3" s="2779"/>
      <c r="BT3" s="2779"/>
      <c r="BU3" s="2779"/>
      <c r="BV3" s="425"/>
      <c r="BW3" s="426"/>
      <c r="BX3" s="2737"/>
    </row>
    <row r="4" spans="1:76" ht="12.2" customHeight="1" x14ac:dyDescent="0.2">
      <c r="A4" s="420"/>
      <c r="B4" s="289"/>
      <c r="C4" s="4210"/>
      <c r="D4" s="4211"/>
      <c r="E4" s="4211"/>
      <c r="F4" s="4211"/>
      <c r="G4" s="4211"/>
      <c r="H4" s="4211"/>
      <c r="I4" s="340"/>
      <c r="J4" s="4214" t="s">
        <v>1326</v>
      </c>
      <c r="K4" s="4215"/>
      <c r="L4" s="3189" t="str">
        <f>IF(OR(General!$F$22="",General!$F$22=0),"",General!$F$22)</f>
        <v/>
      </c>
      <c r="M4" s="3189"/>
      <c r="N4" s="3189"/>
      <c r="O4" s="3189"/>
      <c r="P4" s="3189"/>
      <c r="Q4" s="375"/>
      <c r="R4" s="426"/>
      <c r="S4" s="420"/>
      <c r="T4" s="420"/>
      <c r="U4" s="289"/>
      <c r="V4" s="4210"/>
      <c r="W4" s="4211"/>
      <c r="X4" s="4211"/>
      <c r="Y4" s="4211"/>
      <c r="Z4" s="4211"/>
      <c r="AA4" s="4211"/>
      <c r="AB4" s="2780"/>
      <c r="AC4" s="4214" t="s">
        <v>1326</v>
      </c>
      <c r="AD4" s="4215"/>
      <c r="AE4" s="3189" t="str">
        <f>IF(OR(General!$F$22="",General!$F$22=0),"",General!$F$22)</f>
        <v/>
      </c>
      <c r="AF4" s="3189"/>
      <c r="AG4" s="3189"/>
      <c r="AH4" s="3189"/>
      <c r="AI4" s="3189"/>
      <c r="AJ4" s="375"/>
      <c r="AK4" s="426"/>
      <c r="AL4" s="420"/>
      <c r="AM4" s="420"/>
      <c r="AN4" s="289"/>
      <c r="AO4" s="4210"/>
      <c r="AP4" s="4211"/>
      <c r="AQ4" s="4211"/>
      <c r="AR4" s="4211"/>
      <c r="AS4" s="4211"/>
      <c r="AT4" s="4211"/>
      <c r="AU4" s="2780"/>
      <c r="AV4" s="4214" t="s">
        <v>1326</v>
      </c>
      <c r="AW4" s="4215"/>
      <c r="AX4" s="3189" t="str">
        <f>IF(OR(General!$F$22="",General!$F$22=0),"",General!$F$22)</f>
        <v/>
      </c>
      <c r="AY4" s="3189"/>
      <c r="AZ4" s="3189"/>
      <c r="BA4" s="3189"/>
      <c r="BB4" s="3189"/>
      <c r="BC4" s="375"/>
      <c r="BD4" s="426"/>
      <c r="BE4" s="420"/>
      <c r="BF4" s="2737"/>
      <c r="BG4" s="289"/>
      <c r="BH4" s="4210"/>
      <c r="BI4" s="4211"/>
      <c r="BJ4" s="4211"/>
      <c r="BK4" s="4211"/>
      <c r="BL4" s="4211"/>
      <c r="BM4" s="4211"/>
      <c r="BN4" s="2780"/>
      <c r="BO4" s="4214" t="s">
        <v>1326</v>
      </c>
      <c r="BP4" s="4215"/>
      <c r="BQ4" s="3189" t="str">
        <f>IF(OR(General!$F$22="",General!$F$22=0),"",General!$F$22)</f>
        <v/>
      </c>
      <c r="BR4" s="3189"/>
      <c r="BS4" s="3189"/>
      <c r="BT4" s="3189"/>
      <c r="BU4" s="3189"/>
      <c r="BV4" s="375"/>
      <c r="BW4" s="426"/>
      <c r="BX4" s="2737"/>
    </row>
    <row r="5" spans="1:76" ht="12.2" customHeight="1" x14ac:dyDescent="0.2">
      <c r="A5" s="420"/>
      <c r="B5" s="289"/>
      <c r="C5" s="4210"/>
      <c r="D5" s="4211"/>
      <c r="E5" s="4211"/>
      <c r="F5" s="4211"/>
      <c r="G5" s="4211"/>
      <c r="H5" s="4211"/>
      <c r="I5" s="340"/>
      <c r="J5" s="4204" t="s">
        <v>1327</v>
      </c>
      <c r="K5" s="4205"/>
      <c r="L5" s="3002" t="str">
        <f>PDs!$J$8</f>
        <v/>
      </c>
      <c r="M5" s="3002"/>
      <c r="N5" s="3002"/>
      <c r="O5" s="2472" t="s">
        <v>1328</v>
      </c>
      <c r="P5" s="2473" t="str">
        <f>Principal!$O$6</f>
        <v>0</v>
      </c>
      <c r="Q5" s="427"/>
      <c r="R5" s="426"/>
      <c r="S5" s="420"/>
      <c r="T5" s="420"/>
      <c r="U5" s="289"/>
      <c r="V5" s="4210"/>
      <c r="W5" s="4211"/>
      <c r="X5" s="4211"/>
      <c r="Y5" s="4211"/>
      <c r="Z5" s="4211"/>
      <c r="AA5" s="4211"/>
      <c r="AB5" s="2780"/>
      <c r="AC5" s="4204" t="s">
        <v>1327</v>
      </c>
      <c r="AD5" s="4205"/>
      <c r="AE5" s="3002" t="str">
        <f>PDs!$J$8</f>
        <v/>
      </c>
      <c r="AF5" s="3002"/>
      <c r="AG5" s="3002"/>
      <c r="AH5" s="2472" t="s">
        <v>1328</v>
      </c>
      <c r="AI5" s="2473" t="str">
        <f>Principal!$O$6</f>
        <v>0</v>
      </c>
      <c r="AJ5" s="427"/>
      <c r="AK5" s="426"/>
      <c r="AL5" s="420"/>
      <c r="AM5" s="420"/>
      <c r="AN5" s="289"/>
      <c r="AO5" s="4210"/>
      <c r="AP5" s="4211"/>
      <c r="AQ5" s="4211"/>
      <c r="AR5" s="4211"/>
      <c r="AS5" s="4211"/>
      <c r="AT5" s="4211"/>
      <c r="AU5" s="2780"/>
      <c r="AV5" s="4204" t="s">
        <v>1327</v>
      </c>
      <c r="AW5" s="4205"/>
      <c r="AX5" s="3002" t="str">
        <f>PDs!$J$8</f>
        <v/>
      </c>
      <c r="AY5" s="3002"/>
      <c r="AZ5" s="3002"/>
      <c r="BA5" s="2472" t="s">
        <v>1328</v>
      </c>
      <c r="BB5" s="2473" t="str">
        <f>Principal!$O$6</f>
        <v>0</v>
      </c>
      <c r="BC5" s="427"/>
      <c r="BD5" s="426"/>
      <c r="BE5" s="420"/>
      <c r="BF5" s="2737"/>
      <c r="BG5" s="289"/>
      <c r="BH5" s="4210"/>
      <c r="BI5" s="4211"/>
      <c r="BJ5" s="4211"/>
      <c r="BK5" s="4211"/>
      <c r="BL5" s="4211"/>
      <c r="BM5" s="4211"/>
      <c r="BN5" s="2780"/>
      <c r="BO5" s="4204" t="s">
        <v>1327</v>
      </c>
      <c r="BP5" s="4205"/>
      <c r="BQ5" s="3002" t="str">
        <f>PDs!$J$8</f>
        <v/>
      </c>
      <c r="BR5" s="3002"/>
      <c r="BS5" s="3002"/>
      <c r="BT5" s="2472" t="s">
        <v>1328</v>
      </c>
      <c r="BU5" s="2473" t="str">
        <f>Principal!$O$6</f>
        <v>0</v>
      </c>
      <c r="BV5" s="427"/>
      <c r="BW5" s="426"/>
      <c r="BX5" s="2737"/>
    </row>
    <row r="6" spans="1:76" ht="12.2" customHeight="1" x14ac:dyDescent="0.2">
      <c r="A6" s="420"/>
      <c r="B6" s="289"/>
      <c r="C6" s="4210"/>
      <c r="D6" s="4211"/>
      <c r="E6" s="4211"/>
      <c r="F6" s="4211"/>
      <c r="G6" s="4211"/>
      <c r="H6" s="4211"/>
      <c r="I6" s="340"/>
      <c r="J6" s="4206" t="s">
        <v>6328</v>
      </c>
      <c r="K6" s="4207"/>
      <c r="L6" s="4207"/>
      <c r="M6" s="4207"/>
      <c r="N6" s="4207"/>
      <c r="O6" s="4207"/>
      <c r="P6" s="4207"/>
      <c r="Q6" s="427"/>
      <c r="R6" s="426"/>
      <c r="S6" s="420"/>
      <c r="T6" s="420"/>
      <c r="U6" s="289"/>
      <c r="V6" s="4210"/>
      <c r="W6" s="4211"/>
      <c r="X6" s="4211"/>
      <c r="Y6" s="4211"/>
      <c r="Z6" s="4211"/>
      <c r="AA6" s="4211"/>
      <c r="AB6" s="2780"/>
      <c r="AC6" s="4206" t="s">
        <v>6328</v>
      </c>
      <c r="AD6" s="4207"/>
      <c r="AE6" s="4207"/>
      <c r="AF6" s="4207"/>
      <c r="AG6" s="4207"/>
      <c r="AH6" s="4207"/>
      <c r="AI6" s="4207"/>
      <c r="AJ6" s="427"/>
      <c r="AK6" s="426"/>
      <c r="AL6" s="420"/>
      <c r="AM6" s="420"/>
      <c r="AN6" s="289"/>
      <c r="AO6" s="4210"/>
      <c r="AP6" s="4211"/>
      <c r="AQ6" s="4211"/>
      <c r="AR6" s="4211"/>
      <c r="AS6" s="4211"/>
      <c r="AT6" s="4211"/>
      <c r="AU6" s="2780"/>
      <c r="AV6" s="4206" t="s">
        <v>6328</v>
      </c>
      <c r="AW6" s="4207"/>
      <c r="AX6" s="4207"/>
      <c r="AY6" s="4207"/>
      <c r="AZ6" s="4207"/>
      <c r="BA6" s="4207"/>
      <c r="BB6" s="4207"/>
      <c r="BC6" s="427"/>
      <c r="BD6" s="426"/>
      <c r="BE6" s="420"/>
      <c r="BF6" s="2737"/>
      <c r="BG6" s="289"/>
      <c r="BH6" s="4210"/>
      <c r="BI6" s="4211"/>
      <c r="BJ6" s="4211"/>
      <c r="BK6" s="4211"/>
      <c r="BL6" s="4211"/>
      <c r="BM6" s="4211"/>
      <c r="BN6" s="2780"/>
      <c r="BO6" s="4206" t="s">
        <v>6328</v>
      </c>
      <c r="BP6" s="4207"/>
      <c r="BQ6" s="4207"/>
      <c r="BR6" s="4207"/>
      <c r="BS6" s="4207"/>
      <c r="BT6" s="4207"/>
      <c r="BU6" s="4207"/>
      <c r="BV6" s="427"/>
      <c r="BW6" s="426"/>
      <c r="BX6" s="2737"/>
    </row>
    <row r="7" spans="1:76" ht="12.2" customHeight="1" x14ac:dyDescent="0.2">
      <c r="A7" s="420"/>
      <c r="B7" s="289"/>
      <c r="C7" s="4210"/>
      <c r="D7" s="4211"/>
      <c r="E7" s="4211"/>
      <c r="F7" s="4211"/>
      <c r="G7" s="4211"/>
      <c r="H7" s="4211"/>
      <c r="I7" s="340"/>
      <c r="J7" s="4207"/>
      <c r="K7" s="4207"/>
      <c r="L7" s="4207"/>
      <c r="M7" s="4207"/>
      <c r="N7" s="4207"/>
      <c r="O7" s="4207"/>
      <c r="P7" s="4207"/>
      <c r="Q7" s="427"/>
      <c r="R7" s="426"/>
      <c r="S7" s="420"/>
      <c r="T7" s="420"/>
      <c r="U7" s="289"/>
      <c r="V7" s="4210"/>
      <c r="W7" s="4211"/>
      <c r="X7" s="4211"/>
      <c r="Y7" s="4211"/>
      <c r="Z7" s="4211"/>
      <c r="AA7" s="4211"/>
      <c r="AB7" s="2780"/>
      <c r="AC7" s="4207"/>
      <c r="AD7" s="4207"/>
      <c r="AE7" s="4207"/>
      <c r="AF7" s="4207"/>
      <c r="AG7" s="4207"/>
      <c r="AH7" s="4207"/>
      <c r="AI7" s="4207"/>
      <c r="AJ7" s="427"/>
      <c r="AK7" s="426"/>
      <c r="AL7" s="420"/>
      <c r="AM7" s="420"/>
      <c r="AN7" s="289"/>
      <c r="AO7" s="4210"/>
      <c r="AP7" s="4211"/>
      <c r="AQ7" s="4211"/>
      <c r="AR7" s="4211"/>
      <c r="AS7" s="4211"/>
      <c r="AT7" s="4211"/>
      <c r="AU7" s="2780"/>
      <c r="AV7" s="4207"/>
      <c r="AW7" s="4207"/>
      <c r="AX7" s="4207"/>
      <c r="AY7" s="4207"/>
      <c r="AZ7" s="4207"/>
      <c r="BA7" s="4207"/>
      <c r="BB7" s="4207"/>
      <c r="BC7" s="427"/>
      <c r="BD7" s="426"/>
      <c r="BE7" s="420"/>
      <c r="BF7" s="2737"/>
      <c r="BG7" s="289"/>
      <c r="BH7" s="4210"/>
      <c r="BI7" s="4211"/>
      <c r="BJ7" s="4211"/>
      <c r="BK7" s="4211"/>
      <c r="BL7" s="4211"/>
      <c r="BM7" s="4211"/>
      <c r="BN7" s="2780"/>
      <c r="BO7" s="4207"/>
      <c r="BP7" s="4207"/>
      <c r="BQ7" s="4207"/>
      <c r="BR7" s="4207"/>
      <c r="BS7" s="4207"/>
      <c r="BT7" s="4207"/>
      <c r="BU7" s="4207"/>
      <c r="BV7" s="427"/>
      <c r="BW7" s="426"/>
      <c r="BX7" s="2737"/>
    </row>
    <row r="8" spans="1:76" ht="12.2" customHeight="1" thickBot="1" x14ac:dyDescent="0.25">
      <c r="A8" s="420"/>
      <c r="B8" s="289"/>
      <c r="C8" s="4212"/>
      <c r="D8" s="4213"/>
      <c r="E8" s="4213"/>
      <c r="F8" s="4213"/>
      <c r="G8" s="4213"/>
      <c r="H8" s="4213"/>
      <c r="I8" s="428"/>
      <c r="J8" s="428"/>
      <c r="K8" s="428"/>
      <c r="L8" s="428"/>
      <c r="M8" s="428"/>
      <c r="N8" s="428"/>
      <c r="O8" s="428"/>
      <c r="P8" s="428"/>
      <c r="Q8" s="429"/>
      <c r="R8" s="426"/>
      <c r="S8" s="420"/>
      <c r="T8" s="420"/>
      <c r="U8" s="289"/>
      <c r="V8" s="4212"/>
      <c r="W8" s="4213"/>
      <c r="X8" s="4213"/>
      <c r="Y8" s="4213"/>
      <c r="Z8" s="4213"/>
      <c r="AA8" s="4213"/>
      <c r="AB8" s="2781"/>
      <c r="AC8" s="2781"/>
      <c r="AD8" s="2781"/>
      <c r="AE8" s="2781"/>
      <c r="AF8" s="2781"/>
      <c r="AG8" s="2781"/>
      <c r="AH8" s="2781"/>
      <c r="AI8" s="2781"/>
      <c r="AJ8" s="429"/>
      <c r="AK8" s="426"/>
      <c r="AL8" s="420"/>
      <c r="AM8" s="420"/>
      <c r="AN8" s="289"/>
      <c r="AO8" s="4212"/>
      <c r="AP8" s="4213"/>
      <c r="AQ8" s="4213"/>
      <c r="AR8" s="4213"/>
      <c r="AS8" s="4213"/>
      <c r="AT8" s="4213"/>
      <c r="AU8" s="2781"/>
      <c r="AV8" s="2781"/>
      <c r="AW8" s="2781"/>
      <c r="AX8" s="2781"/>
      <c r="AY8" s="2781"/>
      <c r="AZ8" s="2781"/>
      <c r="BA8" s="2781"/>
      <c r="BB8" s="2781"/>
      <c r="BC8" s="429"/>
      <c r="BD8" s="426"/>
      <c r="BE8" s="420"/>
      <c r="BF8" s="2737"/>
      <c r="BG8" s="289"/>
      <c r="BH8" s="4212"/>
      <c r="BI8" s="4213"/>
      <c r="BJ8" s="4213"/>
      <c r="BK8" s="4213"/>
      <c r="BL8" s="4213"/>
      <c r="BM8" s="4213"/>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180"/>
      <c r="D11" s="6181"/>
      <c r="E11" s="6181"/>
      <c r="F11" s="6181"/>
      <c r="G11" s="6181"/>
      <c r="H11" s="430" t="s">
        <v>1328</v>
      </c>
      <c r="I11" s="431" t="str">
        <f>IF(C11=0,"",VLOOKUP(C11,'Tablas Magia'!$D$6:$Z$680,3,FALSE))</f>
        <v/>
      </c>
      <c r="J11" s="6182" t="s">
        <v>6329</v>
      </c>
      <c r="K11" s="6182"/>
      <c r="L11" s="6182"/>
      <c r="M11" s="6183" t="str">
        <f>IF(C11=0,"",VLOOKUP(C11,'Tablas Magia'!$D$6:$Z$680,2,FALSE))</f>
        <v/>
      </c>
      <c r="N11" s="6183"/>
      <c r="O11" s="6183"/>
      <c r="P11" s="6183"/>
      <c r="Q11" s="6184"/>
      <c r="R11" s="426"/>
      <c r="S11" s="420"/>
      <c r="T11" s="420"/>
      <c r="U11" s="289"/>
      <c r="V11" s="6180"/>
      <c r="W11" s="6181"/>
      <c r="X11" s="6181"/>
      <c r="Y11" s="6181"/>
      <c r="Z11" s="6181"/>
      <c r="AA11" s="430" t="s">
        <v>1328</v>
      </c>
      <c r="AB11" s="431" t="str">
        <f>IF(V11=0,"",VLOOKUP(V11,'Tablas Magia'!$D$6:$Z$680,3,FALSE))</f>
        <v/>
      </c>
      <c r="AC11" s="6182" t="s">
        <v>6329</v>
      </c>
      <c r="AD11" s="6182"/>
      <c r="AE11" s="6182"/>
      <c r="AF11" s="6183" t="str">
        <f>IF(V11=0,"",VLOOKUP(V11,'Tablas Magia'!$D$6:$Z$680,2,FALSE))</f>
        <v/>
      </c>
      <c r="AG11" s="6183"/>
      <c r="AH11" s="6183"/>
      <c r="AI11" s="6183"/>
      <c r="AJ11" s="6184"/>
      <c r="AK11" s="426"/>
      <c r="AL11" s="420"/>
      <c r="AM11" s="420"/>
      <c r="AN11" s="289"/>
      <c r="AO11" s="6180"/>
      <c r="AP11" s="6181"/>
      <c r="AQ11" s="6181"/>
      <c r="AR11" s="6181"/>
      <c r="AS11" s="6181"/>
      <c r="AT11" s="430" t="s">
        <v>1328</v>
      </c>
      <c r="AU11" s="431" t="str">
        <f>IF(AO11=0,"",VLOOKUP(AO11,'Tablas Magia'!$D$6:$Z$680,3,FALSE))</f>
        <v/>
      </c>
      <c r="AV11" s="6182" t="s">
        <v>6329</v>
      </c>
      <c r="AW11" s="6182"/>
      <c r="AX11" s="6182"/>
      <c r="AY11" s="6183" t="str">
        <f>IF(AO11=0,"",VLOOKUP(AO11,'Tablas Magia'!$D$6:$Z$680,2,FALSE))</f>
        <v/>
      </c>
      <c r="AZ11" s="6183"/>
      <c r="BA11" s="6183"/>
      <c r="BB11" s="6183"/>
      <c r="BC11" s="6184"/>
      <c r="BD11" s="426"/>
      <c r="BE11" s="420"/>
      <c r="BF11" s="2737"/>
      <c r="BG11" s="289"/>
      <c r="BH11" s="6180"/>
      <c r="BI11" s="6181"/>
      <c r="BJ11" s="6181"/>
      <c r="BK11" s="6181"/>
      <c r="BL11" s="6181"/>
      <c r="BM11" s="430" t="s">
        <v>1328</v>
      </c>
      <c r="BN11" s="431" t="str">
        <f>IF(BH11=0,"",VLOOKUP(BH11,'Tablas Magia'!$D$6:$Z$680,3,FALSE))</f>
        <v/>
      </c>
      <c r="BO11" s="6182" t="s">
        <v>6329</v>
      </c>
      <c r="BP11" s="6182"/>
      <c r="BQ11" s="6182"/>
      <c r="BR11" s="6183" t="str">
        <f>IF(BH11=0,"",VLOOKUP(BH11,'Tablas Magia'!$D$6:$Z$680,2,FALSE))</f>
        <v/>
      </c>
      <c r="BS11" s="6183"/>
      <c r="BT11" s="6183"/>
      <c r="BU11" s="6183"/>
      <c r="BV11" s="6184"/>
      <c r="BW11" s="426"/>
      <c r="BX11" s="2737"/>
    </row>
    <row r="12" spans="1:76" ht="12.2" customHeight="1" x14ac:dyDescent="0.2">
      <c r="A12" s="420"/>
      <c r="B12" s="289"/>
      <c r="C12" s="6198" t="s">
        <v>6330</v>
      </c>
      <c r="D12" s="6199"/>
      <c r="E12" s="432" t="s">
        <v>6331</v>
      </c>
      <c r="F12" s="432" t="s">
        <v>1512</v>
      </c>
      <c r="G12" s="432" t="s">
        <v>2862</v>
      </c>
      <c r="H12" s="433" t="s">
        <v>1840</v>
      </c>
      <c r="I12" s="6195" t="str">
        <f>IF(C11=0,"",VLOOKUP(C11,'Tablas Magia'!$D$6:$Z$680,5,FALSE))</f>
        <v/>
      </c>
      <c r="J12" s="6195"/>
      <c r="K12" s="6196" t="s">
        <v>6332</v>
      </c>
      <c r="L12" s="6196"/>
      <c r="M12" s="6195" t="str">
        <f>IF(C11=0,"",VLOOKUP(C11,'Tablas Magia'!$D$6:$Z$680,6,FALSE))</f>
        <v/>
      </c>
      <c r="N12" s="6195"/>
      <c r="O12" s="6197" t="s">
        <v>6333</v>
      </c>
      <c r="P12" s="6197"/>
      <c r="Q12" s="434" t="str">
        <f>IF(C11=0,"",VLOOKUP(C11,'Tablas Magia'!$D$6:$Z$680,4,FALSE))</f>
        <v/>
      </c>
      <c r="R12" s="426"/>
      <c r="S12" s="420"/>
      <c r="T12" s="420"/>
      <c r="U12" s="289"/>
      <c r="V12" s="6198" t="s">
        <v>6330</v>
      </c>
      <c r="W12" s="6199"/>
      <c r="X12" s="432" t="s">
        <v>6331</v>
      </c>
      <c r="Y12" s="432" t="s">
        <v>1512</v>
      </c>
      <c r="Z12" s="432" t="s">
        <v>2862</v>
      </c>
      <c r="AA12" s="433" t="s">
        <v>1840</v>
      </c>
      <c r="AB12" s="6195" t="str">
        <f>IF(V11=0,"",VLOOKUP(V11,'Tablas Magia'!$D$6:$Z$680,5,FALSE))</f>
        <v/>
      </c>
      <c r="AC12" s="6195"/>
      <c r="AD12" s="6196" t="s">
        <v>6332</v>
      </c>
      <c r="AE12" s="6196"/>
      <c r="AF12" s="6195" t="str">
        <f>IF(V11=0,"",VLOOKUP(V11,'Tablas Magia'!$D$6:$Z$680,6,FALSE))</f>
        <v/>
      </c>
      <c r="AG12" s="6195"/>
      <c r="AH12" s="6197" t="s">
        <v>6333</v>
      </c>
      <c r="AI12" s="6197"/>
      <c r="AJ12" s="434" t="str">
        <f>IF(V11=0,"",VLOOKUP(V11,'Tablas Magia'!$D$6:$Z$680,4,FALSE))</f>
        <v/>
      </c>
      <c r="AK12" s="426"/>
      <c r="AL12" s="420"/>
      <c r="AM12" s="420"/>
      <c r="AN12" s="289"/>
      <c r="AO12" s="6198" t="s">
        <v>6330</v>
      </c>
      <c r="AP12" s="6199"/>
      <c r="AQ12" s="432" t="s">
        <v>6331</v>
      </c>
      <c r="AR12" s="432" t="s">
        <v>1512</v>
      </c>
      <c r="AS12" s="432" t="s">
        <v>2862</v>
      </c>
      <c r="AT12" s="433" t="s">
        <v>1840</v>
      </c>
      <c r="AU12" s="6195" t="str">
        <f>IF(AO11=0,"",VLOOKUP(AO11,'Tablas Magia'!$D$6:$Z$680,5,FALSE))</f>
        <v/>
      </c>
      <c r="AV12" s="6195"/>
      <c r="AW12" s="6196" t="s">
        <v>6332</v>
      </c>
      <c r="AX12" s="6196"/>
      <c r="AY12" s="6195" t="str">
        <f>IF(AO11=0,"",VLOOKUP(AO11,'Tablas Magia'!$D$6:$Z$680,6,FALSE))</f>
        <v/>
      </c>
      <c r="AZ12" s="6195"/>
      <c r="BA12" s="6197" t="s">
        <v>6333</v>
      </c>
      <c r="BB12" s="6197"/>
      <c r="BC12" s="434" t="str">
        <f>IF(AO11=0,"",VLOOKUP(AO11,'Tablas Magia'!$D$6:$Z$680,4,FALSE))</f>
        <v/>
      </c>
      <c r="BD12" s="426"/>
      <c r="BE12" s="420"/>
      <c r="BF12" s="2737"/>
      <c r="BG12" s="289"/>
      <c r="BH12" s="6198" t="s">
        <v>6330</v>
      </c>
      <c r="BI12" s="6199"/>
      <c r="BJ12" s="432" t="s">
        <v>6331</v>
      </c>
      <c r="BK12" s="432" t="s">
        <v>1512</v>
      </c>
      <c r="BL12" s="432" t="s">
        <v>2862</v>
      </c>
      <c r="BM12" s="433" t="s">
        <v>1840</v>
      </c>
      <c r="BN12" s="6195" t="str">
        <f>IF(BH11=0,"",VLOOKUP(BH11,'Tablas Magia'!$D$6:$Z$680,5,FALSE))</f>
        <v/>
      </c>
      <c r="BO12" s="6195"/>
      <c r="BP12" s="6196" t="s">
        <v>6332</v>
      </c>
      <c r="BQ12" s="6196"/>
      <c r="BR12" s="6195" t="str">
        <f>IF(BH11=0,"",VLOOKUP(BH11,'Tablas Magia'!$D$6:$Z$680,6,FALSE))</f>
        <v/>
      </c>
      <c r="BS12" s="6195"/>
      <c r="BT12" s="6197" t="s">
        <v>6333</v>
      </c>
      <c r="BU12" s="6197"/>
      <c r="BV12" s="434" t="str">
        <f>IF(BH11=0,"",VLOOKUP(BH11,'Tablas Magia'!$D$6:$Z$680,4,FALSE))</f>
        <v/>
      </c>
      <c r="BW12" s="426"/>
      <c r="BX12" s="2737"/>
    </row>
    <row r="13" spans="1:76" ht="12.2" customHeight="1" x14ac:dyDescent="0.2">
      <c r="A13" s="420"/>
      <c r="B13" s="289"/>
      <c r="C13" s="6190" t="s">
        <v>1368</v>
      </c>
      <c r="D13" s="6191"/>
      <c r="E13" s="435" t="str">
        <f>IF(C11=0,"",VLOOKUP(C11,'Tablas Magia'!$D$6:$Z$680,7,FALSE))</f>
        <v/>
      </c>
      <c r="F13" s="435" t="str">
        <f>IF(C11=0,"",VLOOKUP(C11,'Tablas Magia'!$D$6:$Z$680,11,FALSE))</f>
        <v/>
      </c>
      <c r="G13" s="436" t="str">
        <f>IF(C11=0,"",VLOOKUP(C11,'Tablas Magia'!$D$6:$Z$680,15,FALSE))</f>
        <v/>
      </c>
      <c r="H13" s="6192" t="str">
        <f>IF(C11=0,"",VLOOKUP(C11,'Tablas Magia'!$D$6:$Z$680,19,FALSE))</f>
        <v/>
      </c>
      <c r="I13" s="6193"/>
      <c r="J13" s="6193"/>
      <c r="K13" s="6193"/>
      <c r="L13" s="6193"/>
      <c r="M13" s="6193"/>
      <c r="N13" s="6193"/>
      <c r="O13" s="6193"/>
      <c r="P13" s="6193"/>
      <c r="Q13" s="6194"/>
      <c r="R13" s="426"/>
      <c r="S13" s="420"/>
      <c r="T13" s="420"/>
      <c r="U13" s="289"/>
      <c r="V13" s="6190" t="s">
        <v>1368</v>
      </c>
      <c r="W13" s="6191"/>
      <c r="X13" s="435" t="str">
        <f>IF(V11=0,"",VLOOKUP(V11,'Tablas Magia'!$D$6:$Z$680,7,FALSE))</f>
        <v/>
      </c>
      <c r="Y13" s="435" t="str">
        <f>IF(V11=0,"",VLOOKUP(V11,'Tablas Magia'!$D$6:$Z$680,11,FALSE))</f>
        <v/>
      </c>
      <c r="Z13" s="436" t="str">
        <f>IF(V11=0,"",VLOOKUP(V11,'Tablas Magia'!$D$6:$Z$680,15,FALSE))</f>
        <v/>
      </c>
      <c r="AA13" s="6192" t="str">
        <f>IF(V11=0,"",VLOOKUP(V11,'Tablas Magia'!$D$6:$Z$680,19,FALSE))</f>
        <v/>
      </c>
      <c r="AB13" s="6193"/>
      <c r="AC13" s="6193"/>
      <c r="AD13" s="6193"/>
      <c r="AE13" s="6193"/>
      <c r="AF13" s="6193"/>
      <c r="AG13" s="6193"/>
      <c r="AH13" s="6193"/>
      <c r="AI13" s="6193"/>
      <c r="AJ13" s="6194"/>
      <c r="AK13" s="426"/>
      <c r="AL13" s="420"/>
      <c r="AM13" s="420"/>
      <c r="AN13" s="289"/>
      <c r="AO13" s="6190" t="s">
        <v>1368</v>
      </c>
      <c r="AP13" s="6191"/>
      <c r="AQ13" s="435" t="str">
        <f>IF(AO11=0,"",VLOOKUP(AO11,'Tablas Magia'!$D$6:$Z$680,7,FALSE))</f>
        <v/>
      </c>
      <c r="AR13" s="435" t="str">
        <f>IF(AO11=0,"",VLOOKUP(AO11,'Tablas Magia'!$D$6:$Z$680,11,FALSE))</f>
        <v/>
      </c>
      <c r="AS13" s="436" t="str">
        <f>IF(AO11=0,"",VLOOKUP(AO11,'Tablas Magia'!$D$6:$Z$680,15,FALSE))</f>
        <v/>
      </c>
      <c r="AT13" s="6192" t="str">
        <f>IF(AO11=0,"",VLOOKUP(AO11,'Tablas Magia'!$D$6:$Z$680,19,FALSE))</f>
        <v/>
      </c>
      <c r="AU13" s="6193"/>
      <c r="AV13" s="6193"/>
      <c r="AW13" s="6193"/>
      <c r="AX13" s="6193"/>
      <c r="AY13" s="6193"/>
      <c r="AZ13" s="6193"/>
      <c r="BA13" s="6193"/>
      <c r="BB13" s="6193"/>
      <c r="BC13" s="6194"/>
      <c r="BD13" s="426"/>
      <c r="BE13" s="420"/>
      <c r="BF13" s="2737"/>
      <c r="BG13" s="289"/>
      <c r="BH13" s="6190" t="s">
        <v>1368</v>
      </c>
      <c r="BI13" s="6191"/>
      <c r="BJ13" s="435" t="str">
        <f>IF(BH11=0,"",VLOOKUP(BH11,'Tablas Magia'!$D$6:$Z$680,7,FALSE))</f>
        <v/>
      </c>
      <c r="BK13" s="435" t="str">
        <f>IF(BH11=0,"",VLOOKUP(BH11,'Tablas Magia'!$D$6:$Z$680,11,FALSE))</f>
        <v/>
      </c>
      <c r="BL13" s="436" t="str">
        <f>IF(BH11=0,"",VLOOKUP(BH11,'Tablas Magia'!$D$6:$Z$680,15,FALSE))</f>
        <v/>
      </c>
      <c r="BM13" s="6192" t="str">
        <f>IF(BH11=0,"",VLOOKUP(BH11,'Tablas Magia'!$D$6:$Z$680,19,FALSE))</f>
        <v/>
      </c>
      <c r="BN13" s="6193"/>
      <c r="BO13" s="6193"/>
      <c r="BP13" s="6193"/>
      <c r="BQ13" s="6193"/>
      <c r="BR13" s="6193"/>
      <c r="BS13" s="6193"/>
      <c r="BT13" s="6193"/>
      <c r="BU13" s="6193"/>
      <c r="BV13" s="6194"/>
      <c r="BW13" s="426"/>
      <c r="BX13" s="2737"/>
    </row>
    <row r="14" spans="1:76" ht="12.2" customHeight="1" x14ac:dyDescent="0.2">
      <c r="A14" s="420"/>
      <c r="B14" s="289"/>
      <c r="C14" s="6185" t="s">
        <v>3233</v>
      </c>
      <c r="D14" s="6186"/>
      <c r="E14" s="437" t="str">
        <f>IF(C11=0,"",VLOOKUP(C11,'Tablas Magia'!$D$6:$Z$680,8,FALSE))</f>
        <v/>
      </c>
      <c r="F14" s="437" t="str">
        <f>IF(C11=0,"",VLOOKUP(C11,'Tablas Magia'!$D$6:$Z$680,12,FALSE))</f>
        <v/>
      </c>
      <c r="G14" s="438" t="str">
        <f>IF(C11=0,"",VLOOKUP(C11,'Tablas Magia'!$D$6:$Z$680,16,FALSE))</f>
        <v/>
      </c>
      <c r="H14" s="6187" t="str">
        <f>IF(C11=0,"",VLOOKUP(C11,'Tablas Magia'!$D$6:$Z$680,20,FALSE))</f>
        <v/>
      </c>
      <c r="I14" s="6188"/>
      <c r="J14" s="6188"/>
      <c r="K14" s="6188"/>
      <c r="L14" s="6188"/>
      <c r="M14" s="6188"/>
      <c r="N14" s="6188"/>
      <c r="O14" s="6188"/>
      <c r="P14" s="6188"/>
      <c r="Q14" s="6189"/>
      <c r="R14" s="426"/>
      <c r="S14" s="420"/>
      <c r="T14" s="420"/>
      <c r="U14" s="289"/>
      <c r="V14" s="6185" t="s">
        <v>3233</v>
      </c>
      <c r="W14" s="6186"/>
      <c r="X14" s="437" t="str">
        <f>IF(V11=0,"",VLOOKUP(V11,'Tablas Magia'!$D$6:$Z$680,8,FALSE))</f>
        <v/>
      </c>
      <c r="Y14" s="437" t="str">
        <f>IF(V11=0,"",VLOOKUP(V11,'Tablas Magia'!$D$6:$Z$680,12,FALSE))</f>
        <v/>
      </c>
      <c r="Z14" s="438" t="str">
        <f>IF(V11=0,"",VLOOKUP(V11,'Tablas Magia'!$D$6:$Z$680,16,FALSE))</f>
        <v/>
      </c>
      <c r="AA14" s="6187" t="str">
        <f>IF(V11=0,"",VLOOKUP(V11,'Tablas Magia'!$D$6:$Z$680,20,FALSE))</f>
        <v/>
      </c>
      <c r="AB14" s="6188"/>
      <c r="AC14" s="6188"/>
      <c r="AD14" s="6188"/>
      <c r="AE14" s="6188"/>
      <c r="AF14" s="6188"/>
      <c r="AG14" s="6188"/>
      <c r="AH14" s="6188"/>
      <c r="AI14" s="6188"/>
      <c r="AJ14" s="6189"/>
      <c r="AK14" s="426"/>
      <c r="AL14" s="420"/>
      <c r="AM14" s="420"/>
      <c r="AN14" s="289"/>
      <c r="AO14" s="6185" t="s">
        <v>3233</v>
      </c>
      <c r="AP14" s="6186"/>
      <c r="AQ14" s="437" t="str">
        <f>IF(AO11=0,"",VLOOKUP(AO11,'Tablas Magia'!$D$6:$Z$680,8,FALSE))</f>
        <v/>
      </c>
      <c r="AR14" s="437" t="str">
        <f>IF(AO11=0,"",VLOOKUP(AO11,'Tablas Magia'!$D$6:$Z$680,12,FALSE))</f>
        <v/>
      </c>
      <c r="AS14" s="438" t="str">
        <f>IF(AO11=0,"",VLOOKUP(AO11,'Tablas Magia'!$D$6:$Z$680,16,FALSE))</f>
        <v/>
      </c>
      <c r="AT14" s="6187" t="str">
        <f>IF(AO11=0,"",VLOOKUP(AO11,'Tablas Magia'!$D$6:$Z$680,20,FALSE))</f>
        <v/>
      </c>
      <c r="AU14" s="6188"/>
      <c r="AV14" s="6188"/>
      <c r="AW14" s="6188"/>
      <c r="AX14" s="6188"/>
      <c r="AY14" s="6188"/>
      <c r="AZ14" s="6188"/>
      <c r="BA14" s="6188"/>
      <c r="BB14" s="6188"/>
      <c r="BC14" s="6189"/>
      <c r="BD14" s="426"/>
      <c r="BE14" s="420"/>
      <c r="BF14" s="2737"/>
      <c r="BG14" s="289"/>
      <c r="BH14" s="6185" t="s">
        <v>3233</v>
      </c>
      <c r="BI14" s="6186"/>
      <c r="BJ14" s="437" t="str">
        <f>IF(BH11=0,"",VLOOKUP(BH11,'Tablas Magia'!$D$6:$Z$680,8,FALSE))</f>
        <v/>
      </c>
      <c r="BK14" s="437" t="str">
        <f>IF(BH11=0,"",VLOOKUP(BH11,'Tablas Magia'!$D$6:$Z$680,12,FALSE))</f>
        <v/>
      </c>
      <c r="BL14" s="438" t="str">
        <f>IF(BH11=0,"",VLOOKUP(BH11,'Tablas Magia'!$D$6:$Z$680,16,FALSE))</f>
        <v/>
      </c>
      <c r="BM14" s="6187" t="str">
        <f>IF(BH11=0,"",VLOOKUP(BH11,'Tablas Magia'!$D$6:$Z$680,20,FALSE))</f>
        <v/>
      </c>
      <c r="BN14" s="6188"/>
      <c r="BO14" s="6188"/>
      <c r="BP14" s="6188"/>
      <c r="BQ14" s="6188"/>
      <c r="BR14" s="6188"/>
      <c r="BS14" s="6188"/>
      <c r="BT14" s="6188"/>
      <c r="BU14" s="6188"/>
      <c r="BV14" s="6189"/>
      <c r="BW14" s="426"/>
      <c r="BX14" s="2737"/>
    </row>
    <row r="15" spans="1:76" ht="12.2" customHeight="1" x14ac:dyDescent="0.2">
      <c r="A15" s="420"/>
      <c r="B15" s="289"/>
      <c r="C15" s="6190" t="s">
        <v>3234</v>
      </c>
      <c r="D15" s="6191"/>
      <c r="E15" s="435" t="str">
        <f>IF(C11=0,"",VLOOKUP(C11,'Tablas Magia'!$D$6:$Z$680,9,FALSE))</f>
        <v/>
      </c>
      <c r="F15" s="435" t="str">
        <f>IF(C11=0,"",VLOOKUP(C11,'Tablas Magia'!$D$6:$Z$680,13,FALSE))</f>
        <v/>
      </c>
      <c r="G15" s="436" t="str">
        <f>IF(C11=0,"",VLOOKUP(C11,'Tablas Magia'!$D$6:$Z$680,17,FALSE))</f>
        <v/>
      </c>
      <c r="H15" s="6192" t="str">
        <f>IF(C11=0,"",VLOOKUP(C11,'Tablas Magia'!$D$6:$Z$680,21,FALSE))</f>
        <v/>
      </c>
      <c r="I15" s="6193"/>
      <c r="J15" s="6193"/>
      <c r="K15" s="6193"/>
      <c r="L15" s="6193"/>
      <c r="M15" s="6193"/>
      <c r="N15" s="6193"/>
      <c r="O15" s="6193"/>
      <c r="P15" s="6193"/>
      <c r="Q15" s="6194"/>
      <c r="R15" s="426"/>
      <c r="S15" s="420"/>
      <c r="T15" s="420"/>
      <c r="U15" s="289"/>
      <c r="V15" s="6190" t="s">
        <v>3234</v>
      </c>
      <c r="W15" s="6191"/>
      <c r="X15" s="435" t="str">
        <f>IF(V11=0,"",VLOOKUP(V11,'Tablas Magia'!$D$6:$Z$680,9,FALSE))</f>
        <v/>
      </c>
      <c r="Y15" s="435" t="str">
        <f>IF(V11=0,"",VLOOKUP(V11,'Tablas Magia'!$D$6:$Z$680,13,FALSE))</f>
        <v/>
      </c>
      <c r="Z15" s="436" t="str">
        <f>IF(V11=0,"",VLOOKUP(V11,'Tablas Magia'!$D$6:$Z$680,17,FALSE))</f>
        <v/>
      </c>
      <c r="AA15" s="6192" t="str">
        <f>IF(V11=0,"",VLOOKUP(V11,'Tablas Magia'!$D$6:$Z$680,21,FALSE))</f>
        <v/>
      </c>
      <c r="AB15" s="6193"/>
      <c r="AC15" s="6193"/>
      <c r="AD15" s="6193"/>
      <c r="AE15" s="6193"/>
      <c r="AF15" s="6193"/>
      <c r="AG15" s="6193"/>
      <c r="AH15" s="6193"/>
      <c r="AI15" s="6193"/>
      <c r="AJ15" s="6194"/>
      <c r="AK15" s="426"/>
      <c r="AL15" s="420"/>
      <c r="AM15" s="420"/>
      <c r="AN15" s="289"/>
      <c r="AO15" s="6190" t="s">
        <v>3234</v>
      </c>
      <c r="AP15" s="6191"/>
      <c r="AQ15" s="435" t="str">
        <f>IF(AO11=0,"",VLOOKUP(AO11,'Tablas Magia'!$D$6:$Z$680,9,FALSE))</f>
        <v/>
      </c>
      <c r="AR15" s="435" t="str">
        <f>IF(AO11=0,"",VLOOKUP(AO11,'Tablas Magia'!$D$6:$Z$680,13,FALSE))</f>
        <v/>
      </c>
      <c r="AS15" s="436" t="str">
        <f>IF(AO11=0,"",VLOOKUP(AO11,'Tablas Magia'!$D$6:$Z$680,17,FALSE))</f>
        <v/>
      </c>
      <c r="AT15" s="6192" t="str">
        <f>IF(AO11=0,"",VLOOKUP(AO11,'Tablas Magia'!$D$6:$Z$680,21,FALSE))</f>
        <v/>
      </c>
      <c r="AU15" s="6193"/>
      <c r="AV15" s="6193"/>
      <c r="AW15" s="6193"/>
      <c r="AX15" s="6193"/>
      <c r="AY15" s="6193"/>
      <c r="AZ15" s="6193"/>
      <c r="BA15" s="6193"/>
      <c r="BB15" s="6193"/>
      <c r="BC15" s="6194"/>
      <c r="BD15" s="426"/>
      <c r="BE15" s="420"/>
      <c r="BF15" s="2737"/>
      <c r="BG15" s="289"/>
      <c r="BH15" s="6190" t="s">
        <v>3234</v>
      </c>
      <c r="BI15" s="6191"/>
      <c r="BJ15" s="435" t="str">
        <f>IF(BH11=0,"",VLOOKUP(BH11,'Tablas Magia'!$D$6:$Z$680,9,FALSE))</f>
        <v/>
      </c>
      <c r="BK15" s="435" t="str">
        <f>IF(BH11=0,"",VLOOKUP(BH11,'Tablas Magia'!$D$6:$Z$680,13,FALSE))</f>
        <v/>
      </c>
      <c r="BL15" s="436" t="str">
        <f>IF(BH11=0,"",VLOOKUP(BH11,'Tablas Magia'!$D$6:$Z$680,17,FALSE))</f>
        <v/>
      </c>
      <c r="BM15" s="6192" t="str">
        <f>IF(BH11=0,"",VLOOKUP(BH11,'Tablas Magia'!$D$6:$Z$680,21,FALSE))</f>
        <v/>
      </c>
      <c r="BN15" s="6193"/>
      <c r="BO15" s="6193"/>
      <c r="BP15" s="6193"/>
      <c r="BQ15" s="6193"/>
      <c r="BR15" s="6193"/>
      <c r="BS15" s="6193"/>
      <c r="BT15" s="6193"/>
      <c r="BU15" s="6193"/>
      <c r="BV15" s="6194"/>
      <c r="BW15" s="426"/>
      <c r="BX15" s="2737"/>
    </row>
    <row r="16" spans="1:76" ht="12.2" customHeight="1" thickBot="1" x14ac:dyDescent="0.25">
      <c r="A16" s="420"/>
      <c r="B16" s="289"/>
      <c r="C16" s="6200" t="s">
        <v>3235</v>
      </c>
      <c r="D16" s="6201"/>
      <c r="E16" s="439" t="str">
        <f>IF(C11=0,"",VLOOKUP(C11,'Tablas Magia'!$D$6:$Z$680,10,FALSE))</f>
        <v/>
      </c>
      <c r="F16" s="439" t="str">
        <f>IF(C11=0,"",VLOOKUP(C11,'Tablas Magia'!$D$6:$Z$680,14,FALSE))</f>
        <v/>
      </c>
      <c r="G16" s="440" t="str">
        <f>IF(C11=0,"",VLOOKUP(C11,'Tablas Magia'!$D$6:$Z$680,18,FALSE))</f>
        <v/>
      </c>
      <c r="H16" s="6202" t="str">
        <f>IF(C11=0,"",VLOOKUP(C11,'Tablas Magia'!$D$6:$Z$680,22,FALSE))</f>
        <v/>
      </c>
      <c r="I16" s="6203"/>
      <c r="J16" s="6203"/>
      <c r="K16" s="6203"/>
      <c r="L16" s="6203"/>
      <c r="M16" s="6203"/>
      <c r="N16" s="6203"/>
      <c r="O16" s="6203"/>
      <c r="P16" s="6203"/>
      <c r="Q16" s="6204"/>
      <c r="R16" s="426"/>
      <c r="S16" s="420"/>
      <c r="T16" s="420"/>
      <c r="U16" s="289"/>
      <c r="V16" s="6200" t="s">
        <v>3235</v>
      </c>
      <c r="W16" s="6201"/>
      <c r="X16" s="439" t="str">
        <f>IF(V11=0,"",VLOOKUP(V11,'Tablas Magia'!$D$6:$Z$680,10,FALSE))</f>
        <v/>
      </c>
      <c r="Y16" s="439" t="str">
        <f>IF(V11=0,"",VLOOKUP(V11,'Tablas Magia'!$D$6:$Z$680,14,FALSE))</f>
        <v/>
      </c>
      <c r="Z16" s="440" t="str">
        <f>IF(V11=0,"",VLOOKUP(V11,'Tablas Magia'!$D$6:$Z$680,18,FALSE))</f>
        <v/>
      </c>
      <c r="AA16" s="6202" t="str">
        <f>IF(V11=0,"",VLOOKUP(V11,'Tablas Magia'!$D$6:$Z$680,22,FALSE))</f>
        <v/>
      </c>
      <c r="AB16" s="6203"/>
      <c r="AC16" s="6203"/>
      <c r="AD16" s="6203"/>
      <c r="AE16" s="6203"/>
      <c r="AF16" s="6203"/>
      <c r="AG16" s="6203"/>
      <c r="AH16" s="6203"/>
      <c r="AI16" s="6203"/>
      <c r="AJ16" s="6204"/>
      <c r="AK16" s="426"/>
      <c r="AL16" s="420"/>
      <c r="AM16" s="420"/>
      <c r="AN16" s="289"/>
      <c r="AO16" s="6200" t="s">
        <v>3235</v>
      </c>
      <c r="AP16" s="6201"/>
      <c r="AQ16" s="439" t="str">
        <f>IF(AO11=0,"",VLOOKUP(AO11,'Tablas Magia'!$D$6:$Z$680,10,FALSE))</f>
        <v/>
      </c>
      <c r="AR16" s="439" t="str">
        <f>IF(AO11=0,"",VLOOKUP(AO11,'Tablas Magia'!$D$6:$Z$680,14,FALSE))</f>
        <v/>
      </c>
      <c r="AS16" s="440" t="str">
        <f>IF(AO11=0,"",VLOOKUP(AO11,'Tablas Magia'!$D$6:$Z$680,18,FALSE))</f>
        <v/>
      </c>
      <c r="AT16" s="6202" t="str">
        <f>IF(AO11=0,"",VLOOKUP(AO11,'Tablas Magia'!$D$6:$Z$680,22,FALSE))</f>
        <v/>
      </c>
      <c r="AU16" s="6203"/>
      <c r="AV16" s="6203"/>
      <c r="AW16" s="6203"/>
      <c r="AX16" s="6203"/>
      <c r="AY16" s="6203"/>
      <c r="AZ16" s="6203"/>
      <c r="BA16" s="6203"/>
      <c r="BB16" s="6203"/>
      <c r="BC16" s="6204"/>
      <c r="BD16" s="426"/>
      <c r="BE16" s="420"/>
      <c r="BF16" s="2737"/>
      <c r="BG16" s="289"/>
      <c r="BH16" s="6200" t="s">
        <v>3235</v>
      </c>
      <c r="BI16" s="6201"/>
      <c r="BJ16" s="439" t="str">
        <f>IF(BH11=0,"",VLOOKUP(BH11,'Tablas Magia'!$D$6:$Z$680,10,FALSE))</f>
        <v/>
      </c>
      <c r="BK16" s="439" t="str">
        <f>IF(BH11=0,"",VLOOKUP(BH11,'Tablas Magia'!$D$6:$Z$680,14,FALSE))</f>
        <v/>
      </c>
      <c r="BL16" s="440" t="str">
        <f>IF(BH11=0,"",VLOOKUP(BH11,'Tablas Magia'!$D$6:$Z$680,18,FALSE))</f>
        <v/>
      </c>
      <c r="BM16" s="6202" t="str">
        <f>IF(BH11=0,"",VLOOKUP(BH11,'Tablas Magia'!$D$6:$Z$680,22,FALSE))</f>
        <v/>
      </c>
      <c r="BN16" s="6203"/>
      <c r="BO16" s="6203"/>
      <c r="BP16" s="6203"/>
      <c r="BQ16" s="6203"/>
      <c r="BR16" s="6203"/>
      <c r="BS16" s="6203"/>
      <c r="BT16" s="6203"/>
      <c r="BU16" s="6203"/>
      <c r="BV16" s="6204"/>
      <c r="BW16" s="426"/>
      <c r="BX16" s="2737"/>
    </row>
    <row r="17" spans="1:76" ht="12.2" customHeight="1" x14ac:dyDescent="0.2">
      <c r="A17" s="420"/>
      <c r="B17" s="289"/>
      <c r="C17" s="6205" t="str">
        <f>IF(C11=0,"",VLOOKUP(C11,'Tablas Magia'!$D$6:$Z$680,23,FALSE))</f>
        <v/>
      </c>
      <c r="D17" s="6206"/>
      <c r="E17" s="6206"/>
      <c r="F17" s="6206"/>
      <c r="G17" s="6206"/>
      <c r="H17" s="6206"/>
      <c r="I17" s="6206"/>
      <c r="J17" s="6206"/>
      <c r="K17" s="6206"/>
      <c r="L17" s="6206"/>
      <c r="M17" s="6206"/>
      <c r="N17" s="6206"/>
      <c r="O17" s="6206"/>
      <c r="P17" s="6206"/>
      <c r="Q17" s="6207"/>
      <c r="R17" s="426"/>
      <c r="S17" s="420"/>
      <c r="T17" s="420"/>
      <c r="U17" s="289"/>
      <c r="V17" s="6205" t="str">
        <f>IF(V11=0,"",VLOOKUP(V11,'Tablas Magia'!$D$6:$Z$680,23,FALSE))</f>
        <v/>
      </c>
      <c r="W17" s="6206"/>
      <c r="X17" s="6206"/>
      <c r="Y17" s="6206"/>
      <c r="Z17" s="6206"/>
      <c r="AA17" s="6206"/>
      <c r="AB17" s="6206"/>
      <c r="AC17" s="6206"/>
      <c r="AD17" s="6206"/>
      <c r="AE17" s="6206"/>
      <c r="AF17" s="6206"/>
      <c r="AG17" s="6206"/>
      <c r="AH17" s="6206"/>
      <c r="AI17" s="6206"/>
      <c r="AJ17" s="6207"/>
      <c r="AK17" s="426"/>
      <c r="AL17" s="420"/>
      <c r="AM17" s="420"/>
      <c r="AN17" s="289"/>
      <c r="AO17" s="6205" t="str">
        <f>IF(AO11=0,"",VLOOKUP(AO11,'Tablas Magia'!$D$6:$Z$680,23,FALSE))</f>
        <v/>
      </c>
      <c r="AP17" s="6206"/>
      <c r="AQ17" s="6206"/>
      <c r="AR17" s="6206"/>
      <c r="AS17" s="6206"/>
      <c r="AT17" s="6206"/>
      <c r="AU17" s="6206"/>
      <c r="AV17" s="6206"/>
      <c r="AW17" s="6206"/>
      <c r="AX17" s="6206"/>
      <c r="AY17" s="6206"/>
      <c r="AZ17" s="6206"/>
      <c r="BA17" s="6206"/>
      <c r="BB17" s="6206"/>
      <c r="BC17" s="6207"/>
      <c r="BD17" s="426"/>
      <c r="BE17" s="420"/>
      <c r="BF17" s="2737"/>
      <c r="BG17" s="289"/>
      <c r="BH17" s="6205" t="str">
        <f>IF(BH11=0,"",VLOOKUP(BH11,'Tablas Magia'!$D$6:$Z$680,23,FALSE))</f>
        <v/>
      </c>
      <c r="BI17" s="6206"/>
      <c r="BJ17" s="6206"/>
      <c r="BK17" s="6206"/>
      <c r="BL17" s="6206"/>
      <c r="BM17" s="6206"/>
      <c r="BN17" s="6206"/>
      <c r="BO17" s="6206"/>
      <c r="BP17" s="6206"/>
      <c r="BQ17" s="6206"/>
      <c r="BR17" s="6206"/>
      <c r="BS17" s="6206"/>
      <c r="BT17" s="6206"/>
      <c r="BU17" s="6206"/>
      <c r="BV17" s="6207"/>
      <c r="BW17" s="426"/>
      <c r="BX17" s="2737"/>
    </row>
    <row r="18" spans="1:76" ht="12.2" customHeight="1" x14ac:dyDescent="0.2">
      <c r="A18" s="420"/>
      <c r="B18" s="289"/>
      <c r="C18" s="6208"/>
      <c r="D18" s="6209"/>
      <c r="E18" s="6209"/>
      <c r="F18" s="6209"/>
      <c r="G18" s="6209"/>
      <c r="H18" s="6209"/>
      <c r="I18" s="6209"/>
      <c r="J18" s="6209"/>
      <c r="K18" s="6209"/>
      <c r="L18" s="6209"/>
      <c r="M18" s="6209"/>
      <c r="N18" s="6209"/>
      <c r="O18" s="6209"/>
      <c r="P18" s="6209"/>
      <c r="Q18" s="6210"/>
      <c r="R18" s="426"/>
      <c r="S18" s="420"/>
      <c r="T18" s="420"/>
      <c r="U18" s="289"/>
      <c r="V18" s="6208"/>
      <c r="W18" s="6209"/>
      <c r="X18" s="6209"/>
      <c r="Y18" s="6209"/>
      <c r="Z18" s="6209"/>
      <c r="AA18" s="6209"/>
      <c r="AB18" s="6209"/>
      <c r="AC18" s="6209"/>
      <c r="AD18" s="6209"/>
      <c r="AE18" s="6209"/>
      <c r="AF18" s="6209"/>
      <c r="AG18" s="6209"/>
      <c r="AH18" s="6209"/>
      <c r="AI18" s="6209"/>
      <c r="AJ18" s="6210"/>
      <c r="AK18" s="426"/>
      <c r="AL18" s="420"/>
      <c r="AM18" s="420"/>
      <c r="AN18" s="289"/>
      <c r="AO18" s="6208"/>
      <c r="AP18" s="6209"/>
      <c r="AQ18" s="6209"/>
      <c r="AR18" s="6209"/>
      <c r="AS18" s="6209"/>
      <c r="AT18" s="6209"/>
      <c r="AU18" s="6209"/>
      <c r="AV18" s="6209"/>
      <c r="AW18" s="6209"/>
      <c r="AX18" s="6209"/>
      <c r="AY18" s="6209"/>
      <c r="AZ18" s="6209"/>
      <c r="BA18" s="6209"/>
      <c r="BB18" s="6209"/>
      <c r="BC18" s="6210"/>
      <c r="BD18" s="426"/>
      <c r="BE18" s="420"/>
      <c r="BF18" s="2737"/>
      <c r="BG18" s="289"/>
      <c r="BH18" s="6208"/>
      <c r="BI18" s="6209"/>
      <c r="BJ18" s="6209"/>
      <c r="BK18" s="6209"/>
      <c r="BL18" s="6209"/>
      <c r="BM18" s="6209"/>
      <c r="BN18" s="6209"/>
      <c r="BO18" s="6209"/>
      <c r="BP18" s="6209"/>
      <c r="BQ18" s="6209"/>
      <c r="BR18" s="6209"/>
      <c r="BS18" s="6209"/>
      <c r="BT18" s="6209"/>
      <c r="BU18" s="6209"/>
      <c r="BV18" s="6210"/>
      <c r="BW18" s="426"/>
      <c r="BX18" s="2737"/>
    </row>
    <row r="19" spans="1:76" ht="12.2" customHeight="1" x14ac:dyDescent="0.2">
      <c r="A19" s="420"/>
      <c r="B19" s="289"/>
      <c r="C19" s="6208"/>
      <c r="D19" s="6209"/>
      <c r="E19" s="6209"/>
      <c r="F19" s="6209"/>
      <c r="G19" s="6209"/>
      <c r="H19" s="6209"/>
      <c r="I19" s="6209"/>
      <c r="J19" s="6209"/>
      <c r="K19" s="6209"/>
      <c r="L19" s="6209"/>
      <c r="M19" s="6209"/>
      <c r="N19" s="6209"/>
      <c r="O19" s="6209"/>
      <c r="P19" s="6209"/>
      <c r="Q19" s="6210"/>
      <c r="R19" s="426"/>
      <c r="S19" s="420"/>
      <c r="T19" s="420"/>
      <c r="U19" s="289"/>
      <c r="V19" s="6208"/>
      <c r="W19" s="6209"/>
      <c r="X19" s="6209"/>
      <c r="Y19" s="6209"/>
      <c r="Z19" s="6209"/>
      <c r="AA19" s="6209"/>
      <c r="AB19" s="6209"/>
      <c r="AC19" s="6209"/>
      <c r="AD19" s="6209"/>
      <c r="AE19" s="6209"/>
      <c r="AF19" s="6209"/>
      <c r="AG19" s="6209"/>
      <c r="AH19" s="6209"/>
      <c r="AI19" s="6209"/>
      <c r="AJ19" s="6210"/>
      <c r="AK19" s="426"/>
      <c r="AL19" s="420"/>
      <c r="AM19" s="420"/>
      <c r="AN19" s="289"/>
      <c r="AO19" s="6208"/>
      <c r="AP19" s="6209"/>
      <c r="AQ19" s="6209"/>
      <c r="AR19" s="6209"/>
      <c r="AS19" s="6209"/>
      <c r="AT19" s="6209"/>
      <c r="AU19" s="6209"/>
      <c r="AV19" s="6209"/>
      <c r="AW19" s="6209"/>
      <c r="AX19" s="6209"/>
      <c r="AY19" s="6209"/>
      <c r="AZ19" s="6209"/>
      <c r="BA19" s="6209"/>
      <c r="BB19" s="6209"/>
      <c r="BC19" s="6210"/>
      <c r="BD19" s="426"/>
      <c r="BE19" s="420"/>
      <c r="BF19" s="2737"/>
      <c r="BG19" s="289"/>
      <c r="BH19" s="6208"/>
      <c r="BI19" s="6209"/>
      <c r="BJ19" s="6209"/>
      <c r="BK19" s="6209"/>
      <c r="BL19" s="6209"/>
      <c r="BM19" s="6209"/>
      <c r="BN19" s="6209"/>
      <c r="BO19" s="6209"/>
      <c r="BP19" s="6209"/>
      <c r="BQ19" s="6209"/>
      <c r="BR19" s="6209"/>
      <c r="BS19" s="6209"/>
      <c r="BT19" s="6209"/>
      <c r="BU19" s="6209"/>
      <c r="BV19" s="6210"/>
      <c r="BW19" s="426"/>
      <c r="BX19" s="2737"/>
    </row>
    <row r="20" spans="1:76" ht="12.2" customHeight="1" thickBot="1" x14ac:dyDescent="0.25">
      <c r="A20" s="420"/>
      <c r="B20" s="289"/>
      <c r="C20" s="6211"/>
      <c r="D20" s="6212"/>
      <c r="E20" s="6212"/>
      <c r="F20" s="6212"/>
      <c r="G20" s="6212"/>
      <c r="H20" s="6212"/>
      <c r="I20" s="6212"/>
      <c r="J20" s="6212"/>
      <c r="K20" s="6212"/>
      <c r="L20" s="6212"/>
      <c r="M20" s="6212"/>
      <c r="N20" s="6212"/>
      <c r="O20" s="6212"/>
      <c r="P20" s="6212"/>
      <c r="Q20" s="6213"/>
      <c r="R20" s="426"/>
      <c r="S20" s="420"/>
      <c r="T20" s="420"/>
      <c r="U20" s="289"/>
      <c r="V20" s="6211"/>
      <c r="W20" s="6212"/>
      <c r="X20" s="6212"/>
      <c r="Y20" s="6212"/>
      <c r="Z20" s="6212"/>
      <c r="AA20" s="6212"/>
      <c r="AB20" s="6212"/>
      <c r="AC20" s="6212"/>
      <c r="AD20" s="6212"/>
      <c r="AE20" s="6212"/>
      <c r="AF20" s="6212"/>
      <c r="AG20" s="6212"/>
      <c r="AH20" s="6212"/>
      <c r="AI20" s="6212"/>
      <c r="AJ20" s="6213"/>
      <c r="AK20" s="426"/>
      <c r="AL20" s="420"/>
      <c r="AM20" s="420"/>
      <c r="AN20" s="289"/>
      <c r="AO20" s="6211"/>
      <c r="AP20" s="6212"/>
      <c r="AQ20" s="6212"/>
      <c r="AR20" s="6212"/>
      <c r="AS20" s="6212"/>
      <c r="AT20" s="6212"/>
      <c r="AU20" s="6212"/>
      <c r="AV20" s="6212"/>
      <c r="AW20" s="6212"/>
      <c r="AX20" s="6212"/>
      <c r="AY20" s="6212"/>
      <c r="AZ20" s="6212"/>
      <c r="BA20" s="6212"/>
      <c r="BB20" s="6212"/>
      <c r="BC20" s="6213"/>
      <c r="BD20" s="426"/>
      <c r="BE20" s="420"/>
      <c r="BF20" s="2737"/>
      <c r="BG20" s="289"/>
      <c r="BH20" s="6211"/>
      <c r="BI20" s="6212"/>
      <c r="BJ20" s="6212"/>
      <c r="BK20" s="6212"/>
      <c r="BL20" s="6212"/>
      <c r="BM20" s="6212"/>
      <c r="BN20" s="6212"/>
      <c r="BO20" s="6212"/>
      <c r="BP20" s="6212"/>
      <c r="BQ20" s="6212"/>
      <c r="BR20" s="6212"/>
      <c r="BS20" s="6212"/>
      <c r="BT20" s="6212"/>
      <c r="BU20" s="6212"/>
      <c r="BV20" s="6213"/>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180"/>
      <c r="D22" s="6181"/>
      <c r="E22" s="6181"/>
      <c r="F22" s="6181"/>
      <c r="G22" s="6181"/>
      <c r="H22" s="430" t="s">
        <v>1328</v>
      </c>
      <c r="I22" s="431" t="str">
        <f>IF(C22=0,"",VLOOKUP(C22,'Tablas Magia'!$D$6:$Z$680,3,FALSE))</f>
        <v/>
      </c>
      <c r="J22" s="6182" t="s">
        <v>6329</v>
      </c>
      <c r="K22" s="6182"/>
      <c r="L22" s="6182"/>
      <c r="M22" s="6183" t="str">
        <f>IF(C22=0,"",VLOOKUP(C22,'Tablas Magia'!$D$6:$Z$680,2,FALSE))</f>
        <v/>
      </c>
      <c r="N22" s="6183"/>
      <c r="O22" s="6183"/>
      <c r="P22" s="6183"/>
      <c r="Q22" s="6184"/>
      <c r="R22" s="426"/>
      <c r="S22" s="420"/>
      <c r="T22" s="420"/>
      <c r="U22" s="289"/>
      <c r="V22" s="6180"/>
      <c r="W22" s="6181"/>
      <c r="X22" s="6181"/>
      <c r="Y22" s="6181"/>
      <c r="Z22" s="6181"/>
      <c r="AA22" s="430" t="s">
        <v>1328</v>
      </c>
      <c r="AB22" s="431" t="str">
        <f>IF(V22=0,"",VLOOKUP(V22,'Tablas Magia'!$D$6:$Z$680,3,FALSE))</f>
        <v/>
      </c>
      <c r="AC22" s="6182" t="s">
        <v>6329</v>
      </c>
      <c r="AD22" s="6182"/>
      <c r="AE22" s="6182"/>
      <c r="AF22" s="6183" t="str">
        <f>IF(V22=0,"",VLOOKUP(V22,'Tablas Magia'!$D$6:$Z$680,2,FALSE))</f>
        <v/>
      </c>
      <c r="AG22" s="6183"/>
      <c r="AH22" s="6183"/>
      <c r="AI22" s="6183"/>
      <c r="AJ22" s="6184"/>
      <c r="AK22" s="426"/>
      <c r="AL22" s="420"/>
      <c r="AM22" s="420"/>
      <c r="AN22" s="289"/>
      <c r="AO22" s="6180"/>
      <c r="AP22" s="6181"/>
      <c r="AQ22" s="6181"/>
      <c r="AR22" s="6181"/>
      <c r="AS22" s="6181"/>
      <c r="AT22" s="430" t="s">
        <v>1328</v>
      </c>
      <c r="AU22" s="431" t="str">
        <f>IF(AO22=0,"",VLOOKUP(AO22,'Tablas Magia'!$D$6:$Z$680,3,FALSE))</f>
        <v/>
      </c>
      <c r="AV22" s="6182" t="s">
        <v>6329</v>
      </c>
      <c r="AW22" s="6182"/>
      <c r="AX22" s="6182"/>
      <c r="AY22" s="6183" t="str">
        <f>IF(AO22=0,"",VLOOKUP(AO22,'Tablas Magia'!$D$6:$Z$680,2,FALSE))</f>
        <v/>
      </c>
      <c r="AZ22" s="6183"/>
      <c r="BA22" s="6183"/>
      <c r="BB22" s="6183"/>
      <c r="BC22" s="6184"/>
      <c r="BD22" s="426"/>
      <c r="BE22" s="420"/>
      <c r="BF22" s="2737"/>
      <c r="BG22" s="289"/>
      <c r="BH22" s="6180"/>
      <c r="BI22" s="6181"/>
      <c r="BJ22" s="6181"/>
      <c r="BK22" s="6181"/>
      <c r="BL22" s="6181"/>
      <c r="BM22" s="430" t="s">
        <v>1328</v>
      </c>
      <c r="BN22" s="431" t="str">
        <f>IF(BH22=0,"",VLOOKUP(BH22,'Tablas Magia'!$D$6:$Z$680,3,FALSE))</f>
        <v/>
      </c>
      <c r="BO22" s="6182" t="s">
        <v>6329</v>
      </c>
      <c r="BP22" s="6182"/>
      <c r="BQ22" s="6182"/>
      <c r="BR22" s="6183" t="str">
        <f>IF(BH22=0,"",VLOOKUP(BH22,'Tablas Magia'!$D$6:$Z$680,2,FALSE))</f>
        <v/>
      </c>
      <c r="BS22" s="6183"/>
      <c r="BT22" s="6183"/>
      <c r="BU22" s="6183"/>
      <c r="BV22" s="6184"/>
      <c r="BW22" s="426"/>
      <c r="BX22" s="2737"/>
    </row>
    <row r="23" spans="1:76" ht="12.2" customHeight="1" x14ac:dyDescent="0.2">
      <c r="A23" s="420"/>
      <c r="B23" s="289"/>
      <c r="C23" s="6198" t="s">
        <v>6330</v>
      </c>
      <c r="D23" s="6199"/>
      <c r="E23" s="432" t="s">
        <v>6331</v>
      </c>
      <c r="F23" s="432" t="s">
        <v>1512</v>
      </c>
      <c r="G23" s="432" t="s">
        <v>2862</v>
      </c>
      <c r="H23" s="433" t="s">
        <v>1840</v>
      </c>
      <c r="I23" s="6195" t="str">
        <f>IF(C22=0,"",VLOOKUP(C22,'Tablas Magia'!$D$6:$Z$680,5,FALSE))</f>
        <v/>
      </c>
      <c r="J23" s="6195"/>
      <c r="K23" s="6196" t="s">
        <v>6332</v>
      </c>
      <c r="L23" s="6196"/>
      <c r="M23" s="6195" t="str">
        <f>IF(C22=0,"",VLOOKUP(C22,'Tablas Magia'!$D$6:$Z$680,6,FALSE))</f>
        <v/>
      </c>
      <c r="N23" s="6195"/>
      <c r="O23" s="6197" t="s">
        <v>6333</v>
      </c>
      <c r="P23" s="6197"/>
      <c r="Q23" s="434" t="str">
        <f>IF(C22=0,"",VLOOKUP(C22,'Tablas Magia'!$D$6:$Z$680,4,FALSE))</f>
        <v/>
      </c>
      <c r="R23" s="426"/>
      <c r="S23" s="420"/>
      <c r="T23" s="420"/>
      <c r="U23" s="289"/>
      <c r="V23" s="6198" t="s">
        <v>6330</v>
      </c>
      <c r="W23" s="6199"/>
      <c r="X23" s="432" t="s">
        <v>6331</v>
      </c>
      <c r="Y23" s="432" t="s">
        <v>1512</v>
      </c>
      <c r="Z23" s="432" t="s">
        <v>2862</v>
      </c>
      <c r="AA23" s="433" t="s">
        <v>1840</v>
      </c>
      <c r="AB23" s="6195" t="str">
        <f>IF(V22=0,"",VLOOKUP(V22,'Tablas Magia'!$D$6:$Z$680,5,FALSE))</f>
        <v/>
      </c>
      <c r="AC23" s="6195"/>
      <c r="AD23" s="6196" t="s">
        <v>6332</v>
      </c>
      <c r="AE23" s="6196"/>
      <c r="AF23" s="6195" t="str">
        <f>IF(V22=0,"",VLOOKUP(V22,'Tablas Magia'!$D$6:$Z$680,6,FALSE))</f>
        <v/>
      </c>
      <c r="AG23" s="6195"/>
      <c r="AH23" s="6197" t="s">
        <v>6333</v>
      </c>
      <c r="AI23" s="6197"/>
      <c r="AJ23" s="434" t="str">
        <f>IF(V22=0,"",VLOOKUP(V22,'Tablas Magia'!$D$6:$Z$680,4,FALSE))</f>
        <v/>
      </c>
      <c r="AK23" s="426"/>
      <c r="AL23" s="420"/>
      <c r="AM23" s="420"/>
      <c r="AN23" s="289"/>
      <c r="AO23" s="6198" t="s">
        <v>6330</v>
      </c>
      <c r="AP23" s="6199"/>
      <c r="AQ23" s="432" t="s">
        <v>6331</v>
      </c>
      <c r="AR23" s="432" t="s">
        <v>1512</v>
      </c>
      <c r="AS23" s="432" t="s">
        <v>2862</v>
      </c>
      <c r="AT23" s="433" t="s">
        <v>1840</v>
      </c>
      <c r="AU23" s="6195" t="str">
        <f>IF(AO22=0,"",VLOOKUP(AO22,'Tablas Magia'!$D$6:$Z$680,5,FALSE))</f>
        <v/>
      </c>
      <c r="AV23" s="6195"/>
      <c r="AW23" s="6196" t="s">
        <v>6332</v>
      </c>
      <c r="AX23" s="6196"/>
      <c r="AY23" s="6195" t="str">
        <f>IF(AO22=0,"",VLOOKUP(AO22,'Tablas Magia'!$D$6:$Z$680,6,FALSE))</f>
        <v/>
      </c>
      <c r="AZ23" s="6195"/>
      <c r="BA23" s="6197" t="s">
        <v>6333</v>
      </c>
      <c r="BB23" s="6197"/>
      <c r="BC23" s="434" t="str">
        <f>IF(AO22=0,"",VLOOKUP(AO22,'Tablas Magia'!$D$6:$Z$680,4,FALSE))</f>
        <v/>
      </c>
      <c r="BD23" s="426"/>
      <c r="BE23" s="420"/>
      <c r="BF23" s="2737"/>
      <c r="BG23" s="289"/>
      <c r="BH23" s="6198" t="s">
        <v>6330</v>
      </c>
      <c r="BI23" s="6199"/>
      <c r="BJ23" s="432" t="s">
        <v>6331</v>
      </c>
      <c r="BK23" s="432" t="s">
        <v>1512</v>
      </c>
      <c r="BL23" s="432" t="s">
        <v>2862</v>
      </c>
      <c r="BM23" s="433" t="s">
        <v>1840</v>
      </c>
      <c r="BN23" s="6195" t="str">
        <f>IF(BH22=0,"",VLOOKUP(BH22,'Tablas Magia'!$D$6:$Z$680,5,FALSE))</f>
        <v/>
      </c>
      <c r="BO23" s="6195"/>
      <c r="BP23" s="6196" t="s">
        <v>6332</v>
      </c>
      <c r="BQ23" s="6196"/>
      <c r="BR23" s="6195" t="str">
        <f>IF(BH22=0,"",VLOOKUP(BH22,'Tablas Magia'!$D$6:$Z$680,6,FALSE))</f>
        <v/>
      </c>
      <c r="BS23" s="6195"/>
      <c r="BT23" s="6197" t="s">
        <v>6333</v>
      </c>
      <c r="BU23" s="6197"/>
      <c r="BV23" s="434" t="str">
        <f>IF(BH22=0,"",VLOOKUP(BH22,'Tablas Magia'!$D$6:$Z$680,4,FALSE))</f>
        <v/>
      </c>
      <c r="BW23" s="426"/>
      <c r="BX23" s="2737"/>
    </row>
    <row r="24" spans="1:76" ht="12.2" customHeight="1" x14ac:dyDescent="0.2">
      <c r="A24" s="420"/>
      <c r="B24" s="289"/>
      <c r="C24" s="6190" t="s">
        <v>1368</v>
      </c>
      <c r="D24" s="6191"/>
      <c r="E24" s="435" t="str">
        <f>IF(C22=0,"",VLOOKUP(C22,'Tablas Magia'!$D$6:$Z$680,7,FALSE))</f>
        <v/>
      </c>
      <c r="F24" s="435" t="str">
        <f>IF(C22=0,"",VLOOKUP(C22,'Tablas Magia'!$D$6:$Z$680,11,FALSE))</f>
        <v/>
      </c>
      <c r="G24" s="436" t="str">
        <f>IF(C22=0,"",VLOOKUP(C22,'Tablas Magia'!$D$6:$Z$680,15,FALSE))</f>
        <v/>
      </c>
      <c r="H24" s="6192" t="str">
        <f>IF(C22=0,"",VLOOKUP(C22,'Tablas Magia'!$D$6:$Z$680,19,FALSE))</f>
        <v/>
      </c>
      <c r="I24" s="6193"/>
      <c r="J24" s="6193"/>
      <c r="K24" s="6193"/>
      <c r="L24" s="6193"/>
      <c r="M24" s="6193"/>
      <c r="N24" s="6193"/>
      <c r="O24" s="6193"/>
      <c r="P24" s="6193"/>
      <c r="Q24" s="6194"/>
      <c r="R24" s="426"/>
      <c r="S24" s="420"/>
      <c r="T24" s="420"/>
      <c r="U24" s="289"/>
      <c r="V24" s="6190" t="s">
        <v>1368</v>
      </c>
      <c r="W24" s="6191"/>
      <c r="X24" s="435" t="str">
        <f>IF(V22=0,"",VLOOKUP(V22,'Tablas Magia'!$D$6:$Z$680,7,FALSE))</f>
        <v/>
      </c>
      <c r="Y24" s="435" t="str">
        <f>IF(V22=0,"",VLOOKUP(V22,'Tablas Magia'!$D$6:$Z$680,11,FALSE))</f>
        <v/>
      </c>
      <c r="Z24" s="436" t="str">
        <f>IF(V22=0,"",VLOOKUP(V22,'Tablas Magia'!$D$6:$Z$680,15,FALSE))</f>
        <v/>
      </c>
      <c r="AA24" s="6192" t="str">
        <f>IF(V22=0,"",VLOOKUP(V22,'Tablas Magia'!$D$6:$Z$680,19,FALSE))</f>
        <v/>
      </c>
      <c r="AB24" s="6193"/>
      <c r="AC24" s="6193"/>
      <c r="AD24" s="6193"/>
      <c r="AE24" s="6193"/>
      <c r="AF24" s="6193"/>
      <c r="AG24" s="6193"/>
      <c r="AH24" s="6193"/>
      <c r="AI24" s="6193"/>
      <c r="AJ24" s="6194"/>
      <c r="AK24" s="426"/>
      <c r="AL24" s="420"/>
      <c r="AM24" s="420"/>
      <c r="AN24" s="289"/>
      <c r="AO24" s="6190" t="s">
        <v>1368</v>
      </c>
      <c r="AP24" s="6191"/>
      <c r="AQ24" s="435" t="str">
        <f>IF(AO22=0,"",VLOOKUP(AO22,'Tablas Magia'!$D$6:$Z$680,7,FALSE))</f>
        <v/>
      </c>
      <c r="AR24" s="435" t="str">
        <f>IF(AO22=0,"",VLOOKUP(AO22,'Tablas Magia'!$D$6:$Z$680,11,FALSE))</f>
        <v/>
      </c>
      <c r="AS24" s="436" t="str">
        <f>IF(AO22=0,"",VLOOKUP(AO22,'Tablas Magia'!$D$6:$Z$680,15,FALSE))</f>
        <v/>
      </c>
      <c r="AT24" s="6192" t="str">
        <f>IF(AO22=0,"",VLOOKUP(AO22,'Tablas Magia'!$D$6:$Z$680,19,FALSE))</f>
        <v/>
      </c>
      <c r="AU24" s="6193"/>
      <c r="AV24" s="6193"/>
      <c r="AW24" s="6193"/>
      <c r="AX24" s="6193"/>
      <c r="AY24" s="6193"/>
      <c r="AZ24" s="6193"/>
      <c r="BA24" s="6193"/>
      <c r="BB24" s="6193"/>
      <c r="BC24" s="6194"/>
      <c r="BD24" s="426"/>
      <c r="BE24" s="420"/>
      <c r="BF24" s="2737"/>
      <c r="BG24" s="289"/>
      <c r="BH24" s="6190" t="s">
        <v>1368</v>
      </c>
      <c r="BI24" s="6191"/>
      <c r="BJ24" s="435" t="str">
        <f>IF(BH22=0,"",VLOOKUP(BH22,'Tablas Magia'!$D$6:$Z$680,7,FALSE))</f>
        <v/>
      </c>
      <c r="BK24" s="435" t="str">
        <f>IF(BH22=0,"",VLOOKUP(BH22,'Tablas Magia'!$D$6:$Z$680,11,FALSE))</f>
        <v/>
      </c>
      <c r="BL24" s="436" t="str">
        <f>IF(BH22=0,"",VLOOKUP(BH22,'Tablas Magia'!$D$6:$Z$680,15,FALSE))</f>
        <v/>
      </c>
      <c r="BM24" s="6192" t="str">
        <f>IF(BH22=0,"",VLOOKUP(BH22,'Tablas Magia'!$D$6:$Z$680,19,FALSE))</f>
        <v/>
      </c>
      <c r="BN24" s="6193"/>
      <c r="BO24" s="6193"/>
      <c r="BP24" s="6193"/>
      <c r="BQ24" s="6193"/>
      <c r="BR24" s="6193"/>
      <c r="BS24" s="6193"/>
      <c r="BT24" s="6193"/>
      <c r="BU24" s="6193"/>
      <c r="BV24" s="6194"/>
      <c r="BW24" s="426"/>
      <c r="BX24" s="2737"/>
    </row>
    <row r="25" spans="1:76" ht="12.2" customHeight="1" x14ac:dyDescent="0.2">
      <c r="A25" s="420"/>
      <c r="B25" s="289"/>
      <c r="C25" s="6185" t="s">
        <v>3233</v>
      </c>
      <c r="D25" s="6186"/>
      <c r="E25" s="437" t="str">
        <f>IF(C22=0,"",VLOOKUP(C22,'Tablas Magia'!$D$6:$Z$680,8,FALSE))</f>
        <v/>
      </c>
      <c r="F25" s="437" t="str">
        <f>IF(C22=0,"",VLOOKUP(C22,'Tablas Magia'!$D$6:$Z$680,12,FALSE))</f>
        <v/>
      </c>
      <c r="G25" s="438" t="str">
        <f>IF(C22=0,"",VLOOKUP(C22,'Tablas Magia'!$D$6:$Z$680,16,FALSE))</f>
        <v/>
      </c>
      <c r="H25" s="6187" t="str">
        <f>IF(C22=0,"",VLOOKUP(C22,'Tablas Magia'!$D$6:$Z$680,20,FALSE))</f>
        <v/>
      </c>
      <c r="I25" s="6188"/>
      <c r="J25" s="6188"/>
      <c r="K25" s="6188"/>
      <c r="L25" s="6188"/>
      <c r="M25" s="6188"/>
      <c r="N25" s="6188"/>
      <c r="O25" s="6188"/>
      <c r="P25" s="6188"/>
      <c r="Q25" s="6189"/>
      <c r="R25" s="426"/>
      <c r="S25" s="420"/>
      <c r="T25" s="420"/>
      <c r="U25" s="289"/>
      <c r="V25" s="6185" t="s">
        <v>3233</v>
      </c>
      <c r="W25" s="6186"/>
      <c r="X25" s="437" t="str">
        <f>IF(V22=0,"",VLOOKUP(V22,'Tablas Magia'!$D$6:$Z$680,8,FALSE))</f>
        <v/>
      </c>
      <c r="Y25" s="437" t="str">
        <f>IF(V22=0,"",VLOOKUP(V22,'Tablas Magia'!$D$6:$Z$680,12,FALSE))</f>
        <v/>
      </c>
      <c r="Z25" s="438" t="str">
        <f>IF(V22=0,"",VLOOKUP(V22,'Tablas Magia'!$D$6:$Z$680,16,FALSE))</f>
        <v/>
      </c>
      <c r="AA25" s="6187" t="str">
        <f>IF(V22=0,"",VLOOKUP(V22,'Tablas Magia'!$D$6:$Z$680,20,FALSE))</f>
        <v/>
      </c>
      <c r="AB25" s="6188"/>
      <c r="AC25" s="6188"/>
      <c r="AD25" s="6188"/>
      <c r="AE25" s="6188"/>
      <c r="AF25" s="6188"/>
      <c r="AG25" s="6188"/>
      <c r="AH25" s="6188"/>
      <c r="AI25" s="6188"/>
      <c r="AJ25" s="6189"/>
      <c r="AK25" s="426"/>
      <c r="AL25" s="420"/>
      <c r="AM25" s="420"/>
      <c r="AN25" s="289"/>
      <c r="AO25" s="6185" t="s">
        <v>3233</v>
      </c>
      <c r="AP25" s="6186"/>
      <c r="AQ25" s="437" t="str">
        <f>IF(AO22=0,"",VLOOKUP(AO22,'Tablas Magia'!$D$6:$Z$680,8,FALSE))</f>
        <v/>
      </c>
      <c r="AR25" s="437" t="str">
        <f>IF(AO22=0,"",VLOOKUP(AO22,'Tablas Magia'!$D$6:$Z$680,12,FALSE))</f>
        <v/>
      </c>
      <c r="AS25" s="438" t="str">
        <f>IF(AO22=0,"",VLOOKUP(AO22,'Tablas Magia'!$D$6:$Z$680,16,FALSE))</f>
        <v/>
      </c>
      <c r="AT25" s="6187" t="str">
        <f>IF(AO22=0,"",VLOOKUP(AO22,'Tablas Magia'!$D$6:$Z$680,20,FALSE))</f>
        <v/>
      </c>
      <c r="AU25" s="6188"/>
      <c r="AV25" s="6188"/>
      <c r="AW25" s="6188"/>
      <c r="AX25" s="6188"/>
      <c r="AY25" s="6188"/>
      <c r="AZ25" s="6188"/>
      <c r="BA25" s="6188"/>
      <c r="BB25" s="6188"/>
      <c r="BC25" s="6189"/>
      <c r="BD25" s="426"/>
      <c r="BE25" s="420"/>
      <c r="BF25" s="2737"/>
      <c r="BG25" s="289"/>
      <c r="BH25" s="6185" t="s">
        <v>3233</v>
      </c>
      <c r="BI25" s="6186"/>
      <c r="BJ25" s="437" t="str">
        <f>IF(BH22=0,"",VLOOKUP(BH22,'Tablas Magia'!$D$6:$Z$680,8,FALSE))</f>
        <v/>
      </c>
      <c r="BK25" s="437" t="str">
        <f>IF(BH22=0,"",VLOOKUP(BH22,'Tablas Magia'!$D$6:$Z$680,12,FALSE))</f>
        <v/>
      </c>
      <c r="BL25" s="438" t="str">
        <f>IF(BH22=0,"",VLOOKUP(BH22,'Tablas Magia'!$D$6:$Z$680,16,FALSE))</f>
        <v/>
      </c>
      <c r="BM25" s="6187" t="str">
        <f>IF(BH22=0,"",VLOOKUP(BH22,'Tablas Magia'!$D$6:$Z$680,20,FALSE))</f>
        <v/>
      </c>
      <c r="BN25" s="6188"/>
      <c r="BO25" s="6188"/>
      <c r="BP25" s="6188"/>
      <c r="BQ25" s="6188"/>
      <c r="BR25" s="6188"/>
      <c r="BS25" s="6188"/>
      <c r="BT25" s="6188"/>
      <c r="BU25" s="6188"/>
      <c r="BV25" s="6189"/>
      <c r="BW25" s="426"/>
      <c r="BX25" s="2737"/>
    </row>
    <row r="26" spans="1:76" ht="12.2" customHeight="1" x14ac:dyDescent="0.2">
      <c r="A26" s="420"/>
      <c r="B26" s="289"/>
      <c r="C26" s="6190" t="s">
        <v>3234</v>
      </c>
      <c r="D26" s="6191"/>
      <c r="E26" s="435" t="str">
        <f>IF(C22=0,"",VLOOKUP(C22,'Tablas Magia'!$D$6:$Z$680,9,FALSE))</f>
        <v/>
      </c>
      <c r="F26" s="435" t="str">
        <f>IF(C22=0,"",VLOOKUP(C22,'Tablas Magia'!$D$6:$Z$680,13,FALSE))</f>
        <v/>
      </c>
      <c r="G26" s="436" t="str">
        <f>IF(C22=0,"",VLOOKUP(C22,'Tablas Magia'!$D$6:$Z$680,17,FALSE))</f>
        <v/>
      </c>
      <c r="H26" s="6192" t="str">
        <f>IF(C22=0,"",VLOOKUP(C22,'Tablas Magia'!$D$6:$Z$680,21,FALSE))</f>
        <v/>
      </c>
      <c r="I26" s="6193"/>
      <c r="J26" s="6193"/>
      <c r="K26" s="6193"/>
      <c r="L26" s="6193"/>
      <c r="M26" s="6193"/>
      <c r="N26" s="6193"/>
      <c r="O26" s="6193"/>
      <c r="P26" s="6193"/>
      <c r="Q26" s="6194"/>
      <c r="R26" s="426"/>
      <c r="S26" s="420"/>
      <c r="T26" s="420"/>
      <c r="U26" s="289"/>
      <c r="V26" s="6190" t="s">
        <v>3234</v>
      </c>
      <c r="W26" s="6191"/>
      <c r="X26" s="435" t="str">
        <f>IF(V22=0,"",VLOOKUP(V22,'Tablas Magia'!$D$6:$Z$680,9,FALSE))</f>
        <v/>
      </c>
      <c r="Y26" s="435" t="str">
        <f>IF(V22=0,"",VLOOKUP(V22,'Tablas Magia'!$D$6:$Z$680,13,FALSE))</f>
        <v/>
      </c>
      <c r="Z26" s="436" t="str">
        <f>IF(V22=0,"",VLOOKUP(V22,'Tablas Magia'!$D$6:$Z$680,17,FALSE))</f>
        <v/>
      </c>
      <c r="AA26" s="6192" t="str">
        <f>IF(V22=0,"",VLOOKUP(V22,'Tablas Magia'!$D$6:$Z$680,21,FALSE))</f>
        <v/>
      </c>
      <c r="AB26" s="6193"/>
      <c r="AC26" s="6193"/>
      <c r="AD26" s="6193"/>
      <c r="AE26" s="6193"/>
      <c r="AF26" s="6193"/>
      <c r="AG26" s="6193"/>
      <c r="AH26" s="6193"/>
      <c r="AI26" s="6193"/>
      <c r="AJ26" s="6194"/>
      <c r="AK26" s="426"/>
      <c r="AL26" s="420"/>
      <c r="AM26" s="420"/>
      <c r="AN26" s="289"/>
      <c r="AO26" s="6190" t="s">
        <v>3234</v>
      </c>
      <c r="AP26" s="6191"/>
      <c r="AQ26" s="435" t="str">
        <f>IF(AO22=0,"",VLOOKUP(AO22,'Tablas Magia'!$D$6:$Z$680,9,FALSE))</f>
        <v/>
      </c>
      <c r="AR26" s="435" t="str">
        <f>IF(AO22=0,"",VLOOKUP(AO22,'Tablas Magia'!$D$6:$Z$680,13,FALSE))</f>
        <v/>
      </c>
      <c r="AS26" s="436" t="str">
        <f>IF(AO22=0,"",VLOOKUP(AO22,'Tablas Magia'!$D$6:$Z$680,17,FALSE))</f>
        <v/>
      </c>
      <c r="AT26" s="6192" t="str">
        <f>IF(AO22=0,"",VLOOKUP(AO22,'Tablas Magia'!$D$6:$Z$680,21,FALSE))</f>
        <v/>
      </c>
      <c r="AU26" s="6193"/>
      <c r="AV26" s="6193"/>
      <c r="AW26" s="6193"/>
      <c r="AX26" s="6193"/>
      <c r="AY26" s="6193"/>
      <c r="AZ26" s="6193"/>
      <c r="BA26" s="6193"/>
      <c r="BB26" s="6193"/>
      <c r="BC26" s="6194"/>
      <c r="BD26" s="426"/>
      <c r="BE26" s="420"/>
      <c r="BF26" s="2737"/>
      <c r="BG26" s="289"/>
      <c r="BH26" s="6190" t="s">
        <v>3234</v>
      </c>
      <c r="BI26" s="6191"/>
      <c r="BJ26" s="435" t="str">
        <f>IF(BH22=0,"",VLOOKUP(BH22,'Tablas Magia'!$D$6:$Z$680,9,FALSE))</f>
        <v/>
      </c>
      <c r="BK26" s="435" t="str">
        <f>IF(BH22=0,"",VLOOKUP(BH22,'Tablas Magia'!$D$6:$Z$680,13,FALSE))</f>
        <v/>
      </c>
      <c r="BL26" s="436" t="str">
        <f>IF(BH22=0,"",VLOOKUP(BH22,'Tablas Magia'!$D$6:$Z$680,17,FALSE))</f>
        <v/>
      </c>
      <c r="BM26" s="6192" t="str">
        <f>IF(BH22=0,"",VLOOKUP(BH22,'Tablas Magia'!$D$6:$Z$680,21,FALSE))</f>
        <v/>
      </c>
      <c r="BN26" s="6193"/>
      <c r="BO26" s="6193"/>
      <c r="BP26" s="6193"/>
      <c r="BQ26" s="6193"/>
      <c r="BR26" s="6193"/>
      <c r="BS26" s="6193"/>
      <c r="BT26" s="6193"/>
      <c r="BU26" s="6193"/>
      <c r="BV26" s="6194"/>
      <c r="BW26" s="426"/>
      <c r="BX26" s="2737"/>
    </row>
    <row r="27" spans="1:76" ht="12.2" customHeight="1" thickBot="1" x14ac:dyDescent="0.25">
      <c r="A27" s="420"/>
      <c r="B27" s="289"/>
      <c r="C27" s="6200" t="s">
        <v>3235</v>
      </c>
      <c r="D27" s="6201"/>
      <c r="E27" s="439" t="str">
        <f>IF(C22=0,"",VLOOKUP(C22,'Tablas Magia'!$D$6:$Z$680,10,FALSE))</f>
        <v/>
      </c>
      <c r="F27" s="439" t="str">
        <f>IF(C22=0,"",VLOOKUP(C22,'Tablas Magia'!$D$6:$Z$680,14,FALSE))</f>
        <v/>
      </c>
      <c r="G27" s="440" t="str">
        <f>IF(C22=0,"",VLOOKUP(C22,'Tablas Magia'!$D$6:$Z$680,18,FALSE))</f>
        <v/>
      </c>
      <c r="H27" s="6202" t="str">
        <f>IF(C22=0,"",VLOOKUP(C22,'Tablas Magia'!$D$6:$Z$680,22,FALSE))</f>
        <v/>
      </c>
      <c r="I27" s="6203"/>
      <c r="J27" s="6203"/>
      <c r="K27" s="6203"/>
      <c r="L27" s="6203"/>
      <c r="M27" s="6203"/>
      <c r="N27" s="6203"/>
      <c r="O27" s="6203"/>
      <c r="P27" s="6203"/>
      <c r="Q27" s="6204"/>
      <c r="R27" s="426"/>
      <c r="S27" s="420"/>
      <c r="T27" s="420"/>
      <c r="U27" s="289"/>
      <c r="V27" s="6200" t="s">
        <v>3235</v>
      </c>
      <c r="W27" s="6201"/>
      <c r="X27" s="439" t="str">
        <f>IF(V22=0,"",VLOOKUP(V22,'Tablas Magia'!$D$6:$Z$680,10,FALSE))</f>
        <v/>
      </c>
      <c r="Y27" s="439" t="str">
        <f>IF(V22=0,"",VLOOKUP(V22,'Tablas Magia'!$D$6:$Z$680,14,FALSE))</f>
        <v/>
      </c>
      <c r="Z27" s="440" t="str">
        <f>IF(V22=0,"",VLOOKUP(V22,'Tablas Magia'!$D$6:$Z$680,18,FALSE))</f>
        <v/>
      </c>
      <c r="AA27" s="6202" t="str">
        <f>IF(V22=0,"",VLOOKUP(V22,'Tablas Magia'!$D$6:$Z$680,22,FALSE))</f>
        <v/>
      </c>
      <c r="AB27" s="6203"/>
      <c r="AC27" s="6203"/>
      <c r="AD27" s="6203"/>
      <c r="AE27" s="6203"/>
      <c r="AF27" s="6203"/>
      <c r="AG27" s="6203"/>
      <c r="AH27" s="6203"/>
      <c r="AI27" s="6203"/>
      <c r="AJ27" s="6204"/>
      <c r="AK27" s="426"/>
      <c r="AL27" s="420"/>
      <c r="AM27" s="420"/>
      <c r="AN27" s="289"/>
      <c r="AO27" s="6200" t="s">
        <v>3235</v>
      </c>
      <c r="AP27" s="6201"/>
      <c r="AQ27" s="439" t="str">
        <f>IF(AO22=0,"",VLOOKUP(AO22,'Tablas Magia'!$D$6:$Z$680,10,FALSE))</f>
        <v/>
      </c>
      <c r="AR27" s="439" t="str">
        <f>IF(AO22=0,"",VLOOKUP(AO22,'Tablas Magia'!$D$6:$Z$680,14,FALSE))</f>
        <v/>
      </c>
      <c r="AS27" s="440" t="str">
        <f>IF(AO22=0,"",VLOOKUP(AO22,'Tablas Magia'!$D$6:$Z$680,18,FALSE))</f>
        <v/>
      </c>
      <c r="AT27" s="6202" t="str">
        <f>IF(AO22=0,"",VLOOKUP(AO22,'Tablas Magia'!$D$6:$Z$680,22,FALSE))</f>
        <v/>
      </c>
      <c r="AU27" s="6203"/>
      <c r="AV27" s="6203"/>
      <c r="AW27" s="6203"/>
      <c r="AX27" s="6203"/>
      <c r="AY27" s="6203"/>
      <c r="AZ27" s="6203"/>
      <c r="BA27" s="6203"/>
      <c r="BB27" s="6203"/>
      <c r="BC27" s="6204"/>
      <c r="BD27" s="426"/>
      <c r="BE27" s="420"/>
      <c r="BF27" s="2737"/>
      <c r="BG27" s="289"/>
      <c r="BH27" s="6200" t="s">
        <v>3235</v>
      </c>
      <c r="BI27" s="6201"/>
      <c r="BJ27" s="439" t="str">
        <f>IF(BH22=0,"",VLOOKUP(BH22,'Tablas Magia'!$D$6:$Z$680,10,FALSE))</f>
        <v/>
      </c>
      <c r="BK27" s="439" t="str">
        <f>IF(BH22=0,"",VLOOKUP(BH22,'Tablas Magia'!$D$6:$Z$680,14,FALSE))</f>
        <v/>
      </c>
      <c r="BL27" s="440" t="str">
        <f>IF(BH22=0,"",VLOOKUP(BH22,'Tablas Magia'!$D$6:$Z$680,18,FALSE))</f>
        <v/>
      </c>
      <c r="BM27" s="6202" t="str">
        <f>IF(BH22=0,"",VLOOKUP(BH22,'Tablas Magia'!$D$6:$Z$680,22,FALSE))</f>
        <v/>
      </c>
      <c r="BN27" s="6203"/>
      <c r="BO27" s="6203"/>
      <c r="BP27" s="6203"/>
      <c r="BQ27" s="6203"/>
      <c r="BR27" s="6203"/>
      <c r="BS27" s="6203"/>
      <c r="BT27" s="6203"/>
      <c r="BU27" s="6203"/>
      <c r="BV27" s="6204"/>
      <c r="BW27" s="426"/>
      <c r="BX27" s="2737"/>
    </row>
    <row r="28" spans="1:76" ht="12.2" customHeight="1" x14ac:dyDescent="0.2">
      <c r="A28" s="420"/>
      <c r="B28" s="289"/>
      <c r="C28" s="6205" t="str">
        <f>IF(C22=0,"",VLOOKUP(C22,'Tablas Magia'!$D$6:$Z$680,23,FALSE))</f>
        <v/>
      </c>
      <c r="D28" s="6206"/>
      <c r="E28" s="6206"/>
      <c r="F28" s="6206"/>
      <c r="G28" s="6206"/>
      <c r="H28" s="6206"/>
      <c r="I28" s="6206"/>
      <c r="J28" s="6206"/>
      <c r="K28" s="6206"/>
      <c r="L28" s="6206"/>
      <c r="M28" s="6206"/>
      <c r="N28" s="6206"/>
      <c r="O28" s="6206"/>
      <c r="P28" s="6206"/>
      <c r="Q28" s="6207"/>
      <c r="R28" s="426"/>
      <c r="S28" s="420"/>
      <c r="T28" s="420"/>
      <c r="U28" s="289"/>
      <c r="V28" s="6205" t="str">
        <f>IF(V22=0,"",VLOOKUP(V22,'Tablas Magia'!$D$6:$Z$680,23,FALSE))</f>
        <v/>
      </c>
      <c r="W28" s="6206"/>
      <c r="X28" s="6206"/>
      <c r="Y28" s="6206"/>
      <c r="Z28" s="6206"/>
      <c r="AA28" s="6206"/>
      <c r="AB28" s="6206"/>
      <c r="AC28" s="6206"/>
      <c r="AD28" s="6206"/>
      <c r="AE28" s="6206"/>
      <c r="AF28" s="6206"/>
      <c r="AG28" s="6206"/>
      <c r="AH28" s="6206"/>
      <c r="AI28" s="6206"/>
      <c r="AJ28" s="6207"/>
      <c r="AK28" s="426"/>
      <c r="AL28" s="420"/>
      <c r="AM28" s="420"/>
      <c r="AN28" s="289"/>
      <c r="AO28" s="6205" t="str">
        <f>IF(AO22=0,"",VLOOKUP(AO22,'Tablas Magia'!$D$6:$Z$680,23,FALSE))</f>
        <v/>
      </c>
      <c r="AP28" s="6206"/>
      <c r="AQ28" s="6206"/>
      <c r="AR28" s="6206"/>
      <c r="AS28" s="6206"/>
      <c r="AT28" s="6206"/>
      <c r="AU28" s="6206"/>
      <c r="AV28" s="6206"/>
      <c r="AW28" s="6206"/>
      <c r="AX28" s="6206"/>
      <c r="AY28" s="6206"/>
      <c r="AZ28" s="6206"/>
      <c r="BA28" s="6206"/>
      <c r="BB28" s="6206"/>
      <c r="BC28" s="6207"/>
      <c r="BD28" s="426"/>
      <c r="BE28" s="420"/>
      <c r="BF28" s="2737"/>
      <c r="BG28" s="289"/>
      <c r="BH28" s="6205" t="str">
        <f>IF(BH22=0,"",VLOOKUP(BH22,'Tablas Magia'!$D$6:$Z$680,23,FALSE))</f>
        <v/>
      </c>
      <c r="BI28" s="6206"/>
      <c r="BJ28" s="6206"/>
      <c r="BK28" s="6206"/>
      <c r="BL28" s="6206"/>
      <c r="BM28" s="6206"/>
      <c r="BN28" s="6206"/>
      <c r="BO28" s="6206"/>
      <c r="BP28" s="6206"/>
      <c r="BQ28" s="6206"/>
      <c r="BR28" s="6206"/>
      <c r="BS28" s="6206"/>
      <c r="BT28" s="6206"/>
      <c r="BU28" s="6206"/>
      <c r="BV28" s="6207"/>
      <c r="BW28" s="426"/>
      <c r="BX28" s="2737"/>
    </row>
    <row r="29" spans="1:76" ht="12.2" customHeight="1" x14ac:dyDescent="0.2">
      <c r="A29" s="420"/>
      <c r="B29" s="289"/>
      <c r="C29" s="6208"/>
      <c r="D29" s="6209"/>
      <c r="E29" s="6209"/>
      <c r="F29" s="6209"/>
      <c r="G29" s="6209"/>
      <c r="H29" s="6209"/>
      <c r="I29" s="6209"/>
      <c r="J29" s="6209"/>
      <c r="K29" s="6209"/>
      <c r="L29" s="6209"/>
      <c r="M29" s="6209"/>
      <c r="N29" s="6209"/>
      <c r="O29" s="6209"/>
      <c r="P29" s="6209"/>
      <c r="Q29" s="6210"/>
      <c r="R29" s="426"/>
      <c r="S29" s="420"/>
      <c r="T29" s="420"/>
      <c r="U29" s="289"/>
      <c r="V29" s="6208"/>
      <c r="W29" s="6209"/>
      <c r="X29" s="6209"/>
      <c r="Y29" s="6209"/>
      <c r="Z29" s="6209"/>
      <c r="AA29" s="6209"/>
      <c r="AB29" s="6209"/>
      <c r="AC29" s="6209"/>
      <c r="AD29" s="6209"/>
      <c r="AE29" s="6209"/>
      <c r="AF29" s="6209"/>
      <c r="AG29" s="6209"/>
      <c r="AH29" s="6209"/>
      <c r="AI29" s="6209"/>
      <c r="AJ29" s="6210"/>
      <c r="AK29" s="426"/>
      <c r="AL29" s="420"/>
      <c r="AM29" s="420"/>
      <c r="AN29" s="289"/>
      <c r="AO29" s="6208"/>
      <c r="AP29" s="6209"/>
      <c r="AQ29" s="6209"/>
      <c r="AR29" s="6209"/>
      <c r="AS29" s="6209"/>
      <c r="AT29" s="6209"/>
      <c r="AU29" s="6209"/>
      <c r="AV29" s="6209"/>
      <c r="AW29" s="6209"/>
      <c r="AX29" s="6209"/>
      <c r="AY29" s="6209"/>
      <c r="AZ29" s="6209"/>
      <c r="BA29" s="6209"/>
      <c r="BB29" s="6209"/>
      <c r="BC29" s="6210"/>
      <c r="BD29" s="426"/>
      <c r="BE29" s="420"/>
      <c r="BF29" s="2737"/>
      <c r="BG29" s="289"/>
      <c r="BH29" s="6208"/>
      <c r="BI29" s="6209"/>
      <c r="BJ29" s="6209"/>
      <c r="BK29" s="6209"/>
      <c r="BL29" s="6209"/>
      <c r="BM29" s="6209"/>
      <c r="BN29" s="6209"/>
      <c r="BO29" s="6209"/>
      <c r="BP29" s="6209"/>
      <c r="BQ29" s="6209"/>
      <c r="BR29" s="6209"/>
      <c r="BS29" s="6209"/>
      <c r="BT29" s="6209"/>
      <c r="BU29" s="6209"/>
      <c r="BV29" s="6210"/>
      <c r="BW29" s="426"/>
      <c r="BX29" s="2737"/>
    </row>
    <row r="30" spans="1:76" ht="12.2" customHeight="1" x14ac:dyDescent="0.2">
      <c r="A30" s="420"/>
      <c r="B30" s="289"/>
      <c r="C30" s="6208"/>
      <c r="D30" s="6209"/>
      <c r="E30" s="6209"/>
      <c r="F30" s="6209"/>
      <c r="G30" s="6209"/>
      <c r="H30" s="6209"/>
      <c r="I30" s="6209"/>
      <c r="J30" s="6209"/>
      <c r="K30" s="6209"/>
      <c r="L30" s="6209"/>
      <c r="M30" s="6209"/>
      <c r="N30" s="6209"/>
      <c r="O30" s="6209"/>
      <c r="P30" s="6209"/>
      <c r="Q30" s="6210"/>
      <c r="R30" s="426"/>
      <c r="S30" s="420"/>
      <c r="T30" s="420"/>
      <c r="U30" s="289"/>
      <c r="V30" s="6208"/>
      <c r="W30" s="6209"/>
      <c r="X30" s="6209"/>
      <c r="Y30" s="6209"/>
      <c r="Z30" s="6209"/>
      <c r="AA30" s="6209"/>
      <c r="AB30" s="6209"/>
      <c r="AC30" s="6209"/>
      <c r="AD30" s="6209"/>
      <c r="AE30" s="6209"/>
      <c r="AF30" s="6209"/>
      <c r="AG30" s="6209"/>
      <c r="AH30" s="6209"/>
      <c r="AI30" s="6209"/>
      <c r="AJ30" s="6210"/>
      <c r="AK30" s="426"/>
      <c r="AL30" s="420"/>
      <c r="AM30" s="420"/>
      <c r="AN30" s="289"/>
      <c r="AO30" s="6208"/>
      <c r="AP30" s="6209"/>
      <c r="AQ30" s="6209"/>
      <c r="AR30" s="6209"/>
      <c r="AS30" s="6209"/>
      <c r="AT30" s="6209"/>
      <c r="AU30" s="6209"/>
      <c r="AV30" s="6209"/>
      <c r="AW30" s="6209"/>
      <c r="AX30" s="6209"/>
      <c r="AY30" s="6209"/>
      <c r="AZ30" s="6209"/>
      <c r="BA30" s="6209"/>
      <c r="BB30" s="6209"/>
      <c r="BC30" s="6210"/>
      <c r="BD30" s="426"/>
      <c r="BE30" s="420"/>
      <c r="BF30" s="2737"/>
      <c r="BG30" s="289"/>
      <c r="BH30" s="6208"/>
      <c r="BI30" s="6209"/>
      <c r="BJ30" s="6209"/>
      <c r="BK30" s="6209"/>
      <c r="BL30" s="6209"/>
      <c r="BM30" s="6209"/>
      <c r="BN30" s="6209"/>
      <c r="BO30" s="6209"/>
      <c r="BP30" s="6209"/>
      <c r="BQ30" s="6209"/>
      <c r="BR30" s="6209"/>
      <c r="BS30" s="6209"/>
      <c r="BT30" s="6209"/>
      <c r="BU30" s="6209"/>
      <c r="BV30" s="6210"/>
      <c r="BW30" s="426"/>
      <c r="BX30" s="2737"/>
    </row>
    <row r="31" spans="1:76" ht="12.2" customHeight="1" thickBot="1" x14ac:dyDescent="0.25">
      <c r="A31" s="420"/>
      <c r="B31" s="289"/>
      <c r="C31" s="6211"/>
      <c r="D31" s="6212"/>
      <c r="E31" s="6212"/>
      <c r="F31" s="6212"/>
      <c r="G31" s="6212"/>
      <c r="H31" s="6212"/>
      <c r="I31" s="6212"/>
      <c r="J31" s="6212"/>
      <c r="K31" s="6212"/>
      <c r="L31" s="6212"/>
      <c r="M31" s="6212"/>
      <c r="N31" s="6212"/>
      <c r="O31" s="6212"/>
      <c r="P31" s="6212"/>
      <c r="Q31" s="6213"/>
      <c r="R31" s="426"/>
      <c r="S31" s="420"/>
      <c r="T31" s="420"/>
      <c r="U31" s="289"/>
      <c r="V31" s="6211"/>
      <c r="W31" s="6212"/>
      <c r="X31" s="6212"/>
      <c r="Y31" s="6212"/>
      <c r="Z31" s="6212"/>
      <c r="AA31" s="6212"/>
      <c r="AB31" s="6212"/>
      <c r="AC31" s="6212"/>
      <c r="AD31" s="6212"/>
      <c r="AE31" s="6212"/>
      <c r="AF31" s="6212"/>
      <c r="AG31" s="6212"/>
      <c r="AH31" s="6212"/>
      <c r="AI31" s="6212"/>
      <c r="AJ31" s="6213"/>
      <c r="AK31" s="426"/>
      <c r="AL31" s="420"/>
      <c r="AM31" s="420"/>
      <c r="AN31" s="289"/>
      <c r="AO31" s="6211"/>
      <c r="AP31" s="6212"/>
      <c r="AQ31" s="6212"/>
      <c r="AR31" s="6212"/>
      <c r="AS31" s="6212"/>
      <c r="AT31" s="6212"/>
      <c r="AU31" s="6212"/>
      <c r="AV31" s="6212"/>
      <c r="AW31" s="6212"/>
      <c r="AX31" s="6212"/>
      <c r="AY31" s="6212"/>
      <c r="AZ31" s="6212"/>
      <c r="BA31" s="6212"/>
      <c r="BB31" s="6212"/>
      <c r="BC31" s="6213"/>
      <c r="BD31" s="426"/>
      <c r="BE31" s="420"/>
      <c r="BF31" s="2737"/>
      <c r="BG31" s="289"/>
      <c r="BH31" s="6211"/>
      <c r="BI31" s="6212"/>
      <c r="BJ31" s="6212"/>
      <c r="BK31" s="6212"/>
      <c r="BL31" s="6212"/>
      <c r="BM31" s="6212"/>
      <c r="BN31" s="6212"/>
      <c r="BO31" s="6212"/>
      <c r="BP31" s="6212"/>
      <c r="BQ31" s="6212"/>
      <c r="BR31" s="6212"/>
      <c r="BS31" s="6212"/>
      <c r="BT31" s="6212"/>
      <c r="BU31" s="6212"/>
      <c r="BV31" s="6213"/>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180"/>
      <c r="D33" s="6181"/>
      <c r="E33" s="6181"/>
      <c r="F33" s="6181"/>
      <c r="G33" s="6181"/>
      <c r="H33" s="430" t="s">
        <v>1328</v>
      </c>
      <c r="I33" s="431" t="str">
        <f>IF(C33=0,"",VLOOKUP(C33,'Tablas Magia'!$D$6:$Z$680,3,FALSE))</f>
        <v/>
      </c>
      <c r="J33" s="6182" t="s">
        <v>6329</v>
      </c>
      <c r="K33" s="6182"/>
      <c r="L33" s="6182"/>
      <c r="M33" s="6183" t="str">
        <f>IF(C33=0,"",VLOOKUP(C33,'Tablas Magia'!$D$6:$Z$680,2,FALSE))</f>
        <v/>
      </c>
      <c r="N33" s="6183"/>
      <c r="O33" s="6183"/>
      <c r="P33" s="6183"/>
      <c r="Q33" s="6184"/>
      <c r="R33" s="426"/>
      <c r="S33" s="420"/>
      <c r="T33" s="420"/>
      <c r="U33" s="289"/>
      <c r="V33" s="6180"/>
      <c r="W33" s="6181"/>
      <c r="X33" s="6181"/>
      <c r="Y33" s="6181"/>
      <c r="Z33" s="6181"/>
      <c r="AA33" s="430" t="s">
        <v>1328</v>
      </c>
      <c r="AB33" s="431" t="str">
        <f>IF(V33=0,"",VLOOKUP(V33,'Tablas Magia'!$D$6:$Z$680,3,FALSE))</f>
        <v/>
      </c>
      <c r="AC33" s="6182" t="s">
        <v>6329</v>
      </c>
      <c r="AD33" s="6182"/>
      <c r="AE33" s="6182"/>
      <c r="AF33" s="6183" t="str">
        <f>IF(V33=0,"",VLOOKUP(V33,'Tablas Magia'!$D$6:$Z$680,2,FALSE))</f>
        <v/>
      </c>
      <c r="AG33" s="6183"/>
      <c r="AH33" s="6183"/>
      <c r="AI33" s="6183"/>
      <c r="AJ33" s="6184"/>
      <c r="AK33" s="426"/>
      <c r="AL33" s="420"/>
      <c r="AM33" s="420"/>
      <c r="AN33" s="289"/>
      <c r="AO33" s="6180"/>
      <c r="AP33" s="6181"/>
      <c r="AQ33" s="6181"/>
      <c r="AR33" s="6181"/>
      <c r="AS33" s="6181"/>
      <c r="AT33" s="430" t="s">
        <v>1328</v>
      </c>
      <c r="AU33" s="431" t="str">
        <f>IF(AO33=0,"",VLOOKUP(AO33,'Tablas Magia'!$D$6:$Z$680,3,FALSE))</f>
        <v/>
      </c>
      <c r="AV33" s="6182" t="s">
        <v>6329</v>
      </c>
      <c r="AW33" s="6182"/>
      <c r="AX33" s="6182"/>
      <c r="AY33" s="6183" t="str">
        <f>IF(AO33=0,"",VLOOKUP(AO33,'Tablas Magia'!$D$6:$Z$680,2,FALSE))</f>
        <v/>
      </c>
      <c r="AZ33" s="6183"/>
      <c r="BA33" s="6183"/>
      <c r="BB33" s="6183"/>
      <c r="BC33" s="6184"/>
      <c r="BD33" s="426"/>
      <c r="BE33" s="420"/>
      <c r="BF33" s="2737"/>
      <c r="BG33" s="289"/>
      <c r="BH33" s="6180"/>
      <c r="BI33" s="6181"/>
      <c r="BJ33" s="6181"/>
      <c r="BK33" s="6181"/>
      <c r="BL33" s="6181"/>
      <c r="BM33" s="430" t="s">
        <v>1328</v>
      </c>
      <c r="BN33" s="431" t="str">
        <f>IF(BH33=0,"",VLOOKUP(BH33,'Tablas Magia'!$D$6:$Z$680,3,FALSE))</f>
        <v/>
      </c>
      <c r="BO33" s="6182" t="s">
        <v>6329</v>
      </c>
      <c r="BP33" s="6182"/>
      <c r="BQ33" s="6182"/>
      <c r="BR33" s="6183" t="str">
        <f>IF(BH33=0,"",VLOOKUP(BH33,'Tablas Magia'!$D$6:$Z$680,2,FALSE))</f>
        <v/>
      </c>
      <c r="BS33" s="6183"/>
      <c r="BT33" s="6183"/>
      <c r="BU33" s="6183"/>
      <c r="BV33" s="6184"/>
      <c r="BW33" s="426"/>
      <c r="BX33" s="2737"/>
    </row>
    <row r="34" spans="1:76" ht="12.2" customHeight="1" x14ac:dyDescent="0.2">
      <c r="A34" s="420"/>
      <c r="B34" s="289"/>
      <c r="C34" s="6198" t="s">
        <v>6330</v>
      </c>
      <c r="D34" s="6199"/>
      <c r="E34" s="432" t="s">
        <v>6331</v>
      </c>
      <c r="F34" s="432" t="s">
        <v>1512</v>
      </c>
      <c r="G34" s="432" t="s">
        <v>2862</v>
      </c>
      <c r="H34" s="433" t="s">
        <v>1840</v>
      </c>
      <c r="I34" s="6195" t="str">
        <f>IF(C33=0,"",VLOOKUP(C33,'Tablas Magia'!$D$6:$Z$680,5,FALSE))</f>
        <v/>
      </c>
      <c r="J34" s="6195"/>
      <c r="K34" s="6196" t="s">
        <v>6332</v>
      </c>
      <c r="L34" s="6196"/>
      <c r="M34" s="6195" t="str">
        <f>IF(C33=0,"",VLOOKUP(C33,'Tablas Magia'!$D$6:$Z$680,6,FALSE))</f>
        <v/>
      </c>
      <c r="N34" s="6195"/>
      <c r="O34" s="6197" t="s">
        <v>6333</v>
      </c>
      <c r="P34" s="6197"/>
      <c r="Q34" s="434" t="str">
        <f>IF(C33=0,"",VLOOKUP(C33,'Tablas Magia'!$D$6:$Z$680,4,FALSE))</f>
        <v/>
      </c>
      <c r="R34" s="426"/>
      <c r="S34" s="420"/>
      <c r="T34" s="420"/>
      <c r="U34" s="289"/>
      <c r="V34" s="6198" t="s">
        <v>6330</v>
      </c>
      <c r="W34" s="6199"/>
      <c r="X34" s="432" t="s">
        <v>6331</v>
      </c>
      <c r="Y34" s="432" t="s">
        <v>1512</v>
      </c>
      <c r="Z34" s="432" t="s">
        <v>2862</v>
      </c>
      <c r="AA34" s="433" t="s">
        <v>1840</v>
      </c>
      <c r="AB34" s="6195" t="str">
        <f>IF(V33=0,"",VLOOKUP(V33,'Tablas Magia'!$D$6:$Z$680,5,FALSE))</f>
        <v/>
      </c>
      <c r="AC34" s="6195"/>
      <c r="AD34" s="6196" t="s">
        <v>6332</v>
      </c>
      <c r="AE34" s="6196"/>
      <c r="AF34" s="6195" t="str">
        <f>IF(V33=0,"",VLOOKUP(V33,'Tablas Magia'!$D$6:$Z$680,6,FALSE))</f>
        <v/>
      </c>
      <c r="AG34" s="6195"/>
      <c r="AH34" s="6197" t="s">
        <v>6333</v>
      </c>
      <c r="AI34" s="6197"/>
      <c r="AJ34" s="434" t="str">
        <f>IF(V33=0,"",VLOOKUP(V33,'Tablas Magia'!$D$6:$Z$680,4,FALSE))</f>
        <v/>
      </c>
      <c r="AK34" s="426"/>
      <c r="AL34" s="420"/>
      <c r="AM34" s="420"/>
      <c r="AN34" s="289"/>
      <c r="AO34" s="6198" t="s">
        <v>6330</v>
      </c>
      <c r="AP34" s="6199"/>
      <c r="AQ34" s="432" t="s">
        <v>6331</v>
      </c>
      <c r="AR34" s="432" t="s">
        <v>1512</v>
      </c>
      <c r="AS34" s="432" t="s">
        <v>2862</v>
      </c>
      <c r="AT34" s="433" t="s">
        <v>1840</v>
      </c>
      <c r="AU34" s="6195" t="str">
        <f>IF(AO33=0,"",VLOOKUP(AO33,'Tablas Magia'!$D$6:$Z$680,5,FALSE))</f>
        <v/>
      </c>
      <c r="AV34" s="6195"/>
      <c r="AW34" s="6196" t="s">
        <v>6332</v>
      </c>
      <c r="AX34" s="6196"/>
      <c r="AY34" s="6195" t="str">
        <f>IF(AO33=0,"",VLOOKUP(AO33,'Tablas Magia'!$D$6:$Z$680,6,FALSE))</f>
        <v/>
      </c>
      <c r="AZ34" s="6195"/>
      <c r="BA34" s="6197" t="s">
        <v>6333</v>
      </c>
      <c r="BB34" s="6197"/>
      <c r="BC34" s="434" t="str">
        <f>IF(AO33=0,"",VLOOKUP(AO33,'Tablas Magia'!$D$6:$Z$680,4,FALSE))</f>
        <v/>
      </c>
      <c r="BD34" s="426"/>
      <c r="BE34" s="420"/>
      <c r="BF34" s="2737"/>
      <c r="BG34" s="289"/>
      <c r="BH34" s="6198" t="s">
        <v>6330</v>
      </c>
      <c r="BI34" s="6199"/>
      <c r="BJ34" s="432" t="s">
        <v>6331</v>
      </c>
      <c r="BK34" s="432" t="s">
        <v>1512</v>
      </c>
      <c r="BL34" s="432" t="s">
        <v>2862</v>
      </c>
      <c r="BM34" s="433" t="s">
        <v>1840</v>
      </c>
      <c r="BN34" s="6195" t="str">
        <f>IF(BH33=0,"",VLOOKUP(BH33,'Tablas Magia'!$D$6:$Z$680,5,FALSE))</f>
        <v/>
      </c>
      <c r="BO34" s="6195"/>
      <c r="BP34" s="6196" t="s">
        <v>6332</v>
      </c>
      <c r="BQ34" s="6196"/>
      <c r="BR34" s="6195" t="str">
        <f>IF(BH33=0,"",VLOOKUP(BH33,'Tablas Magia'!$D$6:$Z$680,6,FALSE))</f>
        <v/>
      </c>
      <c r="BS34" s="6195"/>
      <c r="BT34" s="6197" t="s">
        <v>6333</v>
      </c>
      <c r="BU34" s="6197"/>
      <c r="BV34" s="434" t="str">
        <f>IF(BH33=0,"",VLOOKUP(BH33,'Tablas Magia'!$D$6:$Z$680,4,FALSE))</f>
        <v/>
      </c>
      <c r="BW34" s="426"/>
      <c r="BX34" s="2737"/>
    </row>
    <row r="35" spans="1:76" ht="12.2" customHeight="1" x14ac:dyDescent="0.2">
      <c r="A35" s="420"/>
      <c r="B35" s="289"/>
      <c r="C35" s="6190" t="s">
        <v>1368</v>
      </c>
      <c r="D35" s="6191"/>
      <c r="E35" s="435" t="str">
        <f>IF(C33=0,"",VLOOKUP(C33,'Tablas Magia'!$D$6:$Z$680,7,FALSE))</f>
        <v/>
      </c>
      <c r="F35" s="435" t="str">
        <f>IF(C33=0,"",VLOOKUP(C33,'Tablas Magia'!$D$6:$Z$680,11,FALSE))</f>
        <v/>
      </c>
      <c r="G35" s="436" t="str">
        <f>IF(C33=0,"",VLOOKUP(C33,'Tablas Magia'!$D$6:$Z$680,15,FALSE))</f>
        <v/>
      </c>
      <c r="H35" s="6192" t="str">
        <f>IF(C33=0,"",VLOOKUP(C33,'Tablas Magia'!$D$6:$Z$680,19,FALSE))</f>
        <v/>
      </c>
      <c r="I35" s="6193"/>
      <c r="J35" s="6193"/>
      <c r="K35" s="6193"/>
      <c r="L35" s="6193"/>
      <c r="M35" s="6193"/>
      <c r="N35" s="6193"/>
      <c r="O35" s="6193"/>
      <c r="P35" s="6193"/>
      <c r="Q35" s="6194"/>
      <c r="R35" s="426"/>
      <c r="S35" s="420"/>
      <c r="T35" s="420"/>
      <c r="U35" s="289"/>
      <c r="V35" s="6190" t="s">
        <v>1368</v>
      </c>
      <c r="W35" s="6191"/>
      <c r="X35" s="435" t="str">
        <f>IF(V33=0,"",VLOOKUP(V33,'Tablas Magia'!$D$6:$Z$680,7,FALSE))</f>
        <v/>
      </c>
      <c r="Y35" s="435" t="str">
        <f>IF(V33=0,"",VLOOKUP(V33,'Tablas Magia'!$D$6:$Z$680,11,FALSE))</f>
        <v/>
      </c>
      <c r="Z35" s="436" t="str">
        <f>IF(V33=0,"",VLOOKUP(V33,'Tablas Magia'!$D$6:$Z$680,15,FALSE))</f>
        <v/>
      </c>
      <c r="AA35" s="6192" t="str">
        <f>IF(V33=0,"",VLOOKUP(V33,'Tablas Magia'!$D$6:$Z$680,19,FALSE))</f>
        <v/>
      </c>
      <c r="AB35" s="6193"/>
      <c r="AC35" s="6193"/>
      <c r="AD35" s="6193"/>
      <c r="AE35" s="6193"/>
      <c r="AF35" s="6193"/>
      <c r="AG35" s="6193"/>
      <c r="AH35" s="6193"/>
      <c r="AI35" s="6193"/>
      <c r="AJ35" s="6194"/>
      <c r="AK35" s="426"/>
      <c r="AL35" s="420"/>
      <c r="AM35" s="420"/>
      <c r="AN35" s="289"/>
      <c r="AO35" s="6190" t="s">
        <v>1368</v>
      </c>
      <c r="AP35" s="6191"/>
      <c r="AQ35" s="435" t="str">
        <f>IF(AO33=0,"",VLOOKUP(AO33,'Tablas Magia'!$D$6:$Z$680,7,FALSE))</f>
        <v/>
      </c>
      <c r="AR35" s="435" t="str">
        <f>IF(AO33=0,"",VLOOKUP(AO33,'Tablas Magia'!$D$6:$Z$680,11,FALSE))</f>
        <v/>
      </c>
      <c r="AS35" s="436" t="str">
        <f>IF(AO33=0,"",VLOOKUP(AO33,'Tablas Magia'!$D$6:$Z$680,15,FALSE))</f>
        <v/>
      </c>
      <c r="AT35" s="6192" t="str">
        <f>IF(AO33=0,"",VLOOKUP(AO33,'Tablas Magia'!$D$6:$Z$680,19,FALSE))</f>
        <v/>
      </c>
      <c r="AU35" s="6193"/>
      <c r="AV35" s="6193"/>
      <c r="AW35" s="6193"/>
      <c r="AX35" s="6193"/>
      <c r="AY35" s="6193"/>
      <c r="AZ35" s="6193"/>
      <c r="BA35" s="6193"/>
      <c r="BB35" s="6193"/>
      <c r="BC35" s="6194"/>
      <c r="BD35" s="426"/>
      <c r="BE35" s="420"/>
      <c r="BF35" s="2737"/>
      <c r="BG35" s="289"/>
      <c r="BH35" s="6190" t="s">
        <v>1368</v>
      </c>
      <c r="BI35" s="6191"/>
      <c r="BJ35" s="435" t="str">
        <f>IF(BH33=0,"",VLOOKUP(BH33,'Tablas Magia'!$D$6:$Z$680,7,FALSE))</f>
        <v/>
      </c>
      <c r="BK35" s="435" t="str">
        <f>IF(BH33=0,"",VLOOKUP(BH33,'Tablas Magia'!$D$6:$Z$680,11,FALSE))</f>
        <v/>
      </c>
      <c r="BL35" s="436" t="str">
        <f>IF(BH33=0,"",VLOOKUP(BH33,'Tablas Magia'!$D$6:$Z$680,15,FALSE))</f>
        <v/>
      </c>
      <c r="BM35" s="6192" t="str">
        <f>IF(BH33=0,"",VLOOKUP(BH33,'Tablas Magia'!$D$6:$Z$680,19,FALSE))</f>
        <v/>
      </c>
      <c r="BN35" s="6193"/>
      <c r="BO35" s="6193"/>
      <c r="BP35" s="6193"/>
      <c r="BQ35" s="6193"/>
      <c r="BR35" s="6193"/>
      <c r="BS35" s="6193"/>
      <c r="BT35" s="6193"/>
      <c r="BU35" s="6193"/>
      <c r="BV35" s="6194"/>
      <c r="BW35" s="426"/>
      <c r="BX35" s="2737"/>
    </row>
    <row r="36" spans="1:76" ht="12.2" customHeight="1" x14ac:dyDescent="0.2">
      <c r="A36" s="420"/>
      <c r="B36" s="289"/>
      <c r="C36" s="6185" t="s">
        <v>3233</v>
      </c>
      <c r="D36" s="6186"/>
      <c r="E36" s="437" t="str">
        <f>IF(C33=0,"",VLOOKUP(C33,'Tablas Magia'!$D$6:$Z$680,8,FALSE))</f>
        <v/>
      </c>
      <c r="F36" s="437" t="str">
        <f>IF(C33=0,"",VLOOKUP(C33,'Tablas Magia'!$D$6:$Z$680,12,FALSE))</f>
        <v/>
      </c>
      <c r="G36" s="438" t="str">
        <f>IF(C33=0,"",VLOOKUP(C33,'Tablas Magia'!$D$6:$Z$680,16,FALSE))</f>
        <v/>
      </c>
      <c r="H36" s="6187" t="str">
        <f>IF(C33=0,"",VLOOKUP(C33,'Tablas Magia'!$D$6:$Z$680,20,FALSE))</f>
        <v/>
      </c>
      <c r="I36" s="6188"/>
      <c r="J36" s="6188"/>
      <c r="K36" s="6188"/>
      <c r="L36" s="6188"/>
      <c r="M36" s="6188"/>
      <c r="N36" s="6188"/>
      <c r="O36" s="6188"/>
      <c r="P36" s="6188"/>
      <c r="Q36" s="6189"/>
      <c r="R36" s="426"/>
      <c r="S36" s="420"/>
      <c r="T36" s="420"/>
      <c r="U36" s="289"/>
      <c r="V36" s="6185" t="s">
        <v>3233</v>
      </c>
      <c r="W36" s="6186"/>
      <c r="X36" s="437" t="str">
        <f>IF(V33=0,"",VLOOKUP(V33,'Tablas Magia'!$D$6:$Z$680,8,FALSE))</f>
        <v/>
      </c>
      <c r="Y36" s="437" t="str">
        <f>IF(V33=0,"",VLOOKUP(V33,'Tablas Magia'!$D$6:$Z$680,12,FALSE))</f>
        <v/>
      </c>
      <c r="Z36" s="438" t="str">
        <f>IF(V33=0,"",VLOOKUP(V33,'Tablas Magia'!$D$6:$Z$680,16,FALSE))</f>
        <v/>
      </c>
      <c r="AA36" s="6187" t="str">
        <f>IF(V33=0,"",VLOOKUP(V33,'Tablas Magia'!$D$6:$Z$680,20,FALSE))</f>
        <v/>
      </c>
      <c r="AB36" s="6188"/>
      <c r="AC36" s="6188"/>
      <c r="AD36" s="6188"/>
      <c r="AE36" s="6188"/>
      <c r="AF36" s="6188"/>
      <c r="AG36" s="6188"/>
      <c r="AH36" s="6188"/>
      <c r="AI36" s="6188"/>
      <c r="AJ36" s="6189"/>
      <c r="AK36" s="426"/>
      <c r="AL36" s="420"/>
      <c r="AM36" s="420"/>
      <c r="AN36" s="289"/>
      <c r="AO36" s="6185" t="s">
        <v>3233</v>
      </c>
      <c r="AP36" s="6186"/>
      <c r="AQ36" s="437" t="str">
        <f>IF(AO33=0,"",VLOOKUP(AO33,'Tablas Magia'!$D$6:$Z$680,8,FALSE))</f>
        <v/>
      </c>
      <c r="AR36" s="437" t="str">
        <f>IF(AO33=0,"",VLOOKUP(AO33,'Tablas Magia'!$D$6:$Z$680,12,FALSE))</f>
        <v/>
      </c>
      <c r="AS36" s="438" t="str">
        <f>IF(AO33=0,"",VLOOKUP(AO33,'Tablas Magia'!$D$6:$Z$680,16,FALSE))</f>
        <v/>
      </c>
      <c r="AT36" s="6187" t="str">
        <f>IF(AO33=0,"",VLOOKUP(AO33,'Tablas Magia'!$D$6:$Z$680,20,FALSE))</f>
        <v/>
      </c>
      <c r="AU36" s="6188"/>
      <c r="AV36" s="6188"/>
      <c r="AW36" s="6188"/>
      <c r="AX36" s="6188"/>
      <c r="AY36" s="6188"/>
      <c r="AZ36" s="6188"/>
      <c r="BA36" s="6188"/>
      <c r="BB36" s="6188"/>
      <c r="BC36" s="6189"/>
      <c r="BD36" s="426"/>
      <c r="BE36" s="420"/>
      <c r="BF36" s="2737"/>
      <c r="BG36" s="289"/>
      <c r="BH36" s="6185" t="s">
        <v>3233</v>
      </c>
      <c r="BI36" s="6186"/>
      <c r="BJ36" s="437" t="str">
        <f>IF(BH33=0,"",VLOOKUP(BH33,'Tablas Magia'!$D$6:$Z$680,8,FALSE))</f>
        <v/>
      </c>
      <c r="BK36" s="437" t="str">
        <f>IF(BH33=0,"",VLOOKUP(BH33,'Tablas Magia'!$D$6:$Z$680,12,FALSE))</f>
        <v/>
      </c>
      <c r="BL36" s="438" t="str">
        <f>IF(BH33=0,"",VLOOKUP(BH33,'Tablas Magia'!$D$6:$Z$680,16,FALSE))</f>
        <v/>
      </c>
      <c r="BM36" s="6187" t="str">
        <f>IF(BH33=0,"",VLOOKUP(BH33,'Tablas Magia'!$D$6:$Z$680,20,FALSE))</f>
        <v/>
      </c>
      <c r="BN36" s="6188"/>
      <c r="BO36" s="6188"/>
      <c r="BP36" s="6188"/>
      <c r="BQ36" s="6188"/>
      <c r="BR36" s="6188"/>
      <c r="BS36" s="6188"/>
      <c r="BT36" s="6188"/>
      <c r="BU36" s="6188"/>
      <c r="BV36" s="6189"/>
      <c r="BW36" s="426"/>
      <c r="BX36" s="2737"/>
    </row>
    <row r="37" spans="1:76" ht="12.2" customHeight="1" x14ac:dyDescent="0.2">
      <c r="A37" s="420"/>
      <c r="B37" s="289"/>
      <c r="C37" s="6190" t="s">
        <v>3234</v>
      </c>
      <c r="D37" s="6191"/>
      <c r="E37" s="435" t="str">
        <f>IF(C33=0,"",VLOOKUP(C33,'Tablas Magia'!$D$6:$Z$680,9,FALSE))</f>
        <v/>
      </c>
      <c r="F37" s="435" t="str">
        <f>IF(C33=0,"",VLOOKUP(C33,'Tablas Magia'!$D$6:$Z$680,13,FALSE))</f>
        <v/>
      </c>
      <c r="G37" s="436" t="str">
        <f>IF(C33=0,"",VLOOKUP(C33,'Tablas Magia'!$D$6:$Z$680,17,FALSE))</f>
        <v/>
      </c>
      <c r="H37" s="6192" t="str">
        <f>IF(C33=0,"",VLOOKUP(C33,'Tablas Magia'!$D$6:$Z$680,21,FALSE))</f>
        <v/>
      </c>
      <c r="I37" s="6193"/>
      <c r="J37" s="6193"/>
      <c r="K37" s="6193"/>
      <c r="L37" s="6193"/>
      <c r="M37" s="6193"/>
      <c r="N37" s="6193"/>
      <c r="O37" s="6193"/>
      <c r="P37" s="6193"/>
      <c r="Q37" s="6194"/>
      <c r="R37" s="426"/>
      <c r="S37" s="420"/>
      <c r="T37" s="420"/>
      <c r="U37" s="289"/>
      <c r="V37" s="6190" t="s">
        <v>3234</v>
      </c>
      <c r="W37" s="6191"/>
      <c r="X37" s="435" t="str">
        <f>IF(V33=0,"",VLOOKUP(V33,'Tablas Magia'!$D$6:$Z$680,9,FALSE))</f>
        <v/>
      </c>
      <c r="Y37" s="435" t="str">
        <f>IF(V33=0,"",VLOOKUP(V33,'Tablas Magia'!$D$6:$Z$680,13,FALSE))</f>
        <v/>
      </c>
      <c r="Z37" s="436" t="str">
        <f>IF(V33=0,"",VLOOKUP(V33,'Tablas Magia'!$D$6:$Z$680,17,FALSE))</f>
        <v/>
      </c>
      <c r="AA37" s="6192" t="str">
        <f>IF(V33=0,"",VLOOKUP(V33,'Tablas Magia'!$D$6:$Z$680,21,FALSE))</f>
        <v/>
      </c>
      <c r="AB37" s="6193"/>
      <c r="AC37" s="6193"/>
      <c r="AD37" s="6193"/>
      <c r="AE37" s="6193"/>
      <c r="AF37" s="6193"/>
      <c r="AG37" s="6193"/>
      <c r="AH37" s="6193"/>
      <c r="AI37" s="6193"/>
      <c r="AJ37" s="6194"/>
      <c r="AK37" s="426"/>
      <c r="AL37" s="420"/>
      <c r="AM37" s="420"/>
      <c r="AN37" s="289"/>
      <c r="AO37" s="6190" t="s">
        <v>3234</v>
      </c>
      <c r="AP37" s="6191"/>
      <c r="AQ37" s="435" t="str">
        <f>IF(AO33=0,"",VLOOKUP(AO33,'Tablas Magia'!$D$6:$Z$680,9,FALSE))</f>
        <v/>
      </c>
      <c r="AR37" s="435" t="str">
        <f>IF(AO33=0,"",VLOOKUP(AO33,'Tablas Magia'!$D$6:$Z$680,13,FALSE))</f>
        <v/>
      </c>
      <c r="AS37" s="436" t="str">
        <f>IF(AO33=0,"",VLOOKUP(AO33,'Tablas Magia'!$D$6:$Z$680,17,FALSE))</f>
        <v/>
      </c>
      <c r="AT37" s="6192" t="str">
        <f>IF(AO33=0,"",VLOOKUP(AO33,'Tablas Magia'!$D$6:$Z$680,21,FALSE))</f>
        <v/>
      </c>
      <c r="AU37" s="6193"/>
      <c r="AV37" s="6193"/>
      <c r="AW37" s="6193"/>
      <c r="AX37" s="6193"/>
      <c r="AY37" s="6193"/>
      <c r="AZ37" s="6193"/>
      <c r="BA37" s="6193"/>
      <c r="BB37" s="6193"/>
      <c r="BC37" s="6194"/>
      <c r="BD37" s="426"/>
      <c r="BE37" s="420"/>
      <c r="BF37" s="2737"/>
      <c r="BG37" s="289"/>
      <c r="BH37" s="6190" t="s">
        <v>3234</v>
      </c>
      <c r="BI37" s="6191"/>
      <c r="BJ37" s="435" t="str">
        <f>IF(BH33=0,"",VLOOKUP(BH33,'Tablas Magia'!$D$6:$Z$680,9,FALSE))</f>
        <v/>
      </c>
      <c r="BK37" s="435" t="str">
        <f>IF(BH33=0,"",VLOOKUP(BH33,'Tablas Magia'!$D$6:$Z$680,13,FALSE))</f>
        <v/>
      </c>
      <c r="BL37" s="436" t="str">
        <f>IF(BH33=0,"",VLOOKUP(BH33,'Tablas Magia'!$D$6:$Z$680,17,FALSE))</f>
        <v/>
      </c>
      <c r="BM37" s="6192" t="str">
        <f>IF(BH33=0,"",VLOOKUP(BH33,'Tablas Magia'!$D$6:$Z$680,21,FALSE))</f>
        <v/>
      </c>
      <c r="BN37" s="6193"/>
      <c r="BO37" s="6193"/>
      <c r="BP37" s="6193"/>
      <c r="BQ37" s="6193"/>
      <c r="BR37" s="6193"/>
      <c r="BS37" s="6193"/>
      <c r="BT37" s="6193"/>
      <c r="BU37" s="6193"/>
      <c r="BV37" s="6194"/>
      <c r="BW37" s="426"/>
      <c r="BX37" s="2737"/>
    </row>
    <row r="38" spans="1:76" ht="12.2" customHeight="1" thickBot="1" x14ac:dyDescent="0.25">
      <c r="A38" s="420"/>
      <c r="B38" s="289"/>
      <c r="C38" s="6200" t="s">
        <v>3235</v>
      </c>
      <c r="D38" s="6201"/>
      <c r="E38" s="439" t="str">
        <f>IF(C33=0,"",VLOOKUP(C33,'Tablas Magia'!$D$6:$Z$680,10,FALSE))</f>
        <v/>
      </c>
      <c r="F38" s="439" t="str">
        <f>IF(C33=0,"",VLOOKUP(C33,'Tablas Magia'!$D$6:$Z$680,14,FALSE))</f>
        <v/>
      </c>
      <c r="G38" s="440" t="str">
        <f>IF(C33=0,"",VLOOKUP(C33,'Tablas Magia'!$D$6:$Z$680,18,FALSE))</f>
        <v/>
      </c>
      <c r="H38" s="6202" t="str">
        <f>IF(C33=0,"",VLOOKUP(C33,'Tablas Magia'!$D$6:$Z$680,22,FALSE))</f>
        <v/>
      </c>
      <c r="I38" s="6203"/>
      <c r="J38" s="6203"/>
      <c r="K38" s="6203"/>
      <c r="L38" s="6203"/>
      <c r="M38" s="6203"/>
      <c r="N38" s="6203"/>
      <c r="O38" s="6203"/>
      <c r="P38" s="6203"/>
      <c r="Q38" s="6204"/>
      <c r="R38" s="426"/>
      <c r="S38" s="420"/>
      <c r="T38" s="420"/>
      <c r="U38" s="289"/>
      <c r="V38" s="6200" t="s">
        <v>3235</v>
      </c>
      <c r="W38" s="6201"/>
      <c r="X38" s="439" t="str">
        <f>IF(V33=0,"",VLOOKUP(V33,'Tablas Magia'!$D$6:$Z$680,10,FALSE))</f>
        <v/>
      </c>
      <c r="Y38" s="439" t="str">
        <f>IF(V33=0,"",VLOOKUP(V33,'Tablas Magia'!$D$6:$Z$680,14,FALSE))</f>
        <v/>
      </c>
      <c r="Z38" s="440" t="str">
        <f>IF(V33=0,"",VLOOKUP(V33,'Tablas Magia'!$D$6:$Z$680,18,FALSE))</f>
        <v/>
      </c>
      <c r="AA38" s="6202" t="str">
        <f>IF(V33=0,"",VLOOKUP(V33,'Tablas Magia'!$D$6:$Z$680,22,FALSE))</f>
        <v/>
      </c>
      <c r="AB38" s="6203"/>
      <c r="AC38" s="6203"/>
      <c r="AD38" s="6203"/>
      <c r="AE38" s="6203"/>
      <c r="AF38" s="6203"/>
      <c r="AG38" s="6203"/>
      <c r="AH38" s="6203"/>
      <c r="AI38" s="6203"/>
      <c r="AJ38" s="6204"/>
      <c r="AK38" s="426"/>
      <c r="AL38" s="420"/>
      <c r="AM38" s="420"/>
      <c r="AN38" s="289"/>
      <c r="AO38" s="6200" t="s">
        <v>3235</v>
      </c>
      <c r="AP38" s="6201"/>
      <c r="AQ38" s="439" t="str">
        <f>IF(AO33=0,"",VLOOKUP(AO33,'Tablas Magia'!$D$6:$Z$680,10,FALSE))</f>
        <v/>
      </c>
      <c r="AR38" s="439" t="str">
        <f>IF(AO33=0,"",VLOOKUP(AO33,'Tablas Magia'!$D$6:$Z$680,14,FALSE))</f>
        <v/>
      </c>
      <c r="AS38" s="440" t="str">
        <f>IF(AO33=0,"",VLOOKUP(AO33,'Tablas Magia'!$D$6:$Z$680,18,FALSE))</f>
        <v/>
      </c>
      <c r="AT38" s="6202" t="str">
        <f>IF(AO33=0,"",VLOOKUP(AO33,'Tablas Magia'!$D$6:$Z$680,22,FALSE))</f>
        <v/>
      </c>
      <c r="AU38" s="6203"/>
      <c r="AV38" s="6203"/>
      <c r="AW38" s="6203"/>
      <c r="AX38" s="6203"/>
      <c r="AY38" s="6203"/>
      <c r="AZ38" s="6203"/>
      <c r="BA38" s="6203"/>
      <c r="BB38" s="6203"/>
      <c r="BC38" s="6204"/>
      <c r="BD38" s="426"/>
      <c r="BE38" s="420"/>
      <c r="BF38" s="2737"/>
      <c r="BG38" s="289"/>
      <c r="BH38" s="6200" t="s">
        <v>3235</v>
      </c>
      <c r="BI38" s="6201"/>
      <c r="BJ38" s="439" t="str">
        <f>IF(BH33=0,"",VLOOKUP(BH33,'Tablas Magia'!$D$6:$Z$680,10,FALSE))</f>
        <v/>
      </c>
      <c r="BK38" s="439" t="str">
        <f>IF(BH33=0,"",VLOOKUP(BH33,'Tablas Magia'!$D$6:$Z$680,14,FALSE))</f>
        <v/>
      </c>
      <c r="BL38" s="440" t="str">
        <f>IF(BH33=0,"",VLOOKUP(BH33,'Tablas Magia'!$D$6:$Z$680,18,FALSE))</f>
        <v/>
      </c>
      <c r="BM38" s="6202" t="str">
        <f>IF(BH33=0,"",VLOOKUP(BH33,'Tablas Magia'!$D$6:$Z$680,22,FALSE))</f>
        <v/>
      </c>
      <c r="BN38" s="6203"/>
      <c r="BO38" s="6203"/>
      <c r="BP38" s="6203"/>
      <c r="BQ38" s="6203"/>
      <c r="BR38" s="6203"/>
      <c r="BS38" s="6203"/>
      <c r="BT38" s="6203"/>
      <c r="BU38" s="6203"/>
      <c r="BV38" s="6204"/>
      <c r="BW38" s="426"/>
      <c r="BX38" s="2737"/>
    </row>
    <row r="39" spans="1:76" ht="12.2" customHeight="1" x14ac:dyDescent="0.2">
      <c r="A39" s="420"/>
      <c r="B39" s="289"/>
      <c r="C39" s="6205" t="str">
        <f>IF(C33=0,"",VLOOKUP(C33,'Tablas Magia'!$D$6:$Z$680,23,FALSE))</f>
        <v/>
      </c>
      <c r="D39" s="6206"/>
      <c r="E39" s="6206"/>
      <c r="F39" s="6206"/>
      <c r="G39" s="6206"/>
      <c r="H39" s="6206"/>
      <c r="I39" s="6206"/>
      <c r="J39" s="6206"/>
      <c r="K39" s="6206"/>
      <c r="L39" s="6206"/>
      <c r="M39" s="6206"/>
      <c r="N39" s="6206"/>
      <c r="O39" s="6206"/>
      <c r="P39" s="6206"/>
      <c r="Q39" s="6207"/>
      <c r="R39" s="426"/>
      <c r="S39" s="420"/>
      <c r="T39" s="420"/>
      <c r="U39" s="289"/>
      <c r="V39" s="6205" t="str">
        <f>IF(V33=0,"",VLOOKUP(V33,'Tablas Magia'!$D$6:$Z$680,23,FALSE))</f>
        <v/>
      </c>
      <c r="W39" s="6206"/>
      <c r="X39" s="6206"/>
      <c r="Y39" s="6206"/>
      <c r="Z39" s="6206"/>
      <c r="AA39" s="6206"/>
      <c r="AB39" s="6206"/>
      <c r="AC39" s="6206"/>
      <c r="AD39" s="6206"/>
      <c r="AE39" s="6206"/>
      <c r="AF39" s="6206"/>
      <c r="AG39" s="6206"/>
      <c r="AH39" s="6206"/>
      <c r="AI39" s="6206"/>
      <c r="AJ39" s="6207"/>
      <c r="AK39" s="426"/>
      <c r="AL39" s="420"/>
      <c r="AM39" s="420"/>
      <c r="AN39" s="289"/>
      <c r="AO39" s="6205" t="str">
        <f>IF(AO33=0,"",VLOOKUP(AO33,'Tablas Magia'!$D$6:$Z$680,23,FALSE))</f>
        <v/>
      </c>
      <c r="AP39" s="6206"/>
      <c r="AQ39" s="6206"/>
      <c r="AR39" s="6206"/>
      <c r="AS39" s="6206"/>
      <c r="AT39" s="6206"/>
      <c r="AU39" s="6206"/>
      <c r="AV39" s="6206"/>
      <c r="AW39" s="6206"/>
      <c r="AX39" s="6206"/>
      <c r="AY39" s="6206"/>
      <c r="AZ39" s="6206"/>
      <c r="BA39" s="6206"/>
      <c r="BB39" s="6206"/>
      <c r="BC39" s="6207"/>
      <c r="BD39" s="426"/>
      <c r="BE39" s="420"/>
      <c r="BF39" s="2737"/>
      <c r="BG39" s="289"/>
      <c r="BH39" s="6205" t="str">
        <f>IF(BH33=0,"",VLOOKUP(BH33,'Tablas Magia'!$D$6:$Z$680,23,FALSE))</f>
        <v/>
      </c>
      <c r="BI39" s="6206"/>
      <c r="BJ39" s="6206"/>
      <c r="BK39" s="6206"/>
      <c r="BL39" s="6206"/>
      <c r="BM39" s="6206"/>
      <c r="BN39" s="6206"/>
      <c r="BO39" s="6206"/>
      <c r="BP39" s="6206"/>
      <c r="BQ39" s="6206"/>
      <c r="BR39" s="6206"/>
      <c r="BS39" s="6206"/>
      <c r="BT39" s="6206"/>
      <c r="BU39" s="6206"/>
      <c r="BV39" s="6207"/>
      <c r="BW39" s="426"/>
      <c r="BX39" s="2737"/>
    </row>
    <row r="40" spans="1:76" ht="12.2" customHeight="1" x14ac:dyDescent="0.2">
      <c r="A40" s="420"/>
      <c r="B40" s="289"/>
      <c r="C40" s="6208"/>
      <c r="D40" s="6209"/>
      <c r="E40" s="6209"/>
      <c r="F40" s="6209"/>
      <c r="G40" s="6209"/>
      <c r="H40" s="6209"/>
      <c r="I40" s="6209"/>
      <c r="J40" s="6209"/>
      <c r="K40" s="6209"/>
      <c r="L40" s="6209"/>
      <c r="M40" s="6209"/>
      <c r="N40" s="6209"/>
      <c r="O40" s="6209"/>
      <c r="P40" s="6209"/>
      <c r="Q40" s="6210"/>
      <c r="R40" s="426"/>
      <c r="S40" s="420"/>
      <c r="T40" s="420"/>
      <c r="U40" s="289"/>
      <c r="V40" s="6208"/>
      <c r="W40" s="6209"/>
      <c r="X40" s="6209"/>
      <c r="Y40" s="6209"/>
      <c r="Z40" s="6209"/>
      <c r="AA40" s="6209"/>
      <c r="AB40" s="6209"/>
      <c r="AC40" s="6209"/>
      <c r="AD40" s="6209"/>
      <c r="AE40" s="6209"/>
      <c r="AF40" s="6209"/>
      <c r="AG40" s="6209"/>
      <c r="AH40" s="6209"/>
      <c r="AI40" s="6209"/>
      <c r="AJ40" s="6210"/>
      <c r="AK40" s="426"/>
      <c r="AL40" s="420"/>
      <c r="AM40" s="420"/>
      <c r="AN40" s="289"/>
      <c r="AO40" s="6208"/>
      <c r="AP40" s="6209"/>
      <c r="AQ40" s="6209"/>
      <c r="AR40" s="6209"/>
      <c r="AS40" s="6209"/>
      <c r="AT40" s="6209"/>
      <c r="AU40" s="6209"/>
      <c r="AV40" s="6209"/>
      <c r="AW40" s="6209"/>
      <c r="AX40" s="6209"/>
      <c r="AY40" s="6209"/>
      <c r="AZ40" s="6209"/>
      <c r="BA40" s="6209"/>
      <c r="BB40" s="6209"/>
      <c r="BC40" s="6210"/>
      <c r="BD40" s="426"/>
      <c r="BE40" s="420"/>
      <c r="BF40" s="2737"/>
      <c r="BG40" s="289"/>
      <c r="BH40" s="6208"/>
      <c r="BI40" s="6209"/>
      <c r="BJ40" s="6209"/>
      <c r="BK40" s="6209"/>
      <c r="BL40" s="6209"/>
      <c r="BM40" s="6209"/>
      <c r="BN40" s="6209"/>
      <c r="BO40" s="6209"/>
      <c r="BP40" s="6209"/>
      <c r="BQ40" s="6209"/>
      <c r="BR40" s="6209"/>
      <c r="BS40" s="6209"/>
      <c r="BT40" s="6209"/>
      <c r="BU40" s="6209"/>
      <c r="BV40" s="6210"/>
      <c r="BW40" s="426"/>
      <c r="BX40" s="2737"/>
    </row>
    <row r="41" spans="1:76" ht="12.2" customHeight="1" x14ac:dyDescent="0.2">
      <c r="A41" s="420"/>
      <c r="B41" s="289"/>
      <c r="C41" s="6208"/>
      <c r="D41" s="6209"/>
      <c r="E41" s="6209"/>
      <c r="F41" s="6209"/>
      <c r="G41" s="6209"/>
      <c r="H41" s="6209"/>
      <c r="I41" s="6209"/>
      <c r="J41" s="6209"/>
      <c r="K41" s="6209"/>
      <c r="L41" s="6209"/>
      <c r="M41" s="6209"/>
      <c r="N41" s="6209"/>
      <c r="O41" s="6209"/>
      <c r="P41" s="6209"/>
      <c r="Q41" s="6210"/>
      <c r="R41" s="426"/>
      <c r="S41" s="420"/>
      <c r="T41" s="420"/>
      <c r="U41" s="289"/>
      <c r="V41" s="6208"/>
      <c r="W41" s="6209"/>
      <c r="X41" s="6209"/>
      <c r="Y41" s="6209"/>
      <c r="Z41" s="6209"/>
      <c r="AA41" s="6209"/>
      <c r="AB41" s="6209"/>
      <c r="AC41" s="6209"/>
      <c r="AD41" s="6209"/>
      <c r="AE41" s="6209"/>
      <c r="AF41" s="6209"/>
      <c r="AG41" s="6209"/>
      <c r="AH41" s="6209"/>
      <c r="AI41" s="6209"/>
      <c r="AJ41" s="6210"/>
      <c r="AK41" s="426"/>
      <c r="AL41" s="420"/>
      <c r="AM41" s="420"/>
      <c r="AN41" s="289"/>
      <c r="AO41" s="6208"/>
      <c r="AP41" s="6209"/>
      <c r="AQ41" s="6209"/>
      <c r="AR41" s="6209"/>
      <c r="AS41" s="6209"/>
      <c r="AT41" s="6209"/>
      <c r="AU41" s="6209"/>
      <c r="AV41" s="6209"/>
      <c r="AW41" s="6209"/>
      <c r="AX41" s="6209"/>
      <c r="AY41" s="6209"/>
      <c r="AZ41" s="6209"/>
      <c r="BA41" s="6209"/>
      <c r="BB41" s="6209"/>
      <c r="BC41" s="6210"/>
      <c r="BD41" s="426"/>
      <c r="BE41" s="420"/>
      <c r="BF41" s="2737"/>
      <c r="BG41" s="289"/>
      <c r="BH41" s="6208"/>
      <c r="BI41" s="6209"/>
      <c r="BJ41" s="6209"/>
      <c r="BK41" s="6209"/>
      <c r="BL41" s="6209"/>
      <c r="BM41" s="6209"/>
      <c r="BN41" s="6209"/>
      <c r="BO41" s="6209"/>
      <c r="BP41" s="6209"/>
      <c r="BQ41" s="6209"/>
      <c r="BR41" s="6209"/>
      <c r="BS41" s="6209"/>
      <c r="BT41" s="6209"/>
      <c r="BU41" s="6209"/>
      <c r="BV41" s="6210"/>
      <c r="BW41" s="426"/>
      <c r="BX41" s="2737"/>
    </row>
    <row r="42" spans="1:76" ht="12.2" customHeight="1" thickBot="1" x14ac:dyDescent="0.25">
      <c r="A42" s="420"/>
      <c r="B42" s="289"/>
      <c r="C42" s="6211"/>
      <c r="D42" s="6212"/>
      <c r="E42" s="6212"/>
      <c r="F42" s="6212"/>
      <c r="G42" s="6212"/>
      <c r="H42" s="6212"/>
      <c r="I42" s="6212"/>
      <c r="J42" s="6212"/>
      <c r="K42" s="6212"/>
      <c r="L42" s="6212"/>
      <c r="M42" s="6212"/>
      <c r="N42" s="6212"/>
      <c r="O42" s="6212"/>
      <c r="P42" s="6212"/>
      <c r="Q42" s="6213"/>
      <c r="R42" s="426"/>
      <c r="S42" s="420"/>
      <c r="T42" s="420"/>
      <c r="U42" s="289"/>
      <c r="V42" s="6211"/>
      <c r="W42" s="6212"/>
      <c r="X42" s="6212"/>
      <c r="Y42" s="6212"/>
      <c r="Z42" s="6212"/>
      <c r="AA42" s="6212"/>
      <c r="AB42" s="6212"/>
      <c r="AC42" s="6212"/>
      <c r="AD42" s="6212"/>
      <c r="AE42" s="6212"/>
      <c r="AF42" s="6212"/>
      <c r="AG42" s="6212"/>
      <c r="AH42" s="6212"/>
      <c r="AI42" s="6212"/>
      <c r="AJ42" s="6213"/>
      <c r="AK42" s="426"/>
      <c r="AL42" s="420"/>
      <c r="AM42" s="420"/>
      <c r="AN42" s="289"/>
      <c r="AO42" s="6211"/>
      <c r="AP42" s="6212"/>
      <c r="AQ42" s="6212"/>
      <c r="AR42" s="6212"/>
      <c r="AS42" s="6212"/>
      <c r="AT42" s="6212"/>
      <c r="AU42" s="6212"/>
      <c r="AV42" s="6212"/>
      <c r="AW42" s="6212"/>
      <c r="AX42" s="6212"/>
      <c r="AY42" s="6212"/>
      <c r="AZ42" s="6212"/>
      <c r="BA42" s="6212"/>
      <c r="BB42" s="6212"/>
      <c r="BC42" s="6213"/>
      <c r="BD42" s="426"/>
      <c r="BE42" s="420"/>
      <c r="BF42" s="2737"/>
      <c r="BG42" s="289"/>
      <c r="BH42" s="6211"/>
      <c r="BI42" s="6212"/>
      <c r="BJ42" s="6212"/>
      <c r="BK42" s="6212"/>
      <c r="BL42" s="6212"/>
      <c r="BM42" s="6212"/>
      <c r="BN42" s="6212"/>
      <c r="BO42" s="6212"/>
      <c r="BP42" s="6212"/>
      <c r="BQ42" s="6212"/>
      <c r="BR42" s="6212"/>
      <c r="BS42" s="6212"/>
      <c r="BT42" s="6212"/>
      <c r="BU42" s="6212"/>
      <c r="BV42" s="6213"/>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180"/>
      <c r="D44" s="6181"/>
      <c r="E44" s="6181"/>
      <c r="F44" s="6181"/>
      <c r="G44" s="6181"/>
      <c r="H44" s="430" t="s">
        <v>1328</v>
      </c>
      <c r="I44" s="431" t="str">
        <f>IF(C44=0,"",VLOOKUP(C44,'Tablas Magia'!$D$6:$Z$680,3,FALSE))</f>
        <v/>
      </c>
      <c r="J44" s="6182" t="s">
        <v>6329</v>
      </c>
      <c r="K44" s="6182"/>
      <c r="L44" s="6182"/>
      <c r="M44" s="6183" t="str">
        <f>IF(C44=0,"",VLOOKUP(C44,'Tablas Magia'!$D$6:$Z$680,2,FALSE))</f>
        <v/>
      </c>
      <c r="N44" s="6183"/>
      <c r="O44" s="6183"/>
      <c r="P44" s="6183"/>
      <c r="Q44" s="6184"/>
      <c r="R44" s="426"/>
      <c r="S44" s="420"/>
      <c r="T44" s="420"/>
      <c r="U44" s="289"/>
      <c r="V44" s="6180"/>
      <c r="W44" s="6181"/>
      <c r="X44" s="6181"/>
      <c r="Y44" s="6181"/>
      <c r="Z44" s="6181"/>
      <c r="AA44" s="430" t="s">
        <v>1328</v>
      </c>
      <c r="AB44" s="431" t="str">
        <f>IF(V44=0,"",VLOOKUP(V44,'Tablas Magia'!$D$6:$Z$680,3,FALSE))</f>
        <v/>
      </c>
      <c r="AC44" s="6182" t="s">
        <v>6329</v>
      </c>
      <c r="AD44" s="6182"/>
      <c r="AE44" s="6182"/>
      <c r="AF44" s="6183" t="str">
        <f>IF(V44=0,"",VLOOKUP(V44,'Tablas Magia'!$D$6:$Z$680,2,FALSE))</f>
        <v/>
      </c>
      <c r="AG44" s="6183"/>
      <c r="AH44" s="6183"/>
      <c r="AI44" s="6183"/>
      <c r="AJ44" s="6184"/>
      <c r="AK44" s="426"/>
      <c r="AL44" s="420"/>
      <c r="AM44" s="420"/>
      <c r="AN44" s="289"/>
      <c r="AO44" s="6180"/>
      <c r="AP44" s="6181"/>
      <c r="AQ44" s="6181"/>
      <c r="AR44" s="6181"/>
      <c r="AS44" s="6181"/>
      <c r="AT44" s="430" t="s">
        <v>1328</v>
      </c>
      <c r="AU44" s="431" t="str">
        <f>IF(AO44=0,"",VLOOKUP(AO44,'Tablas Magia'!$D$6:$Z$680,3,FALSE))</f>
        <v/>
      </c>
      <c r="AV44" s="6182" t="s">
        <v>6329</v>
      </c>
      <c r="AW44" s="6182"/>
      <c r="AX44" s="6182"/>
      <c r="AY44" s="6183" t="str">
        <f>IF(AO44=0,"",VLOOKUP(AO44,'Tablas Magia'!$D$6:$Z$680,2,FALSE))</f>
        <v/>
      </c>
      <c r="AZ44" s="6183"/>
      <c r="BA44" s="6183"/>
      <c r="BB44" s="6183"/>
      <c r="BC44" s="6184"/>
      <c r="BD44" s="426"/>
      <c r="BE44" s="420"/>
      <c r="BF44" s="2737"/>
      <c r="BG44" s="289"/>
      <c r="BH44" s="6180"/>
      <c r="BI44" s="6181"/>
      <c r="BJ44" s="6181"/>
      <c r="BK44" s="6181"/>
      <c r="BL44" s="6181"/>
      <c r="BM44" s="430" t="s">
        <v>1328</v>
      </c>
      <c r="BN44" s="431" t="str">
        <f>IF(BH44=0,"",VLOOKUP(BH44,'Tablas Magia'!$D$6:$Z$680,3,FALSE))</f>
        <v/>
      </c>
      <c r="BO44" s="6182" t="s">
        <v>6329</v>
      </c>
      <c r="BP44" s="6182"/>
      <c r="BQ44" s="6182"/>
      <c r="BR44" s="6183" t="str">
        <f>IF(BH44=0,"",VLOOKUP(BH44,'Tablas Magia'!$D$6:$Z$680,2,FALSE))</f>
        <v/>
      </c>
      <c r="BS44" s="6183"/>
      <c r="BT44" s="6183"/>
      <c r="BU44" s="6183"/>
      <c r="BV44" s="6184"/>
      <c r="BW44" s="426"/>
      <c r="BX44" s="2737"/>
    </row>
    <row r="45" spans="1:76" ht="12.2" customHeight="1" x14ac:dyDescent="0.2">
      <c r="A45" s="420"/>
      <c r="B45" s="289"/>
      <c r="C45" s="6198" t="s">
        <v>6330</v>
      </c>
      <c r="D45" s="6199"/>
      <c r="E45" s="432" t="s">
        <v>6331</v>
      </c>
      <c r="F45" s="432" t="s">
        <v>1512</v>
      </c>
      <c r="G45" s="432" t="s">
        <v>2862</v>
      </c>
      <c r="H45" s="433" t="s">
        <v>1840</v>
      </c>
      <c r="I45" s="6195" t="str">
        <f>IF(C44=0,"",VLOOKUP(C44,'Tablas Magia'!$D$6:$Z$680,5,FALSE))</f>
        <v/>
      </c>
      <c r="J45" s="6195"/>
      <c r="K45" s="6196" t="s">
        <v>6332</v>
      </c>
      <c r="L45" s="6196"/>
      <c r="M45" s="6195" t="str">
        <f>IF(C44=0,"",VLOOKUP(C44,'Tablas Magia'!$D$6:$Z$680,6,FALSE))</f>
        <v/>
      </c>
      <c r="N45" s="6195"/>
      <c r="O45" s="6197" t="s">
        <v>6333</v>
      </c>
      <c r="P45" s="6197"/>
      <c r="Q45" s="434" t="str">
        <f>IF(C44=0,"",VLOOKUP(C44,'Tablas Magia'!$D$6:$Z$680,4,FALSE))</f>
        <v/>
      </c>
      <c r="R45" s="426"/>
      <c r="S45" s="420"/>
      <c r="T45" s="420"/>
      <c r="U45" s="289"/>
      <c r="V45" s="6198" t="s">
        <v>6330</v>
      </c>
      <c r="W45" s="6199"/>
      <c r="X45" s="432" t="s">
        <v>6331</v>
      </c>
      <c r="Y45" s="432" t="s">
        <v>1512</v>
      </c>
      <c r="Z45" s="432" t="s">
        <v>2862</v>
      </c>
      <c r="AA45" s="433" t="s">
        <v>1840</v>
      </c>
      <c r="AB45" s="6195" t="str">
        <f>IF(V44=0,"",VLOOKUP(V44,'Tablas Magia'!$D$6:$Z$680,5,FALSE))</f>
        <v/>
      </c>
      <c r="AC45" s="6195"/>
      <c r="AD45" s="6196" t="s">
        <v>6332</v>
      </c>
      <c r="AE45" s="6196"/>
      <c r="AF45" s="6195" t="str">
        <f>IF(V44=0,"",VLOOKUP(V44,'Tablas Magia'!$D$6:$Z$680,6,FALSE))</f>
        <v/>
      </c>
      <c r="AG45" s="6195"/>
      <c r="AH45" s="6197" t="s">
        <v>6333</v>
      </c>
      <c r="AI45" s="6197"/>
      <c r="AJ45" s="434" t="str">
        <f>IF(V44=0,"",VLOOKUP(V44,'Tablas Magia'!$D$6:$Z$680,4,FALSE))</f>
        <v/>
      </c>
      <c r="AK45" s="426"/>
      <c r="AL45" s="420"/>
      <c r="AM45" s="420"/>
      <c r="AN45" s="289"/>
      <c r="AO45" s="6198" t="s">
        <v>6330</v>
      </c>
      <c r="AP45" s="6199"/>
      <c r="AQ45" s="432" t="s">
        <v>6331</v>
      </c>
      <c r="AR45" s="432" t="s">
        <v>1512</v>
      </c>
      <c r="AS45" s="432" t="s">
        <v>2862</v>
      </c>
      <c r="AT45" s="433" t="s">
        <v>1840</v>
      </c>
      <c r="AU45" s="6195" t="str">
        <f>IF(AO44=0,"",VLOOKUP(AO44,'Tablas Magia'!$D$6:$Z$680,5,FALSE))</f>
        <v/>
      </c>
      <c r="AV45" s="6195"/>
      <c r="AW45" s="6196" t="s">
        <v>6332</v>
      </c>
      <c r="AX45" s="6196"/>
      <c r="AY45" s="6195" t="str">
        <f>IF(AO44=0,"",VLOOKUP(AO44,'Tablas Magia'!$D$6:$Z$680,6,FALSE))</f>
        <v/>
      </c>
      <c r="AZ45" s="6195"/>
      <c r="BA45" s="6197" t="s">
        <v>6333</v>
      </c>
      <c r="BB45" s="6197"/>
      <c r="BC45" s="434" t="str">
        <f>IF(AO44=0,"",VLOOKUP(AO44,'Tablas Magia'!$D$6:$Z$680,4,FALSE))</f>
        <v/>
      </c>
      <c r="BD45" s="426"/>
      <c r="BE45" s="420"/>
      <c r="BF45" s="2737"/>
      <c r="BG45" s="289"/>
      <c r="BH45" s="6198" t="s">
        <v>6330</v>
      </c>
      <c r="BI45" s="6199"/>
      <c r="BJ45" s="432" t="s">
        <v>6331</v>
      </c>
      <c r="BK45" s="432" t="s">
        <v>1512</v>
      </c>
      <c r="BL45" s="432" t="s">
        <v>2862</v>
      </c>
      <c r="BM45" s="433" t="s">
        <v>1840</v>
      </c>
      <c r="BN45" s="6195" t="str">
        <f>IF(BH44=0,"",VLOOKUP(BH44,'Tablas Magia'!$D$6:$Z$680,5,FALSE))</f>
        <v/>
      </c>
      <c r="BO45" s="6195"/>
      <c r="BP45" s="6196" t="s">
        <v>6332</v>
      </c>
      <c r="BQ45" s="6196"/>
      <c r="BR45" s="6195" t="str">
        <f>IF(BH44=0,"",VLOOKUP(BH44,'Tablas Magia'!$D$6:$Z$680,6,FALSE))</f>
        <v/>
      </c>
      <c r="BS45" s="6195"/>
      <c r="BT45" s="6197" t="s">
        <v>6333</v>
      </c>
      <c r="BU45" s="6197"/>
      <c r="BV45" s="434" t="str">
        <f>IF(BH44=0,"",VLOOKUP(BH44,'Tablas Magia'!$D$6:$Z$680,4,FALSE))</f>
        <v/>
      </c>
      <c r="BW45" s="426"/>
      <c r="BX45" s="2737"/>
    </row>
    <row r="46" spans="1:76" ht="12.2" customHeight="1" x14ac:dyDescent="0.2">
      <c r="A46" s="420"/>
      <c r="B46" s="289"/>
      <c r="C46" s="6190" t="s">
        <v>1368</v>
      </c>
      <c r="D46" s="6191"/>
      <c r="E46" s="435" t="str">
        <f>IF(C44=0,"",VLOOKUP(C44,'Tablas Magia'!$D$6:$Z$680,7,FALSE))</f>
        <v/>
      </c>
      <c r="F46" s="435" t="str">
        <f>IF(C44=0,"",VLOOKUP(C44,'Tablas Magia'!$D$6:$Z$680,11,FALSE))</f>
        <v/>
      </c>
      <c r="G46" s="436" t="str">
        <f>IF(C44=0,"",VLOOKUP(C44,'Tablas Magia'!$D$6:$Z$680,15,FALSE))</f>
        <v/>
      </c>
      <c r="H46" s="6192" t="str">
        <f>IF(C44=0,"",VLOOKUP(C44,'Tablas Magia'!$D$6:$Z$680,19,FALSE))</f>
        <v/>
      </c>
      <c r="I46" s="6193"/>
      <c r="J46" s="6193"/>
      <c r="K46" s="6193"/>
      <c r="L46" s="6193"/>
      <c r="M46" s="6193"/>
      <c r="N46" s="6193"/>
      <c r="O46" s="6193"/>
      <c r="P46" s="6193"/>
      <c r="Q46" s="6194"/>
      <c r="R46" s="426"/>
      <c r="S46" s="420"/>
      <c r="T46" s="420"/>
      <c r="U46" s="289"/>
      <c r="V46" s="6190" t="s">
        <v>1368</v>
      </c>
      <c r="W46" s="6191"/>
      <c r="X46" s="435" t="str">
        <f>IF(V44=0,"",VLOOKUP(V44,'Tablas Magia'!$D$6:$Z$680,7,FALSE))</f>
        <v/>
      </c>
      <c r="Y46" s="435" t="str">
        <f>IF(V44=0,"",VLOOKUP(V44,'Tablas Magia'!$D$6:$Z$680,11,FALSE))</f>
        <v/>
      </c>
      <c r="Z46" s="436" t="str">
        <f>IF(V44=0,"",VLOOKUP(V44,'Tablas Magia'!$D$6:$Z$680,15,FALSE))</f>
        <v/>
      </c>
      <c r="AA46" s="6192" t="str">
        <f>IF(V44=0,"",VLOOKUP(V44,'Tablas Magia'!$D$6:$Z$680,19,FALSE))</f>
        <v/>
      </c>
      <c r="AB46" s="6193"/>
      <c r="AC46" s="6193"/>
      <c r="AD46" s="6193"/>
      <c r="AE46" s="6193"/>
      <c r="AF46" s="6193"/>
      <c r="AG46" s="6193"/>
      <c r="AH46" s="6193"/>
      <c r="AI46" s="6193"/>
      <c r="AJ46" s="6194"/>
      <c r="AK46" s="426"/>
      <c r="AL46" s="420"/>
      <c r="AM46" s="420"/>
      <c r="AN46" s="289"/>
      <c r="AO46" s="6190" t="s">
        <v>1368</v>
      </c>
      <c r="AP46" s="6191"/>
      <c r="AQ46" s="435" t="str">
        <f>IF(AO44=0,"",VLOOKUP(AO44,'Tablas Magia'!$D$6:$Z$680,7,FALSE))</f>
        <v/>
      </c>
      <c r="AR46" s="435" t="str">
        <f>IF(AO44=0,"",VLOOKUP(AO44,'Tablas Magia'!$D$6:$Z$680,11,FALSE))</f>
        <v/>
      </c>
      <c r="AS46" s="436" t="str">
        <f>IF(AO44=0,"",VLOOKUP(AO44,'Tablas Magia'!$D$6:$Z$680,15,FALSE))</f>
        <v/>
      </c>
      <c r="AT46" s="6192" t="str">
        <f>IF(AO44=0,"",VLOOKUP(AO44,'Tablas Magia'!$D$6:$Z$680,19,FALSE))</f>
        <v/>
      </c>
      <c r="AU46" s="6193"/>
      <c r="AV46" s="6193"/>
      <c r="AW46" s="6193"/>
      <c r="AX46" s="6193"/>
      <c r="AY46" s="6193"/>
      <c r="AZ46" s="6193"/>
      <c r="BA46" s="6193"/>
      <c r="BB46" s="6193"/>
      <c r="BC46" s="6194"/>
      <c r="BD46" s="426"/>
      <c r="BE46" s="420"/>
      <c r="BF46" s="2737"/>
      <c r="BG46" s="289"/>
      <c r="BH46" s="6190" t="s">
        <v>1368</v>
      </c>
      <c r="BI46" s="6191"/>
      <c r="BJ46" s="435" t="str">
        <f>IF(BH44=0,"",VLOOKUP(BH44,'Tablas Magia'!$D$6:$Z$680,7,FALSE))</f>
        <v/>
      </c>
      <c r="BK46" s="435" t="str">
        <f>IF(BH44=0,"",VLOOKUP(BH44,'Tablas Magia'!$D$6:$Z$680,11,FALSE))</f>
        <v/>
      </c>
      <c r="BL46" s="436" t="str">
        <f>IF(BH44=0,"",VLOOKUP(BH44,'Tablas Magia'!$D$6:$Z$680,15,FALSE))</f>
        <v/>
      </c>
      <c r="BM46" s="6192" t="str">
        <f>IF(BH44=0,"",VLOOKUP(BH44,'Tablas Magia'!$D$6:$Z$680,19,FALSE))</f>
        <v/>
      </c>
      <c r="BN46" s="6193"/>
      <c r="BO46" s="6193"/>
      <c r="BP46" s="6193"/>
      <c r="BQ46" s="6193"/>
      <c r="BR46" s="6193"/>
      <c r="BS46" s="6193"/>
      <c r="BT46" s="6193"/>
      <c r="BU46" s="6193"/>
      <c r="BV46" s="6194"/>
      <c r="BW46" s="426"/>
      <c r="BX46" s="2737"/>
    </row>
    <row r="47" spans="1:76" ht="12.2" customHeight="1" x14ac:dyDescent="0.2">
      <c r="A47" s="420"/>
      <c r="B47" s="289"/>
      <c r="C47" s="6185" t="s">
        <v>3233</v>
      </c>
      <c r="D47" s="6186"/>
      <c r="E47" s="437" t="str">
        <f>IF(C44=0,"",VLOOKUP(C44,'Tablas Magia'!$D$6:$Z$680,8,FALSE))</f>
        <v/>
      </c>
      <c r="F47" s="437" t="str">
        <f>IF(C44=0,"",VLOOKUP(C44,'Tablas Magia'!$D$6:$Z$680,12,FALSE))</f>
        <v/>
      </c>
      <c r="G47" s="438" t="str">
        <f>IF(C44=0,"",VLOOKUP(C44,'Tablas Magia'!$D$6:$Z$680,16,FALSE))</f>
        <v/>
      </c>
      <c r="H47" s="6187" t="str">
        <f>IF(C44=0,"",VLOOKUP(C44,'Tablas Magia'!$D$6:$Z$680,20,FALSE))</f>
        <v/>
      </c>
      <c r="I47" s="6188"/>
      <c r="J47" s="6188"/>
      <c r="K47" s="6188"/>
      <c r="L47" s="6188"/>
      <c r="M47" s="6188"/>
      <c r="N47" s="6188"/>
      <c r="O47" s="6188"/>
      <c r="P47" s="6188"/>
      <c r="Q47" s="6189"/>
      <c r="R47" s="426"/>
      <c r="S47" s="420"/>
      <c r="T47" s="420"/>
      <c r="U47" s="289"/>
      <c r="V47" s="6185" t="s">
        <v>3233</v>
      </c>
      <c r="W47" s="6186"/>
      <c r="X47" s="437" t="str">
        <f>IF(V44=0,"",VLOOKUP(V44,'Tablas Magia'!$D$6:$Z$680,8,FALSE))</f>
        <v/>
      </c>
      <c r="Y47" s="437" t="str">
        <f>IF(V44=0,"",VLOOKUP(V44,'Tablas Magia'!$D$6:$Z$680,12,FALSE))</f>
        <v/>
      </c>
      <c r="Z47" s="438" t="str">
        <f>IF(V44=0,"",VLOOKUP(V44,'Tablas Magia'!$D$6:$Z$680,16,FALSE))</f>
        <v/>
      </c>
      <c r="AA47" s="6187" t="str">
        <f>IF(V44=0,"",VLOOKUP(V44,'Tablas Magia'!$D$6:$Z$680,20,FALSE))</f>
        <v/>
      </c>
      <c r="AB47" s="6188"/>
      <c r="AC47" s="6188"/>
      <c r="AD47" s="6188"/>
      <c r="AE47" s="6188"/>
      <c r="AF47" s="6188"/>
      <c r="AG47" s="6188"/>
      <c r="AH47" s="6188"/>
      <c r="AI47" s="6188"/>
      <c r="AJ47" s="6189"/>
      <c r="AK47" s="426"/>
      <c r="AL47" s="420"/>
      <c r="AM47" s="420"/>
      <c r="AN47" s="289"/>
      <c r="AO47" s="6185" t="s">
        <v>3233</v>
      </c>
      <c r="AP47" s="6186"/>
      <c r="AQ47" s="437" t="str">
        <f>IF(AO44=0,"",VLOOKUP(AO44,'Tablas Magia'!$D$6:$Z$680,8,FALSE))</f>
        <v/>
      </c>
      <c r="AR47" s="437" t="str">
        <f>IF(AO44=0,"",VLOOKUP(AO44,'Tablas Magia'!$D$6:$Z$680,12,FALSE))</f>
        <v/>
      </c>
      <c r="AS47" s="438" t="str">
        <f>IF(AO44=0,"",VLOOKUP(AO44,'Tablas Magia'!$D$6:$Z$680,16,FALSE))</f>
        <v/>
      </c>
      <c r="AT47" s="6187" t="str">
        <f>IF(AO44=0,"",VLOOKUP(AO44,'Tablas Magia'!$D$6:$Z$680,20,FALSE))</f>
        <v/>
      </c>
      <c r="AU47" s="6188"/>
      <c r="AV47" s="6188"/>
      <c r="AW47" s="6188"/>
      <c r="AX47" s="6188"/>
      <c r="AY47" s="6188"/>
      <c r="AZ47" s="6188"/>
      <c r="BA47" s="6188"/>
      <c r="BB47" s="6188"/>
      <c r="BC47" s="6189"/>
      <c r="BD47" s="426"/>
      <c r="BE47" s="420"/>
      <c r="BF47" s="2737"/>
      <c r="BG47" s="289"/>
      <c r="BH47" s="6185" t="s">
        <v>3233</v>
      </c>
      <c r="BI47" s="6186"/>
      <c r="BJ47" s="437" t="str">
        <f>IF(BH44=0,"",VLOOKUP(BH44,'Tablas Magia'!$D$6:$Z$680,8,FALSE))</f>
        <v/>
      </c>
      <c r="BK47" s="437" t="str">
        <f>IF(BH44=0,"",VLOOKUP(BH44,'Tablas Magia'!$D$6:$Z$680,12,FALSE))</f>
        <v/>
      </c>
      <c r="BL47" s="438" t="str">
        <f>IF(BH44=0,"",VLOOKUP(BH44,'Tablas Magia'!$D$6:$Z$680,16,FALSE))</f>
        <v/>
      </c>
      <c r="BM47" s="6187" t="str">
        <f>IF(BH44=0,"",VLOOKUP(BH44,'Tablas Magia'!$D$6:$Z$680,20,FALSE))</f>
        <v/>
      </c>
      <c r="BN47" s="6188"/>
      <c r="BO47" s="6188"/>
      <c r="BP47" s="6188"/>
      <c r="BQ47" s="6188"/>
      <c r="BR47" s="6188"/>
      <c r="BS47" s="6188"/>
      <c r="BT47" s="6188"/>
      <c r="BU47" s="6188"/>
      <c r="BV47" s="6189"/>
      <c r="BW47" s="426"/>
      <c r="BX47" s="2737"/>
    </row>
    <row r="48" spans="1:76" ht="12.2" customHeight="1" x14ac:dyDescent="0.2">
      <c r="A48" s="420"/>
      <c r="B48" s="289"/>
      <c r="C48" s="6190" t="s">
        <v>3234</v>
      </c>
      <c r="D48" s="6191"/>
      <c r="E48" s="435" t="str">
        <f>IF(C44=0,"",VLOOKUP(C44,'Tablas Magia'!$D$6:$Z$680,9,FALSE))</f>
        <v/>
      </c>
      <c r="F48" s="435" t="str">
        <f>IF(C44=0,"",VLOOKUP(C44,'Tablas Magia'!$D$6:$Z$680,13,FALSE))</f>
        <v/>
      </c>
      <c r="G48" s="436" t="str">
        <f>IF(C44=0,"",VLOOKUP(C44,'Tablas Magia'!$D$6:$Z$680,17,FALSE))</f>
        <v/>
      </c>
      <c r="H48" s="6192" t="str">
        <f>IF(C44=0,"",VLOOKUP(C44,'Tablas Magia'!$D$6:$Z$680,21,FALSE))</f>
        <v/>
      </c>
      <c r="I48" s="6193"/>
      <c r="J48" s="6193"/>
      <c r="K48" s="6193"/>
      <c r="L48" s="6193"/>
      <c r="M48" s="6193"/>
      <c r="N48" s="6193"/>
      <c r="O48" s="6193"/>
      <c r="P48" s="6193"/>
      <c r="Q48" s="6194"/>
      <c r="R48" s="426"/>
      <c r="S48" s="420"/>
      <c r="T48" s="420"/>
      <c r="U48" s="289"/>
      <c r="V48" s="6190" t="s">
        <v>3234</v>
      </c>
      <c r="W48" s="6191"/>
      <c r="X48" s="435" t="str">
        <f>IF(V44=0,"",VLOOKUP(V44,'Tablas Magia'!$D$6:$Z$680,9,FALSE))</f>
        <v/>
      </c>
      <c r="Y48" s="435" t="str">
        <f>IF(V44=0,"",VLOOKUP(V44,'Tablas Magia'!$D$6:$Z$680,13,FALSE))</f>
        <v/>
      </c>
      <c r="Z48" s="436" t="str">
        <f>IF(V44=0,"",VLOOKUP(V44,'Tablas Magia'!$D$6:$Z$680,17,FALSE))</f>
        <v/>
      </c>
      <c r="AA48" s="6192" t="str">
        <f>IF(V44=0,"",VLOOKUP(V44,'Tablas Magia'!$D$6:$Z$680,21,FALSE))</f>
        <v/>
      </c>
      <c r="AB48" s="6193"/>
      <c r="AC48" s="6193"/>
      <c r="AD48" s="6193"/>
      <c r="AE48" s="6193"/>
      <c r="AF48" s="6193"/>
      <c r="AG48" s="6193"/>
      <c r="AH48" s="6193"/>
      <c r="AI48" s="6193"/>
      <c r="AJ48" s="6194"/>
      <c r="AK48" s="426"/>
      <c r="AL48" s="420"/>
      <c r="AM48" s="420"/>
      <c r="AN48" s="289"/>
      <c r="AO48" s="6190" t="s">
        <v>3234</v>
      </c>
      <c r="AP48" s="6191"/>
      <c r="AQ48" s="435" t="str">
        <f>IF(AO44=0,"",VLOOKUP(AO44,'Tablas Magia'!$D$6:$Z$680,9,FALSE))</f>
        <v/>
      </c>
      <c r="AR48" s="435" t="str">
        <f>IF(AO44=0,"",VLOOKUP(AO44,'Tablas Magia'!$D$6:$Z$680,13,FALSE))</f>
        <v/>
      </c>
      <c r="AS48" s="436" t="str">
        <f>IF(AO44=0,"",VLOOKUP(AO44,'Tablas Magia'!$D$6:$Z$680,17,FALSE))</f>
        <v/>
      </c>
      <c r="AT48" s="6192" t="str">
        <f>IF(AO44=0,"",VLOOKUP(AO44,'Tablas Magia'!$D$6:$Z$680,21,FALSE))</f>
        <v/>
      </c>
      <c r="AU48" s="6193"/>
      <c r="AV48" s="6193"/>
      <c r="AW48" s="6193"/>
      <c r="AX48" s="6193"/>
      <c r="AY48" s="6193"/>
      <c r="AZ48" s="6193"/>
      <c r="BA48" s="6193"/>
      <c r="BB48" s="6193"/>
      <c r="BC48" s="6194"/>
      <c r="BD48" s="426"/>
      <c r="BE48" s="420"/>
      <c r="BF48" s="2737"/>
      <c r="BG48" s="289"/>
      <c r="BH48" s="6190" t="s">
        <v>3234</v>
      </c>
      <c r="BI48" s="6191"/>
      <c r="BJ48" s="435" t="str">
        <f>IF(BH44=0,"",VLOOKUP(BH44,'Tablas Magia'!$D$6:$Z$680,9,FALSE))</f>
        <v/>
      </c>
      <c r="BK48" s="435" t="str">
        <f>IF(BH44=0,"",VLOOKUP(BH44,'Tablas Magia'!$D$6:$Z$680,13,FALSE))</f>
        <v/>
      </c>
      <c r="BL48" s="436" t="str">
        <f>IF(BH44=0,"",VLOOKUP(BH44,'Tablas Magia'!$D$6:$Z$680,17,FALSE))</f>
        <v/>
      </c>
      <c r="BM48" s="6192" t="str">
        <f>IF(BH44=0,"",VLOOKUP(BH44,'Tablas Magia'!$D$6:$Z$680,21,FALSE))</f>
        <v/>
      </c>
      <c r="BN48" s="6193"/>
      <c r="BO48" s="6193"/>
      <c r="BP48" s="6193"/>
      <c r="BQ48" s="6193"/>
      <c r="BR48" s="6193"/>
      <c r="BS48" s="6193"/>
      <c r="BT48" s="6193"/>
      <c r="BU48" s="6193"/>
      <c r="BV48" s="6194"/>
      <c r="BW48" s="426"/>
      <c r="BX48" s="2737"/>
    </row>
    <row r="49" spans="1:76" ht="12.2" customHeight="1" thickBot="1" x14ac:dyDescent="0.25">
      <c r="A49" s="420"/>
      <c r="B49" s="289"/>
      <c r="C49" s="6200" t="s">
        <v>3235</v>
      </c>
      <c r="D49" s="6201"/>
      <c r="E49" s="439" t="str">
        <f>IF(C44=0,"",VLOOKUP(C44,'Tablas Magia'!$D$6:$Z$680,10,FALSE))</f>
        <v/>
      </c>
      <c r="F49" s="439" t="str">
        <f>IF(C44=0,"",VLOOKUP(C44,'Tablas Magia'!$D$6:$Z$680,14,FALSE))</f>
        <v/>
      </c>
      <c r="G49" s="440" t="str">
        <f>IF(C44=0,"",VLOOKUP(C44,'Tablas Magia'!$D$6:$Z$680,18,FALSE))</f>
        <v/>
      </c>
      <c r="H49" s="6202" t="str">
        <f>IF(C44=0,"",VLOOKUP(C44,'Tablas Magia'!$D$6:$Z$680,22,FALSE))</f>
        <v/>
      </c>
      <c r="I49" s="6203"/>
      <c r="J49" s="6203"/>
      <c r="K49" s="6203"/>
      <c r="L49" s="6203"/>
      <c r="M49" s="6203"/>
      <c r="N49" s="6203"/>
      <c r="O49" s="6203"/>
      <c r="P49" s="6203"/>
      <c r="Q49" s="6204"/>
      <c r="R49" s="426"/>
      <c r="S49" s="420"/>
      <c r="T49" s="420"/>
      <c r="U49" s="289"/>
      <c r="V49" s="6200" t="s">
        <v>3235</v>
      </c>
      <c r="W49" s="6201"/>
      <c r="X49" s="439" t="str">
        <f>IF(V44=0,"",VLOOKUP(V44,'Tablas Magia'!$D$6:$Z$680,10,FALSE))</f>
        <v/>
      </c>
      <c r="Y49" s="439" t="str">
        <f>IF(V44=0,"",VLOOKUP(V44,'Tablas Magia'!$D$6:$Z$680,14,FALSE))</f>
        <v/>
      </c>
      <c r="Z49" s="440" t="str">
        <f>IF(V44=0,"",VLOOKUP(V44,'Tablas Magia'!$D$6:$Z$680,18,FALSE))</f>
        <v/>
      </c>
      <c r="AA49" s="6202" t="str">
        <f>IF(V44=0,"",VLOOKUP(V44,'Tablas Magia'!$D$6:$Z$680,22,FALSE))</f>
        <v/>
      </c>
      <c r="AB49" s="6203"/>
      <c r="AC49" s="6203"/>
      <c r="AD49" s="6203"/>
      <c r="AE49" s="6203"/>
      <c r="AF49" s="6203"/>
      <c r="AG49" s="6203"/>
      <c r="AH49" s="6203"/>
      <c r="AI49" s="6203"/>
      <c r="AJ49" s="6204"/>
      <c r="AK49" s="426"/>
      <c r="AL49" s="420"/>
      <c r="AM49" s="420"/>
      <c r="AN49" s="289"/>
      <c r="AO49" s="6200" t="s">
        <v>3235</v>
      </c>
      <c r="AP49" s="6201"/>
      <c r="AQ49" s="439" t="str">
        <f>IF(AO44=0,"",VLOOKUP(AO44,'Tablas Magia'!$D$6:$Z$680,10,FALSE))</f>
        <v/>
      </c>
      <c r="AR49" s="439" t="str">
        <f>IF(AO44=0,"",VLOOKUP(AO44,'Tablas Magia'!$D$6:$Z$680,14,FALSE))</f>
        <v/>
      </c>
      <c r="AS49" s="440" t="str">
        <f>IF(AO44=0,"",VLOOKUP(AO44,'Tablas Magia'!$D$6:$Z$680,18,FALSE))</f>
        <v/>
      </c>
      <c r="AT49" s="6202" t="str">
        <f>IF(AO44=0,"",VLOOKUP(AO44,'Tablas Magia'!$D$6:$Z$680,22,FALSE))</f>
        <v/>
      </c>
      <c r="AU49" s="6203"/>
      <c r="AV49" s="6203"/>
      <c r="AW49" s="6203"/>
      <c r="AX49" s="6203"/>
      <c r="AY49" s="6203"/>
      <c r="AZ49" s="6203"/>
      <c r="BA49" s="6203"/>
      <c r="BB49" s="6203"/>
      <c r="BC49" s="6204"/>
      <c r="BD49" s="426"/>
      <c r="BE49" s="420"/>
      <c r="BF49" s="2737"/>
      <c r="BG49" s="289"/>
      <c r="BH49" s="6200" t="s">
        <v>3235</v>
      </c>
      <c r="BI49" s="6201"/>
      <c r="BJ49" s="439" t="str">
        <f>IF(BH44=0,"",VLOOKUP(BH44,'Tablas Magia'!$D$6:$Z$680,10,FALSE))</f>
        <v/>
      </c>
      <c r="BK49" s="439" t="str">
        <f>IF(BH44=0,"",VLOOKUP(BH44,'Tablas Magia'!$D$6:$Z$680,14,FALSE))</f>
        <v/>
      </c>
      <c r="BL49" s="440" t="str">
        <f>IF(BH44=0,"",VLOOKUP(BH44,'Tablas Magia'!$D$6:$Z$680,18,FALSE))</f>
        <v/>
      </c>
      <c r="BM49" s="6202" t="str">
        <f>IF(BH44=0,"",VLOOKUP(BH44,'Tablas Magia'!$D$6:$Z$680,22,FALSE))</f>
        <v/>
      </c>
      <c r="BN49" s="6203"/>
      <c r="BO49" s="6203"/>
      <c r="BP49" s="6203"/>
      <c r="BQ49" s="6203"/>
      <c r="BR49" s="6203"/>
      <c r="BS49" s="6203"/>
      <c r="BT49" s="6203"/>
      <c r="BU49" s="6203"/>
      <c r="BV49" s="6204"/>
      <c r="BW49" s="426"/>
      <c r="BX49" s="2737"/>
    </row>
    <row r="50" spans="1:76" ht="12.2" customHeight="1" x14ac:dyDescent="0.2">
      <c r="A50" s="420"/>
      <c r="B50" s="289"/>
      <c r="C50" s="6205" t="str">
        <f>IF(C44=0,"",VLOOKUP(C44,'Tablas Magia'!$D$6:$Z$680,23,FALSE))</f>
        <v/>
      </c>
      <c r="D50" s="6206"/>
      <c r="E50" s="6206"/>
      <c r="F50" s="6206"/>
      <c r="G50" s="6206"/>
      <c r="H50" s="6206"/>
      <c r="I50" s="6206"/>
      <c r="J50" s="6206"/>
      <c r="K50" s="6206"/>
      <c r="L50" s="6206"/>
      <c r="M50" s="6206"/>
      <c r="N50" s="6206"/>
      <c r="O50" s="6206"/>
      <c r="P50" s="6206"/>
      <c r="Q50" s="6207"/>
      <c r="R50" s="426"/>
      <c r="S50" s="420"/>
      <c r="T50" s="420"/>
      <c r="U50" s="289"/>
      <c r="V50" s="6205" t="str">
        <f>IF(V44=0,"",VLOOKUP(V44,'Tablas Magia'!$D$6:$Z$680,23,FALSE))</f>
        <v/>
      </c>
      <c r="W50" s="6206"/>
      <c r="X50" s="6206"/>
      <c r="Y50" s="6206"/>
      <c r="Z50" s="6206"/>
      <c r="AA50" s="6206"/>
      <c r="AB50" s="6206"/>
      <c r="AC50" s="6206"/>
      <c r="AD50" s="6206"/>
      <c r="AE50" s="6206"/>
      <c r="AF50" s="6206"/>
      <c r="AG50" s="6206"/>
      <c r="AH50" s="6206"/>
      <c r="AI50" s="6206"/>
      <c r="AJ50" s="6207"/>
      <c r="AK50" s="426"/>
      <c r="AL50" s="420"/>
      <c r="AM50" s="420"/>
      <c r="AN50" s="289"/>
      <c r="AO50" s="6205" t="str">
        <f>IF(AO44=0,"",VLOOKUP(AO44,'Tablas Magia'!$D$6:$Z$680,23,FALSE))</f>
        <v/>
      </c>
      <c r="AP50" s="6206"/>
      <c r="AQ50" s="6206"/>
      <c r="AR50" s="6206"/>
      <c r="AS50" s="6206"/>
      <c r="AT50" s="6206"/>
      <c r="AU50" s="6206"/>
      <c r="AV50" s="6206"/>
      <c r="AW50" s="6206"/>
      <c r="AX50" s="6206"/>
      <c r="AY50" s="6206"/>
      <c r="AZ50" s="6206"/>
      <c r="BA50" s="6206"/>
      <c r="BB50" s="6206"/>
      <c r="BC50" s="6207"/>
      <c r="BD50" s="426"/>
      <c r="BE50" s="420"/>
      <c r="BF50" s="2737"/>
      <c r="BG50" s="289"/>
      <c r="BH50" s="6205" t="str">
        <f>IF(BH44=0,"",VLOOKUP(BH44,'Tablas Magia'!$D$6:$Z$680,23,FALSE))</f>
        <v/>
      </c>
      <c r="BI50" s="6206"/>
      <c r="BJ50" s="6206"/>
      <c r="BK50" s="6206"/>
      <c r="BL50" s="6206"/>
      <c r="BM50" s="6206"/>
      <c r="BN50" s="6206"/>
      <c r="BO50" s="6206"/>
      <c r="BP50" s="6206"/>
      <c r="BQ50" s="6206"/>
      <c r="BR50" s="6206"/>
      <c r="BS50" s="6206"/>
      <c r="BT50" s="6206"/>
      <c r="BU50" s="6206"/>
      <c r="BV50" s="6207"/>
      <c r="BW50" s="426"/>
      <c r="BX50" s="2737"/>
    </row>
    <row r="51" spans="1:76" ht="12.2" customHeight="1" x14ac:dyDescent="0.2">
      <c r="A51" s="420"/>
      <c r="B51" s="289"/>
      <c r="C51" s="6208"/>
      <c r="D51" s="6209"/>
      <c r="E51" s="6209"/>
      <c r="F51" s="6209"/>
      <c r="G51" s="6209"/>
      <c r="H51" s="6209"/>
      <c r="I51" s="6209"/>
      <c r="J51" s="6209"/>
      <c r="K51" s="6209"/>
      <c r="L51" s="6209"/>
      <c r="M51" s="6209"/>
      <c r="N51" s="6209"/>
      <c r="O51" s="6209"/>
      <c r="P51" s="6209"/>
      <c r="Q51" s="6210"/>
      <c r="R51" s="426"/>
      <c r="S51" s="420"/>
      <c r="T51" s="420"/>
      <c r="U51" s="289"/>
      <c r="V51" s="6208"/>
      <c r="W51" s="6209"/>
      <c r="X51" s="6209"/>
      <c r="Y51" s="6209"/>
      <c r="Z51" s="6209"/>
      <c r="AA51" s="6209"/>
      <c r="AB51" s="6209"/>
      <c r="AC51" s="6209"/>
      <c r="AD51" s="6209"/>
      <c r="AE51" s="6209"/>
      <c r="AF51" s="6209"/>
      <c r="AG51" s="6209"/>
      <c r="AH51" s="6209"/>
      <c r="AI51" s="6209"/>
      <c r="AJ51" s="6210"/>
      <c r="AK51" s="426"/>
      <c r="AL51" s="420"/>
      <c r="AM51" s="420"/>
      <c r="AN51" s="289"/>
      <c r="AO51" s="6208"/>
      <c r="AP51" s="6209"/>
      <c r="AQ51" s="6209"/>
      <c r="AR51" s="6209"/>
      <c r="AS51" s="6209"/>
      <c r="AT51" s="6209"/>
      <c r="AU51" s="6209"/>
      <c r="AV51" s="6209"/>
      <c r="AW51" s="6209"/>
      <c r="AX51" s="6209"/>
      <c r="AY51" s="6209"/>
      <c r="AZ51" s="6209"/>
      <c r="BA51" s="6209"/>
      <c r="BB51" s="6209"/>
      <c r="BC51" s="6210"/>
      <c r="BD51" s="426"/>
      <c r="BE51" s="420"/>
      <c r="BF51" s="2737"/>
      <c r="BG51" s="289"/>
      <c r="BH51" s="6208"/>
      <c r="BI51" s="6209"/>
      <c r="BJ51" s="6209"/>
      <c r="BK51" s="6209"/>
      <c r="BL51" s="6209"/>
      <c r="BM51" s="6209"/>
      <c r="BN51" s="6209"/>
      <c r="BO51" s="6209"/>
      <c r="BP51" s="6209"/>
      <c r="BQ51" s="6209"/>
      <c r="BR51" s="6209"/>
      <c r="BS51" s="6209"/>
      <c r="BT51" s="6209"/>
      <c r="BU51" s="6209"/>
      <c r="BV51" s="6210"/>
      <c r="BW51" s="426"/>
      <c r="BX51" s="2737"/>
    </row>
    <row r="52" spans="1:76" ht="12.2" customHeight="1" x14ac:dyDescent="0.2">
      <c r="A52" s="420"/>
      <c r="B52" s="289"/>
      <c r="C52" s="6208"/>
      <c r="D52" s="6209"/>
      <c r="E52" s="6209"/>
      <c r="F52" s="6209"/>
      <c r="G52" s="6209"/>
      <c r="H52" s="6209"/>
      <c r="I52" s="6209"/>
      <c r="J52" s="6209"/>
      <c r="K52" s="6209"/>
      <c r="L52" s="6209"/>
      <c r="M52" s="6209"/>
      <c r="N52" s="6209"/>
      <c r="O52" s="6209"/>
      <c r="P52" s="6209"/>
      <c r="Q52" s="6210"/>
      <c r="R52" s="426"/>
      <c r="S52" s="420"/>
      <c r="T52" s="420"/>
      <c r="U52" s="289"/>
      <c r="V52" s="6208"/>
      <c r="W52" s="6209"/>
      <c r="X52" s="6209"/>
      <c r="Y52" s="6209"/>
      <c r="Z52" s="6209"/>
      <c r="AA52" s="6209"/>
      <c r="AB52" s="6209"/>
      <c r="AC52" s="6209"/>
      <c r="AD52" s="6209"/>
      <c r="AE52" s="6209"/>
      <c r="AF52" s="6209"/>
      <c r="AG52" s="6209"/>
      <c r="AH52" s="6209"/>
      <c r="AI52" s="6209"/>
      <c r="AJ52" s="6210"/>
      <c r="AK52" s="426"/>
      <c r="AL52" s="420"/>
      <c r="AM52" s="420"/>
      <c r="AN52" s="289"/>
      <c r="AO52" s="6208"/>
      <c r="AP52" s="6209"/>
      <c r="AQ52" s="6209"/>
      <c r="AR52" s="6209"/>
      <c r="AS52" s="6209"/>
      <c r="AT52" s="6209"/>
      <c r="AU52" s="6209"/>
      <c r="AV52" s="6209"/>
      <c r="AW52" s="6209"/>
      <c r="AX52" s="6209"/>
      <c r="AY52" s="6209"/>
      <c r="AZ52" s="6209"/>
      <c r="BA52" s="6209"/>
      <c r="BB52" s="6209"/>
      <c r="BC52" s="6210"/>
      <c r="BD52" s="426"/>
      <c r="BE52" s="420"/>
      <c r="BF52" s="2737"/>
      <c r="BG52" s="289"/>
      <c r="BH52" s="6208"/>
      <c r="BI52" s="6209"/>
      <c r="BJ52" s="6209"/>
      <c r="BK52" s="6209"/>
      <c r="BL52" s="6209"/>
      <c r="BM52" s="6209"/>
      <c r="BN52" s="6209"/>
      <c r="BO52" s="6209"/>
      <c r="BP52" s="6209"/>
      <c r="BQ52" s="6209"/>
      <c r="BR52" s="6209"/>
      <c r="BS52" s="6209"/>
      <c r="BT52" s="6209"/>
      <c r="BU52" s="6209"/>
      <c r="BV52" s="6210"/>
      <c r="BW52" s="426"/>
      <c r="BX52" s="2737"/>
    </row>
    <row r="53" spans="1:76" ht="12.2" customHeight="1" thickBot="1" x14ac:dyDescent="0.25">
      <c r="A53" s="420"/>
      <c r="B53" s="289"/>
      <c r="C53" s="6211"/>
      <c r="D53" s="6212"/>
      <c r="E53" s="6212"/>
      <c r="F53" s="6212"/>
      <c r="G53" s="6212"/>
      <c r="H53" s="6212"/>
      <c r="I53" s="6212"/>
      <c r="J53" s="6212"/>
      <c r="K53" s="6212"/>
      <c r="L53" s="6212"/>
      <c r="M53" s="6212"/>
      <c r="N53" s="6212"/>
      <c r="O53" s="6212"/>
      <c r="P53" s="6212"/>
      <c r="Q53" s="6213"/>
      <c r="R53" s="426"/>
      <c r="S53" s="420"/>
      <c r="T53" s="420"/>
      <c r="U53" s="289"/>
      <c r="V53" s="6211"/>
      <c r="W53" s="6212"/>
      <c r="X53" s="6212"/>
      <c r="Y53" s="6212"/>
      <c r="Z53" s="6212"/>
      <c r="AA53" s="6212"/>
      <c r="AB53" s="6212"/>
      <c r="AC53" s="6212"/>
      <c r="AD53" s="6212"/>
      <c r="AE53" s="6212"/>
      <c r="AF53" s="6212"/>
      <c r="AG53" s="6212"/>
      <c r="AH53" s="6212"/>
      <c r="AI53" s="6212"/>
      <c r="AJ53" s="6213"/>
      <c r="AK53" s="426"/>
      <c r="AL53" s="420"/>
      <c r="AM53" s="420"/>
      <c r="AN53" s="289"/>
      <c r="AO53" s="6211"/>
      <c r="AP53" s="6212"/>
      <c r="AQ53" s="6212"/>
      <c r="AR53" s="6212"/>
      <c r="AS53" s="6212"/>
      <c r="AT53" s="6212"/>
      <c r="AU53" s="6212"/>
      <c r="AV53" s="6212"/>
      <c r="AW53" s="6212"/>
      <c r="AX53" s="6212"/>
      <c r="AY53" s="6212"/>
      <c r="AZ53" s="6212"/>
      <c r="BA53" s="6212"/>
      <c r="BB53" s="6212"/>
      <c r="BC53" s="6213"/>
      <c r="BD53" s="426"/>
      <c r="BE53" s="420"/>
      <c r="BF53" s="2737"/>
      <c r="BG53" s="289"/>
      <c r="BH53" s="6211"/>
      <c r="BI53" s="6212"/>
      <c r="BJ53" s="6212"/>
      <c r="BK53" s="6212"/>
      <c r="BL53" s="6212"/>
      <c r="BM53" s="6212"/>
      <c r="BN53" s="6212"/>
      <c r="BO53" s="6212"/>
      <c r="BP53" s="6212"/>
      <c r="BQ53" s="6212"/>
      <c r="BR53" s="6212"/>
      <c r="BS53" s="6212"/>
      <c r="BT53" s="6212"/>
      <c r="BU53" s="6212"/>
      <c r="BV53" s="6213"/>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180"/>
      <c r="D55" s="6181"/>
      <c r="E55" s="6181"/>
      <c r="F55" s="6181"/>
      <c r="G55" s="6181"/>
      <c r="H55" s="430" t="s">
        <v>1328</v>
      </c>
      <c r="I55" s="431" t="str">
        <f>IF(C55=0,"",VLOOKUP(C55,'Tablas Magia'!$D$6:$Z$680,3,FALSE))</f>
        <v/>
      </c>
      <c r="J55" s="6182" t="s">
        <v>6329</v>
      </c>
      <c r="K55" s="6182"/>
      <c r="L55" s="6182"/>
      <c r="M55" s="6183" t="str">
        <f>IF(C55=0,"",VLOOKUP(C55,'Tablas Magia'!$D$6:$Z$680,2,FALSE))</f>
        <v/>
      </c>
      <c r="N55" s="6183"/>
      <c r="O55" s="6183"/>
      <c r="P55" s="6183"/>
      <c r="Q55" s="6184"/>
      <c r="R55" s="426"/>
      <c r="S55" s="420"/>
      <c r="T55" s="420"/>
      <c r="U55" s="289"/>
      <c r="V55" s="6180"/>
      <c r="W55" s="6181"/>
      <c r="X55" s="6181"/>
      <c r="Y55" s="6181"/>
      <c r="Z55" s="6181"/>
      <c r="AA55" s="430" t="s">
        <v>1328</v>
      </c>
      <c r="AB55" s="431" t="str">
        <f>IF(V55=0,"",VLOOKUP(V55,'Tablas Magia'!$D$6:$Z$680,3,FALSE))</f>
        <v/>
      </c>
      <c r="AC55" s="6182" t="s">
        <v>6329</v>
      </c>
      <c r="AD55" s="6182"/>
      <c r="AE55" s="6182"/>
      <c r="AF55" s="6183" t="str">
        <f>IF(V55=0,"",VLOOKUP(V55,'Tablas Magia'!$D$6:$Z$680,2,FALSE))</f>
        <v/>
      </c>
      <c r="AG55" s="6183"/>
      <c r="AH55" s="6183"/>
      <c r="AI55" s="6183"/>
      <c r="AJ55" s="6184"/>
      <c r="AK55" s="426"/>
      <c r="AL55" s="420"/>
      <c r="AM55" s="420"/>
      <c r="AN55" s="289"/>
      <c r="AO55" s="6180"/>
      <c r="AP55" s="6181"/>
      <c r="AQ55" s="6181"/>
      <c r="AR55" s="6181"/>
      <c r="AS55" s="6181"/>
      <c r="AT55" s="430" t="s">
        <v>1328</v>
      </c>
      <c r="AU55" s="431" t="str">
        <f>IF(AO55=0,"",VLOOKUP(AO55,'Tablas Magia'!$D$6:$Z$680,3,FALSE))</f>
        <v/>
      </c>
      <c r="AV55" s="6182" t="s">
        <v>6329</v>
      </c>
      <c r="AW55" s="6182"/>
      <c r="AX55" s="6182"/>
      <c r="AY55" s="6183" t="str">
        <f>IF(AO55=0,"",VLOOKUP(AO55,'Tablas Magia'!$D$6:$Z$680,2,FALSE))</f>
        <v/>
      </c>
      <c r="AZ55" s="6183"/>
      <c r="BA55" s="6183"/>
      <c r="BB55" s="6183"/>
      <c r="BC55" s="6184"/>
      <c r="BD55" s="426"/>
      <c r="BE55" s="420"/>
      <c r="BF55" s="2737"/>
      <c r="BG55" s="289"/>
      <c r="BH55" s="6180"/>
      <c r="BI55" s="6181"/>
      <c r="BJ55" s="6181"/>
      <c r="BK55" s="6181"/>
      <c r="BL55" s="6181"/>
      <c r="BM55" s="430" t="s">
        <v>1328</v>
      </c>
      <c r="BN55" s="431" t="str">
        <f>IF(BH55=0,"",VLOOKUP(BH55,'Tablas Magia'!$D$6:$Z$680,3,FALSE))</f>
        <v/>
      </c>
      <c r="BO55" s="6182" t="s">
        <v>6329</v>
      </c>
      <c r="BP55" s="6182"/>
      <c r="BQ55" s="6182"/>
      <c r="BR55" s="6183" t="str">
        <f>IF(BH55=0,"",VLOOKUP(BH55,'Tablas Magia'!$D$6:$Z$680,2,FALSE))</f>
        <v/>
      </c>
      <c r="BS55" s="6183"/>
      <c r="BT55" s="6183"/>
      <c r="BU55" s="6183"/>
      <c r="BV55" s="6184"/>
      <c r="BW55" s="426"/>
      <c r="BX55" s="2737"/>
    </row>
    <row r="56" spans="1:76" ht="12.2" customHeight="1" x14ac:dyDescent="0.2">
      <c r="A56" s="420"/>
      <c r="B56" s="289"/>
      <c r="C56" s="6198" t="s">
        <v>6330</v>
      </c>
      <c r="D56" s="6199"/>
      <c r="E56" s="432" t="s">
        <v>6331</v>
      </c>
      <c r="F56" s="432" t="s">
        <v>1512</v>
      </c>
      <c r="G56" s="432" t="s">
        <v>2862</v>
      </c>
      <c r="H56" s="433" t="s">
        <v>1840</v>
      </c>
      <c r="I56" s="6195" t="str">
        <f>IF(C55=0,"",VLOOKUP(C55,'Tablas Magia'!$D$6:$Z$680,5,FALSE))</f>
        <v/>
      </c>
      <c r="J56" s="6195"/>
      <c r="K56" s="6196" t="s">
        <v>6332</v>
      </c>
      <c r="L56" s="6196"/>
      <c r="M56" s="6195" t="str">
        <f>IF(C55=0,"",VLOOKUP(C55,'Tablas Magia'!$D$6:$Z$680,6,FALSE))</f>
        <v/>
      </c>
      <c r="N56" s="6195"/>
      <c r="O56" s="6197" t="s">
        <v>6333</v>
      </c>
      <c r="P56" s="6197"/>
      <c r="Q56" s="434" t="str">
        <f>IF(C55=0,"",VLOOKUP(C55,'Tablas Magia'!$D$6:$Z$680,4,FALSE))</f>
        <v/>
      </c>
      <c r="R56" s="426"/>
      <c r="S56" s="420"/>
      <c r="T56" s="420"/>
      <c r="U56" s="289"/>
      <c r="V56" s="6198" t="s">
        <v>6330</v>
      </c>
      <c r="W56" s="6199"/>
      <c r="X56" s="432" t="s">
        <v>6331</v>
      </c>
      <c r="Y56" s="432" t="s">
        <v>1512</v>
      </c>
      <c r="Z56" s="432" t="s">
        <v>2862</v>
      </c>
      <c r="AA56" s="433" t="s">
        <v>1840</v>
      </c>
      <c r="AB56" s="6195" t="str">
        <f>IF(V55=0,"",VLOOKUP(V55,'Tablas Magia'!$D$6:$Z$680,5,FALSE))</f>
        <v/>
      </c>
      <c r="AC56" s="6195"/>
      <c r="AD56" s="6196" t="s">
        <v>6332</v>
      </c>
      <c r="AE56" s="6196"/>
      <c r="AF56" s="6195" t="str">
        <f>IF(V55=0,"",VLOOKUP(V55,'Tablas Magia'!$D$6:$Z$680,6,FALSE))</f>
        <v/>
      </c>
      <c r="AG56" s="6195"/>
      <c r="AH56" s="6197" t="s">
        <v>6333</v>
      </c>
      <c r="AI56" s="6197"/>
      <c r="AJ56" s="434" t="str">
        <f>IF(V55=0,"",VLOOKUP(V55,'Tablas Magia'!$D$6:$Z$680,4,FALSE))</f>
        <v/>
      </c>
      <c r="AK56" s="426"/>
      <c r="AL56" s="420"/>
      <c r="AM56" s="420"/>
      <c r="AN56" s="289"/>
      <c r="AO56" s="6198" t="s">
        <v>6330</v>
      </c>
      <c r="AP56" s="6199"/>
      <c r="AQ56" s="432" t="s">
        <v>6331</v>
      </c>
      <c r="AR56" s="432" t="s">
        <v>1512</v>
      </c>
      <c r="AS56" s="432" t="s">
        <v>2862</v>
      </c>
      <c r="AT56" s="433" t="s">
        <v>1840</v>
      </c>
      <c r="AU56" s="6195" t="str">
        <f>IF(AO55=0,"",VLOOKUP(AO55,'Tablas Magia'!$D$6:$Z$680,5,FALSE))</f>
        <v/>
      </c>
      <c r="AV56" s="6195"/>
      <c r="AW56" s="6196" t="s">
        <v>6332</v>
      </c>
      <c r="AX56" s="6196"/>
      <c r="AY56" s="6195" t="str">
        <f>IF(AO55=0,"",VLOOKUP(AO55,'Tablas Magia'!$D$6:$Z$680,6,FALSE))</f>
        <v/>
      </c>
      <c r="AZ56" s="6195"/>
      <c r="BA56" s="6197" t="s">
        <v>6333</v>
      </c>
      <c r="BB56" s="6197"/>
      <c r="BC56" s="434" t="str">
        <f>IF(AO55=0,"",VLOOKUP(AO55,'Tablas Magia'!$D$6:$Z$680,4,FALSE))</f>
        <v/>
      </c>
      <c r="BD56" s="426"/>
      <c r="BE56" s="420"/>
      <c r="BF56" s="2737"/>
      <c r="BG56" s="289"/>
      <c r="BH56" s="6198" t="s">
        <v>6330</v>
      </c>
      <c r="BI56" s="6199"/>
      <c r="BJ56" s="432" t="s">
        <v>6331</v>
      </c>
      <c r="BK56" s="432" t="s">
        <v>1512</v>
      </c>
      <c r="BL56" s="432" t="s">
        <v>2862</v>
      </c>
      <c r="BM56" s="433" t="s">
        <v>1840</v>
      </c>
      <c r="BN56" s="6195" t="str">
        <f>IF(BH55=0,"",VLOOKUP(BH55,'Tablas Magia'!$D$6:$Z$680,5,FALSE))</f>
        <v/>
      </c>
      <c r="BO56" s="6195"/>
      <c r="BP56" s="6196" t="s">
        <v>6332</v>
      </c>
      <c r="BQ56" s="6196"/>
      <c r="BR56" s="6195" t="str">
        <f>IF(BH55=0,"",VLOOKUP(BH55,'Tablas Magia'!$D$6:$Z$680,6,FALSE))</f>
        <v/>
      </c>
      <c r="BS56" s="6195"/>
      <c r="BT56" s="6197" t="s">
        <v>6333</v>
      </c>
      <c r="BU56" s="6197"/>
      <c r="BV56" s="434" t="str">
        <f>IF(BH55=0,"",VLOOKUP(BH55,'Tablas Magia'!$D$6:$Z$680,4,FALSE))</f>
        <v/>
      </c>
      <c r="BW56" s="426"/>
      <c r="BX56" s="2737"/>
    </row>
    <row r="57" spans="1:76" ht="12.2" customHeight="1" x14ac:dyDescent="0.2">
      <c r="A57" s="420"/>
      <c r="B57" s="289"/>
      <c r="C57" s="6190" t="s">
        <v>1368</v>
      </c>
      <c r="D57" s="6191"/>
      <c r="E57" s="435" t="str">
        <f>IF(C55=0,"",VLOOKUP(C55,'Tablas Magia'!$D$6:$Z$680,7,FALSE))</f>
        <v/>
      </c>
      <c r="F57" s="435" t="str">
        <f>IF(C55=0,"",VLOOKUP(C55,'Tablas Magia'!$D$6:$Z$680,11,FALSE))</f>
        <v/>
      </c>
      <c r="G57" s="436" t="str">
        <f>IF(C55=0,"",VLOOKUP(C55,'Tablas Magia'!$D$6:$Z$680,15,FALSE))</f>
        <v/>
      </c>
      <c r="H57" s="6192" t="str">
        <f>IF(C55=0,"",VLOOKUP(C55,'Tablas Magia'!$D$6:$Z$680,19,FALSE))</f>
        <v/>
      </c>
      <c r="I57" s="6193"/>
      <c r="J57" s="6193"/>
      <c r="K57" s="6193"/>
      <c r="L57" s="6193"/>
      <c r="M57" s="6193"/>
      <c r="N57" s="6193"/>
      <c r="O57" s="6193"/>
      <c r="P57" s="6193"/>
      <c r="Q57" s="6194"/>
      <c r="R57" s="426"/>
      <c r="S57" s="420"/>
      <c r="T57" s="420"/>
      <c r="U57" s="289"/>
      <c r="V57" s="6190" t="s">
        <v>1368</v>
      </c>
      <c r="W57" s="6191"/>
      <c r="X57" s="435" t="str">
        <f>IF(V55=0,"",VLOOKUP(V55,'Tablas Magia'!$D$6:$Z$680,7,FALSE))</f>
        <v/>
      </c>
      <c r="Y57" s="435" t="str">
        <f>IF(V55=0,"",VLOOKUP(V55,'Tablas Magia'!$D$6:$Z$680,11,FALSE))</f>
        <v/>
      </c>
      <c r="Z57" s="436" t="str">
        <f>IF(V55=0,"",VLOOKUP(V55,'Tablas Magia'!$D$6:$Z$680,15,FALSE))</f>
        <v/>
      </c>
      <c r="AA57" s="6192" t="str">
        <f>IF(V55=0,"",VLOOKUP(V55,'Tablas Magia'!$D$6:$Z$680,19,FALSE))</f>
        <v/>
      </c>
      <c r="AB57" s="6193"/>
      <c r="AC57" s="6193"/>
      <c r="AD57" s="6193"/>
      <c r="AE57" s="6193"/>
      <c r="AF57" s="6193"/>
      <c r="AG57" s="6193"/>
      <c r="AH57" s="6193"/>
      <c r="AI57" s="6193"/>
      <c r="AJ57" s="6194"/>
      <c r="AK57" s="426"/>
      <c r="AL57" s="420"/>
      <c r="AM57" s="420"/>
      <c r="AN57" s="289"/>
      <c r="AO57" s="6190" t="s">
        <v>1368</v>
      </c>
      <c r="AP57" s="6191"/>
      <c r="AQ57" s="435" t="str">
        <f>IF(AO55=0,"",VLOOKUP(AO55,'Tablas Magia'!$D$6:$Z$680,7,FALSE))</f>
        <v/>
      </c>
      <c r="AR57" s="435" t="str">
        <f>IF(AO55=0,"",VLOOKUP(AO55,'Tablas Magia'!$D$6:$Z$680,11,FALSE))</f>
        <v/>
      </c>
      <c r="AS57" s="436" t="str">
        <f>IF(AO55=0,"",VLOOKUP(AO55,'Tablas Magia'!$D$6:$Z$680,15,FALSE))</f>
        <v/>
      </c>
      <c r="AT57" s="6192" t="str">
        <f>IF(AO55=0,"",VLOOKUP(AO55,'Tablas Magia'!$D$6:$Z$680,19,FALSE))</f>
        <v/>
      </c>
      <c r="AU57" s="6193"/>
      <c r="AV57" s="6193"/>
      <c r="AW57" s="6193"/>
      <c r="AX57" s="6193"/>
      <c r="AY57" s="6193"/>
      <c r="AZ57" s="6193"/>
      <c r="BA57" s="6193"/>
      <c r="BB57" s="6193"/>
      <c r="BC57" s="6194"/>
      <c r="BD57" s="426"/>
      <c r="BE57" s="420"/>
      <c r="BF57" s="2737"/>
      <c r="BG57" s="289"/>
      <c r="BH57" s="6190" t="s">
        <v>1368</v>
      </c>
      <c r="BI57" s="6191"/>
      <c r="BJ57" s="435" t="str">
        <f>IF(BH55=0,"",VLOOKUP(BH55,'Tablas Magia'!$D$6:$Z$680,7,FALSE))</f>
        <v/>
      </c>
      <c r="BK57" s="435" t="str">
        <f>IF(BH55=0,"",VLOOKUP(BH55,'Tablas Magia'!$D$6:$Z$680,11,FALSE))</f>
        <v/>
      </c>
      <c r="BL57" s="436" t="str">
        <f>IF(BH55=0,"",VLOOKUP(BH55,'Tablas Magia'!$D$6:$Z$680,15,FALSE))</f>
        <v/>
      </c>
      <c r="BM57" s="6192" t="str">
        <f>IF(BH55=0,"",VLOOKUP(BH55,'Tablas Magia'!$D$6:$Z$680,19,FALSE))</f>
        <v/>
      </c>
      <c r="BN57" s="6193"/>
      <c r="BO57" s="6193"/>
      <c r="BP57" s="6193"/>
      <c r="BQ57" s="6193"/>
      <c r="BR57" s="6193"/>
      <c r="BS57" s="6193"/>
      <c r="BT57" s="6193"/>
      <c r="BU57" s="6193"/>
      <c r="BV57" s="6194"/>
      <c r="BW57" s="426"/>
      <c r="BX57" s="2737"/>
    </row>
    <row r="58" spans="1:76" ht="12.2" customHeight="1" x14ac:dyDescent="0.2">
      <c r="A58" s="420"/>
      <c r="B58" s="289"/>
      <c r="C58" s="6185" t="s">
        <v>3233</v>
      </c>
      <c r="D58" s="6186"/>
      <c r="E58" s="437" t="str">
        <f>IF(C55=0,"",VLOOKUP(C55,'Tablas Magia'!$D$6:$Z$680,8,FALSE))</f>
        <v/>
      </c>
      <c r="F58" s="437" t="str">
        <f>IF(C55=0,"",VLOOKUP(C55,'Tablas Magia'!$D$6:$Z$680,12,FALSE))</f>
        <v/>
      </c>
      <c r="G58" s="438" t="str">
        <f>IF(C55=0,"",VLOOKUP(C55,'Tablas Magia'!$D$6:$Z$680,16,FALSE))</f>
        <v/>
      </c>
      <c r="H58" s="6187" t="str">
        <f>IF(C55=0,"",VLOOKUP(C55,'Tablas Magia'!$D$6:$Z$680,20,FALSE))</f>
        <v/>
      </c>
      <c r="I58" s="6188"/>
      <c r="J58" s="6188"/>
      <c r="K58" s="6188"/>
      <c r="L58" s="6188"/>
      <c r="M58" s="6188"/>
      <c r="N58" s="6188"/>
      <c r="O58" s="6188"/>
      <c r="P58" s="6188"/>
      <c r="Q58" s="6189"/>
      <c r="R58" s="426"/>
      <c r="S58" s="420"/>
      <c r="T58" s="420"/>
      <c r="U58" s="289"/>
      <c r="V58" s="6185" t="s">
        <v>3233</v>
      </c>
      <c r="W58" s="6186"/>
      <c r="X58" s="437" t="str">
        <f>IF(V55=0,"",VLOOKUP(V55,'Tablas Magia'!$D$6:$Z$680,8,FALSE))</f>
        <v/>
      </c>
      <c r="Y58" s="437" t="str">
        <f>IF(V55=0,"",VLOOKUP(V55,'Tablas Magia'!$D$6:$Z$680,12,FALSE))</f>
        <v/>
      </c>
      <c r="Z58" s="438" t="str">
        <f>IF(V55=0,"",VLOOKUP(V55,'Tablas Magia'!$D$6:$Z$680,16,FALSE))</f>
        <v/>
      </c>
      <c r="AA58" s="6187" t="str">
        <f>IF(V55=0,"",VLOOKUP(V55,'Tablas Magia'!$D$6:$Z$680,20,FALSE))</f>
        <v/>
      </c>
      <c r="AB58" s="6188"/>
      <c r="AC58" s="6188"/>
      <c r="AD58" s="6188"/>
      <c r="AE58" s="6188"/>
      <c r="AF58" s="6188"/>
      <c r="AG58" s="6188"/>
      <c r="AH58" s="6188"/>
      <c r="AI58" s="6188"/>
      <c r="AJ58" s="6189"/>
      <c r="AK58" s="426"/>
      <c r="AL58" s="420"/>
      <c r="AM58" s="420"/>
      <c r="AN58" s="289"/>
      <c r="AO58" s="6185" t="s">
        <v>3233</v>
      </c>
      <c r="AP58" s="6186"/>
      <c r="AQ58" s="437" t="str">
        <f>IF(AO55=0,"",VLOOKUP(AO55,'Tablas Magia'!$D$6:$Z$680,8,FALSE))</f>
        <v/>
      </c>
      <c r="AR58" s="437" t="str">
        <f>IF(AO55=0,"",VLOOKUP(AO55,'Tablas Magia'!$D$6:$Z$680,12,FALSE))</f>
        <v/>
      </c>
      <c r="AS58" s="438" t="str">
        <f>IF(AO55=0,"",VLOOKUP(AO55,'Tablas Magia'!$D$6:$Z$680,16,FALSE))</f>
        <v/>
      </c>
      <c r="AT58" s="6187" t="str">
        <f>IF(AO55=0,"",VLOOKUP(AO55,'Tablas Magia'!$D$6:$Z$680,20,FALSE))</f>
        <v/>
      </c>
      <c r="AU58" s="6188"/>
      <c r="AV58" s="6188"/>
      <c r="AW58" s="6188"/>
      <c r="AX58" s="6188"/>
      <c r="AY58" s="6188"/>
      <c r="AZ58" s="6188"/>
      <c r="BA58" s="6188"/>
      <c r="BB58" s="6188"/>
      <c r="BC58" s="6189"/>
      <c r="BD58" s="426"/>
      <c r="BE58" s="420"/>
      <c r="BF58" s="2737"/>
      <c r="BG58" s="289"/>
      <c r="BH58" s="6185" t="s">
        <v>3233</v>
      </c>
      <c r="BI58" s="6186"/>
      <c r="BJ58" s="437" t="str">
        <f>IF(BH55=0,"",VLOOKUP(BH55,'Tablas Magia'!$D$6:$Z$680,8,FALSE))</f>
        <v/>
      </c>
      <c r="BK58" s="437" t="str">
        <f>IF(BH55=0,"",VLOOKUP(BH55,'Tablas Magia'!$D$6:$Z$680,12,FALSE))</f>
        <v/>
      </c>
      <c r="BL58" s="438" t="str">
        <f>IF(BH55=0,"",VLOOKUP(BH55,'Tablas Magia'!$D$6:$Z$680,16,FALSE))</f>
        <v/>
      </c>
      <c r="BM58" s="6187" t="str">
        <f>IF(BH55=0,"",VLOOKUP(BH55,'Tablas Magia'!$D$6:$Z$680,20,FALSE))</f>
        <v/>
      </c>
      <c r="BN58" s="6188"/>
      <c r="BO58" s="6188"/>
      <c r="BP58" s="6188"/>
      <c r="BQ58" s="6188"/>
      <c r="BR58" s="6188"/>
      <c r="BS58" s="6188"/>
      <c r="BT58" s="6188"/>
      <c r="BU58" s="6188"/>
      <c r="BV58" s="6189"/>
      <c r="BW58" s="426"/>
      <c r="BX58" s="2737"/>
    </row>
    <row r="59" spans="1:76" ht="12.2" customHeight="1" x14ac:dyDescent="0.2">
      <c r="A59" s="420"/>
      <c r="B59" s="289"/>
      <c r="C59" s="6190" t="s">
        <v>3234</v>
      </c>
      <c r="D59" s="6191"/>
      <c r="E59" s="435" t="str">
        <f>IF(C55=0,"",VLOOKUP(C55,'Tablas Magia'!$D$6:$Z$680,9,FALSE))</f>
        <v/>
      </c>
      <c r="F59" s="435" t="str">
        <f>IF(C55=0,"",VLOOKUP(C55,'Tablas Magia'!$D$6:$Z$680,13,FALSE))</f>
        <v/>
      </c>
      <c r="G59" s="436" t="str">
        <f>IF(C55=0,"",VLOOKUP(C55,'Tablas Magia'!$D$6:$Z$680,17,FALSE))</f>
        <v/>
      </c>
      <c r="H59" s="6192" t="str">
        <f>IF(C55=0,"",VLOOKUP(C55,'Tablas Magia'!$D$6:$Z$680,21,FALSE))</f>
        <v/>
      </c>
      <c r="I59" s="6193"/>
      <c r="J59" s="6193"/>
      <c r="K59" s="6193"/>
      <c r="L59" s="6193"/>
      <c r="M59" s="6193"/>
      <c r="N59" s="6193"/>
      <c r="O59" s="6193"/>
      <c r="P59" s="6193"/>
      <c r="Q59" s="6194"/>
      <c r="R59" s="426"/>
      <c r="S59" s="420"/>
      <c r="T59" s="420"/>
      <c r="U59" s="289"/>
      <c r="V59" s="6190" t="s">
        <v>3234</v>
      </c>
      <c r="W59" s="6191"/>
      <c r="X59" s="435" t="str">
        <f>IF(V55=0,"",VLOOKUP(V55,'Tablas Magia'!$D$6:$Z$680,9,FALSE))</f>
        <v/>
      </c>
      <c r="Y59" s="435" t="str">
        <f>IF(V55=0,"",VLOOKUP(V55,'Tablas Magia'!$D$6:$Z$680,13,FALSE))</f>
        <v/>
      </c>
      <c r="Z59" s="436" t="str">
        <f>IF(V55=0,"",VLOOKUP(V55,'Tablas Magia'!$D$6:$Z$680,17,FALSE))</f>
        <v/>
      </c>
      <c r="AA59" s="6192" t="str">
        <f>IF(V55=0,"",VLOOKUP(V55,'Tablas Magia'!$D$6:$Z$680,21,FALSE))</f>
        <v/>
      </c>
      <c r="AB59" s="6193"/>
      <c r="AC59" s="6193"/>
      <c r="AD59" s="6193"/>
      <c r="AE59" s="6193"/>
      <c r="AF59" s="6193"/>
      <c r="AG59" s="6193"/>
      <c r="AH59" s="6193"/>
      <c r="AI59" s="6193"/>
      <c r="AJ59" s="6194"/>
      <c r="AK59" s="426"/>
      <c r="AL59" s="420"/>
      <c r="AM59" s="420"/>
      <c r="AN59" s="289"/>
      <c r="AO59" s="6190" t="s">
        <v>3234</v>
      </c>
      <c r="AP59" s="6191"/>
      <c r="AQ59" s="435" t="str">
        <f>IF(AO55=0,"",VLOOKUP(AO55,'Tablas Magia'!$D$6:$Z$680,9,FALSE))</f>
        <v/>
      </c>
      <c r="AR59" s="435" t="str">
        <f>IF(AO55=0,"",VLOOKUP(AO55,'Tablas Magia'!$D$6:$Z$680,13,FALSE))</f>
        <v/>
      </c>
      <c r="AS59" s="436" t="str">
        <f>IF(AO55=0,"",VLOOKUP(AO55,'Tablas Magia'!$D$6:$Z$680,17,FALSE))</f>
        <v/>
      </c>
      <c r="AT59" s="6192" t="str">
        <f>IF(AO55=0,"",VLOOKUP(AO55,'Tablas Magia'!$D$6:$Z$680,21,FALSE))</f>
        <v/>
      </c>
      <c r="AU59" s="6193"/>
      <c r="AV59" s="6193"/>
      <c r="AW59" s="6193"/>
      <c r="AX59" s="6193"/>
      <c r="AY59" s="6193"/>
      <c r="AZ59" s="6193"/>
      <c r="BA59" s="6193"/>
      <c r="BB59" s="6193"/>
      <c r="BC59" s="6194"/>
      <c r="BD59" s="426"/>
      <c r="BE59" s="420"/>
      <c r="BF59" s="2737"/>
      <c r="BG59" s="289"/>
      <c r="BH59" s="6190" t="s">
        <v>3234</v>
      </c>
      <c r="BI59" s="6191"/>
      <c r="BJ59" s="435" t="str">
        <f>IF(BH55=0,"",VLOOKUP(BH55,'Tablas Magia'!$D$6:$Z$680,9,FALSE))</f>
        <v/>
      </c>
      <c r="BK59" s="435" t="str">
        <f>IF(BH55=0,"",VLOOKUP(BH55,'Tablas Magia'!$D$6:$Z$680,13,FALSE))</f>
        <v/>
      </c>
      <c r="BL59" s="436" t="str">
        <f>IF(BH55=0,"",VLOOKUP(BH55,'Tablas Magia'!$D$6:$Z$680,17,FALSE))</f>
        <v/>
      </c>
      <c r="BM59" s="6192" t="str">
        <f>IF(BH55=0,"",VLOOKUP(BH55,'Tablas Magia'!$D$6:$Z$680,21,FALSE))</f>
        <v/>
      </c>
      <c r="BN59" s="6193"/>
      <c r="BO59" s="6193"/>
      <c r="BP59" s="6193"/>
      <c r="BQ59" s="6193"/>
      <c r="BR59" s="6193"/>
      <c r="BS59" s="6193"/>
      <c r="BT59" s="6193"/>
      <c r="BU59" s="6193"/>
      <c r="BV59" s="6194"/>
      <c r="BW59" s="426"/>
      <c r="BX59" s="2737"/>
    </row>
    <row r="60" spans="1:76" ht="12.2" customHeight="1" thickBot="1" x14ac:dyDescent="0.25">
      <c r="A60" s="420"/>
      <c r="B60" s="289"/>
      <c r="C60" s="6200" t="s">
        <v>3235</v>
      </c>
      <c r="D60" s="6201"/>
      <c r="E60" s="439" t="str">
        <f>IF(C55=0,"",VLOOKUP(C55,'Tablas Magia'!$D$6:$Z$680,10,FALSE))</f>
        <v/>
      </c>
      <c r="F60" s="439" t="str">
        <f>IF(C55=0,"",VLOOKUP(C55,'Tablas Magia'!$D$6:$Z$680,14,FALSE))</f>
        <v/>
      </c>
      <c r="G60" s="440" t="str">
        <f>IF(C55=0,"",VLOOKUP(C55,'Tablas Magia'!$D$6:$Z$680,18,FALSE))</f>
        <v/>
      </c>
      <c r="H60" s="6202" t="str">
        <f>IF(C55=0,"",VLOOKUP(C55,'Tablas Magia'!$D$6:$Z$680,22,FALSE))</f>
        <v/>
      </c>
      <c r="I60" s="6203"/>
      <c r="J60" s="6203"/>
      <c r="K60" s="6203"/>
      <c r="L60" s="6203"/>
      <c r="M60" s="6203"/>
      <c r="N60" s="6203"/>
      <c r="O60" s="6203"/>
      <c r="P60" s="6203"/>
      <c r="Q60" s="6204"/>
      <c r="R60" s="426"/>
      <c r="S60" s="420"/>
      <c r="T60" s="420"/>
      <c r="U60" s="289"/>
      <c r="V60" s="6200" t="s">
        <v>3235</v>
      </c>
      <c r="W60" s="6201"/>
      <c r="X60" s="439" t="str">
        <f>IF(V55=0,"",VLOOKUP(V55,'Tablas Magia'!$D$6:$Z$680,10,FALSE))</f>
        <v/>
      </c>
      <c r="Y60" s="439" t="str">
        <f>IF(V55=0,"",VLOOKUP(V55,'Tablas Magia'!$D$6:$Z$680,14,FALSE))</f>
        <v/>
      </c>
      <c r="Z60" s="440" t="str">
        <f>IF(V55=0,"",VLOOKUP(V55,'Tablas Magia'!$D$6:$Z$680,18,FALSE))</f>
        <v/>
      </c>
      <c r="AA60" s="6202" t="str">
        <f>IF(V55=0,"",VLOOKUP(V55,'Tablas Magia'!$D$6:$Z$680,22,FALSE))</f>
        <v/>
      </c>
      <c r="AB60" s="6203"/>
      <c r="AC60" s="6203"/>
      <c r="AD60" s="6203"/>
      <c r="AE60" s="6203"/>
      <c r="AF60" s="6203"/>
      <c r="AG60" s="6203"/>
      <c r="AH60" s="6203"/>
      <c r="AI60" s="6203"/>
      <c r="AJ60" s="6204"/>
      <c r="AK60" s="426"/>
      <c r="AL60" s="420"/>
      <c r="AM60" s="420"/>
      <c r="AN60" s="289"/>
      <c r="AO60" s="6200" t="s">
        <v>3235</v>
      </c>
      <c r="AP60" s="6201"/>
      <c r="AQ60" s="439" t="str">
        <f>IF(AO55=0,"",VLOOKUP(AO55,'Tablas Magia'!$D$6:$Z$680,10,FALSE))</f>
        <v/>
      </c>
      <c r="AR60" s="439" t="str">
        <f>IF(AO55=0,"",VLOOKUP(AO55,'Tablas Magia'!$D$6:$Z$680,14,FALSE))</f>
        <v/>
      </c>
      <c r="AS60" s="440" t="str">
        <f>IF(AO55=0,"",VLOOKUP(AO55,'Tablas Magia'!$D$6:$Z$680,18,FALSE))</f>
        <v/>
      </c>
      <c r="AT60" s="6202" t="str">
        <f>IF(AO55=0,"",VLOOKUP(AO55,'Tablas Magia'!$D$6:$Z$680,22,FALSE))</f>
        <v/>
      </c>
      <c r="AU60" s="6203"/>
      <c r="AV60" s="6203"/>
      <c r="AW60" s="6203"/>
      <c r="AX60" s="6203"/>
      <c r="AY60" s="6203"/>
      <c r="AZ60" s="6203"/>
      <c r="BA60" s="6203"/>
      <c r="BB60" s="6203"/>
      <c r="BC60" s="6204"/>
      <c r="BD60" s="426"/>
      <c r="BE60" s="420"/>
      <c r="BF60" s="2737"/>
      <c r="BG60" s="289"/>
      <c r="BH60" s="6200" t="s">
        <v>3235</v>
      </c>
      <c r="BI60" s="6201"/>
      <c r="BJ60" s="439" t="str">
        <f>IF(BH55=0,"",VLOOKUP(BH55,'Tablas Magia'!$D$6:$Z$680,10,FALSE))</f>
        <v/>
      </c>
      <c r="BK60" s="439" t="str">
        <f>IF(BH55=0,"",VLOOKUP(BH55,'Tablas Magia'!$D$6:$Z$680,14,FALSE))</f>
        <v/>
      </c>
      <c r="BL60" s="440" t="str">
        <f>IF(BH55=0,"",VLOOKUP(BH55,'Tablas Magia'!$D$6:$Z$680,18,FALSE))</f>
        <v/>
      </c>
      <c r="BM60" s="6202" t="str">
        <f>IF(BH55=0,"",VLOOKUP(BH55,'Tablas Magia'!$D$6:$Z$680,22,FALSE))</f>
        <v/>
      </c>
      <c r="BN60" s="6203"/>
      <c r="BO60" s="6203"/>
      <c r="BP60" s="6203"/>
      <c r="BQ60" s="6203"/>
      <c r="BR60" s="6203"/>
      <c r="BS60" s="6203"/>
      <c r="BT60" s="6203"/>
      <c r="BU60" s="6203"/>
      <c r="BV60" s="6204"/>
      <c r="BW60" s="426"/>
      <c r="BX60" s="2737"/>
    </row>
    <row r="61" spans="1:76" ht="12.2" customHeight="1" x14ac:dyDescent="0.2">
      <c r="A61" s="420"/>
      <c r="B61" s="289"/>
      <c r="C61" s="6205" t="str">
        <f>IF(C55=0,"",VLOOKUP(C55,'Tablas Magia'!$D$6:$Z$680,23,FALSE))</f>
        <v/>
      </c>
      <c r="D61" s="6206"/>
      <c r="E61" s="6206"/>
      <c r="F61" s="6206"/>
      <c r="G61" s="6206"/>
      <c r="H61" s="6206"/>
      <c r="I61" s="6206"/>
      <c r="J61" s="6206"/>
      <c r="K61" s="6206"/>
      <c r="L61" s="6206"/>
      <c r="M61" s="6206"/>
      <c r="N61" s="6206"/>
      <c r="O61" s="6206"/>
      <c r="P61" s="6206"/>
      <c r="Q61" s="6207"/>
      <c r="R61" s="426"/>
      <c r="S61" s="420"/>
      <c r="T61" s="420"/>
      <c r="U61" s="289"/>
      <c r="V61" s="6205" t="str">
        <f>IF(V55=0,"",VLOOKUP(V55,'Tablas Magia'!$D$6:$Z$680,23,FALSE))</f>
        <v/>
      </c>
      <c r="W61" s="6206"/>
      <c r="X61" s="6206"/>
      <c r="Y61" s="6206"/>
      <c r="Z61" s="6206"/>
      <c r="AA61" s="6206"/>
      <c r="AB61" s="6206"/>
      <c r="AC61" s="6206"/>
      <c r="AD61" s="6206"/>
      <c r="AE61" s="6206"/>
      <c r="AF61" s="6206"/>
      <c r="AG61" s="6206"/>
      <c r="AH61" s="6206"/>
      <c r="AI61" s="6206"/>
      <c r="AJ61" s="6207"/>
      <c r="AK61" s="426"/>
      <c r="AL61" s="420"/>
      <c r="AM61" s="420"/>
      <c r="AN61" s="289"/>
      <c r="AO61" s="6205" t="str">
        <f>IF(AO55=0,"",VLOOKUP(AO55,'Tablas Magia'!$D$6:$Z$680,23,FALSE))</f>
        <v/>
      </c>
      <c r="AP61" s="6206"/>
      <c r="AQ61" s="6206"/>
      <c r="AR61" s="6206"/>
      <c r="AS61" s="6206"/>
      <c r="AT61" s="6206"/>
      <c r="AU61" s="6206"/>
      <c r="AV61" s="6206"/>
      <c r="AW61" s="6206"/>
      <c r="AX61" s="6206"/>
      <c r="AY61" s="6206"/>
      <c r="AZ61" s="6206"/>
      <c r="BA61" s="6206"/>
      <c r="BB61" s="6206"/>
      <c r="BC61" s="6207"/>
      <c r="BD61" s="426"/>
      <c r="BE61" s="420"/>
      <c r="BF61" s="2737"/>
      <c r="BG61" s="289"/>
      <c r="BH61" s="6205" t="str">
        <f>IF(BH55=0,"",VLOOKUP(BH55,'Tablas Magia'!$D$6:$Z$680,23,FALSE))</f>
        <v/>
      </c>
      <c r="BI61" s="6206"/>
      <c r="BJ61" s="6206"/>
      <c r="BK61" s="6206"/>
      <c r="BL61" s="6206"/>
      <c r="BM61" s="6206"/>
      <c r="BN61" s="6206"/>
      <c r="BO61" s="6206"/>
      <c r="BP61" s="6206"/>
      <c r="BQ61" s="6206"/>
      <c r="BR61" s="6206"/>
      <c r="BS61" s="6206"/>
      <c r="BT61" s="6206"/>
      <c r="BU61" s="6206"/>
      <c r="BV61" s="6207"/>
      <c r="BW61" s="426"/>
      <c r="BX61" s="2737"/>
    </row>
    <row r="62" spans="1:76" ht="12.2" customHeight="1" x14ac:dyDescent="0.2">
      <c r="A62" s="420"/>
      <c r="B62" s="289"/>
      <c r="C62" s="6208"/>
      <c r="D62" s="6209"/>
      <c r="E62" s="6209"/>
      <c r="F62" s="6209"/>
      <c r="G62" s="6209"/>
      <c r="H62" s="6209"/>
      <c r="I62" s="6209"/>
      <c r="J62" s="6209"/>
      <c r="K62" s="6209"/>
      <c r="L62" s="6209"/>
      <c r="M62" s="6209"/>
      <c r="N62" s="6209"/>
      <c r="O62" s="6209"/>
      <c r="P62" s="6209"/>
      <c r="Q62" s="6210"/>
      <c r="R62" s="426"/>
      <c r="S62" s="420"/>
      <c r="T62" s="420"/>
      <c r="U62" s="289"/>
      <c r="V62" s="6208"/>
      <c r="W62" s="6209"/>
      <c r="X62" s="6209"/>
      <c r="Y62" s="6209"/>
      <c r="Z62" s="6209"/>
      <c r="AA62" s="6209"/>
      <c r="AB62" s="6209"/>
      <c r="AC62" s="6209"/>
      <c r="AD62" s="6209"/>
      <c r="AE62" s="6209"/>
      <c r="AF62" s="6209"/>
      <c r="AG62" s="6209"/>
      <c r="AH62" s="6209"/>
      <c r="AI62" s="6209"/>
      <c r="AJ62" s="6210"/>
      <c r="AK62" s="426"/>
      <c r="AL62" s="420"/>
      <c r="AM62" s="420"/>
      <c r="AN62" s="289"/>
      <c r="AO62" s="6208"/>
      <c r="AP62" s="6209"/>
      <c r="AQ62" s="6209"/>
      <c r="AR62" s="6209"/>
      <c r="AS62" s="6209"/>
      <c r="AT62" s="6209"/>
      <c r="AU62" s="6209"/>
      <c r="AV62" s="6209"/>
      <c r="AW62" s="6209"/>
      <c r="AX62" s="6209"/>
      <c r="AY62" s="6209"/>
      <c r="AZ62" s="6209"/>
      <c r="BA62" s="6209"/>
      <c r="BB62" s="6209"/>
      <c r="BC62" s="6210"/>
      <c r="BD62" s="426"/>
      <c r="BE62" s="420"/>
      <c r="BF62" s="2737"/>
      <c r="BG62" s="289"/>
      <c r="BH62" s="6208"/>
      <c r="BI62" s="6209"/>
      <c r="BJ62" s="6209"/>
      <c r="BK62" s="6209"/>
      <c r="BL62" s="6209"/>
      <c r="BM62" s="6209"/>
      <c r="BN62" s="6209"/>
      <c r="BO62" s="6209"/>
      <c r="BP62" s="6209"/>
      <c r="BQ62" s="6209"/>
      <c r="BR62" s="6209"/>
      <c r="BS62" s="6209"/>
      <c r="BT62" s="6209"/>
      <c r="BU62" s="6209"/>
      <c r="BV62" s="6210"/>
      <c r="BW62" s="426"/>
      <c r="BX62" s="2737"/>
    </row>
    <row r="63" spans="1:76" ht="12.2" customHeight="1" x14ac:dyDescent="0.2">
      <c r="A63" s="420"/>
      <c r="B63" s="289"/>
      <c r="C63" s="6208"/>
      <c r="D63" s="6209"/>
      <c r="E63" s="6209"/>
      <c r="F63" s="6209"/>
      <c r="G63" s="6209"/>
      <c r="H63" s="6209"/>
      <c r="I63" s="6209"/>
      <c r="J63" s="6209"/>
      <c r="K63" s="6209"/>
      <c r="L63" s="6209"/>
      <c r="M63" s="6209"/>
      <c r="N63" s="6209"/>
      <c r="O63" s="6209"/>
      <c r="P63" s="6209"/>
      <c r="Q63" s="6210"/>
      <c r="R63" s="426"/>
      <c r="S63" s="420"/>
      <c r="T63" s="420"/>
      <c r="U63" s="289"/>
      <c r="V63" s="6208"/>
      <c r="W63" s="6209"/>
      <c r="X63" s="6209"/>
      <c r="Y63" s="6209"/>
      <c r="Z63" s="6209"/>
      <c r="AA63" s="6209"/>
      <c r="AB63" s="6209"/>
      <c r="AC63" s="6209"/>
      <c r="AD63" s="6209"/>
      <c r="AE63" s="6209"/>
      <c r="AF63" s="6209"/>
      <c r="AG63" s="6209"/>
      <c r="AH63" s="6209"/>
      <c r="AI63" s="6209"/>
      <c r="AJ63" s="6210"/>
      <c r="AK63" s="426"/>
      <c r="AL63" s="420"/>
      <c r="AM63" s="420"/>
      <c r="AN63" s="289"/>
      <c r="AO63" s="6208"/>
      <c r="AP63" s="6209"/>
      <c r="AQ63" s="6209"/>
      <c r="AR63" s="6209"/>
      <c r="AS63" s="6209"/>
      <c r="AT63" s="6209"/>
      <c r="AU63" s="6209"/>
      <c r="AV63" s="6209"/>
      <c r="AW63" s="6209"/>
      <c r="AX63" s="6209"/>
      <c r="AY63" s="6209"/>
      <c r="AZ63" s="6209"/>
      <c r="BA63" s="6209"/>
      <c r="BB63" s="6209"/>
      <c r="BC63" s="6210"/>
      <c r="BD63" s="426"/>
      <c r="BE63" s="420"/>
      <c r="BF63" s="2737"/>
      <c r="BG63" s="289"/>
      <c r="BH63" s="6208"/>
      <c r="BI63" s="6209"/>
      <c r="BJ63" s="6209"/>
      <c r="BK63" s="6209"/>
      <c r="BL63" s="6209"/>
      <c r="BM63" s="6209"/>
      <c r="BN63" s="6209"/>
      <c r="BO63" s="6209"/>
      <c r="BP63" s="6209"/>
      <c r="BQ63" s="6209"/>
      <c r="BR63" s="6209"/>
      <c r="BS63" s="6209"/>
      <c r="BT63" s="6209"/>
      <c r="BU63" s="6209"/>
      <c r="BV63" s="6210"/>
      <c r="BW63" s="426"/>
      <c r="BX63" s="2737"/>
    </row>
    <row r="64" spans="1:76" ht="12.2" customHeight="1" thickBot="1" x14ac:dyDescent="0.25">
      <c r="A64" s="420"/>
      <c r="B64" s="289"/>
      <c r="C64" s="6211"/>
      <c r="D64" s="6212"/>
      <c r="E64" s="6212"/>
      <c r="F64" s="6212"/>
      <c r="G64" s="6212"/>
      <c r="H64" s="6212"/>
      <c r="I64" s="6212"/>
      <c r="J64" s="6212"/>
      <c r="K64" s="6212"/>
      <c r="L64" s="6212"/>
      <c r="M64" s="6212"/>
      <c r="N64" s="6212"/>
      <c r="O64" s="6212"/>
      <c r="P64" s="6212"/>
      <c r="Q64" s="6213"/>
      <c r="R64" s="426"/>
      <c r="S64" s="420"/>
      <c r="T64" s="420"/>
      <c r="U64" s="289"/>
      <c r="V64" s="6211"/>
      <c r="W64" s="6212"/>
      <c r="X64" s="6212"/>
      <c r="Y64" s="6212"/>
      <c r="Z64" s="6212"/>
      <c r="AA64" s="6212"/>
      <c r="AB64" s="6212"/>
      <c r="AC64" s="6212"/>
      <c r="AD64" s="6212"/>
      <c r="AE64" s="6212"/>
      <c r="AF64" s="6212"/>
      <c r="AG64" s="6212"/>
      <c r="AH64" s="6212"/>
      <c r="AI64" s="6212"/>
      <c r="AJ64" s="6213"/>
      <c r="AK64" s="426"/>
      <c r="AL64" s="420"/>
      <c r="AM64" s="420"/>
      <c r="AN64" s="289"/>
      <c r="AO64" s="6211"/>
      <c r="AP64" s="6212"/>
      <c r="AQ64" s="6212"/>
      <c r="AR64" s="6212"/>
      <c r="AS64" s="6212"/>
      <c r="AT64" s="6212"/>
      <c r="AU64" s="6212"/>
      <c r="AV64" s="6212"/>
      <c r="AW64" s="6212"/>
      <c r="AX64" s="6212"/>
      <c r="AY64" s="6212"/>
      <c r="AZ64" s="6212"/>
      <c r="BA64" s="6212"/>
      <c r="BB64" s="6212"/>
      <c r="BC64" s="6213"/>
      <c r="BD64" s="426"/>
      <c r="BE64" s="420"/>
      <c r="BF64" s="2737"/>
      <c r="BG64" s="289"/>
      <c r="BH64" s="6211"/>
      <c r="BI64" s="6212"/>
      <c r="BJ64" s="6212"/>
      <c r="BK64" s="6212"/>
      <c r="BL64" s="6212"/>
      <c r="BM64" s="6212"/>
      <c r="BN64" s="6212"/>
      <c r="BO64" s="6212"/>
      <c r="BP64" s="6212"/>
      <c r="BQ64" s="6212"/>
      <c r="BR64" s="6212"/>
      <c r="BS64" s="6212"/>
      <c r="BT64" s="6212"/>
      <c r="BU64" s="6212"/>
      <c r="BV64" s="6213"/>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208"/>
      <c r="D3" s="4209"/>
      <c r="E3" s="4209"/>
      <c r="F3" s="4209"/>
      <c r="G3" s="4209"/>
      <c r="H3" s="4209"/>
      <c r="I3" s="2782"/>
      <c r="J3" s="2782"/>
      <c r="K3" s="2782"/>
      <c r="L3" s="2782"/>
      <c r="M3" s="2782"/>
      <c r="N3" s="2782"/>
      <c r="O3" s="2782"/>
      <c r="P3" s="2782"/>
      <c r="Q3" s="425"/>
      <c r="R3" s="426"/>
      <c r="S3" s="1518"/>
      <c r="T3" s="2737"/>
      <c r="U3" s="1149"/>
      <c r="V3" s="4208"/>
      <c r="W3" s="4209"/>
      <c r="X3" s="4209"/>
      <c r="Y3" s="4209"/>
      <c r="Z3" s="4209"/>
      <c r="AA3" s="4209"/>
      <c r="AB3" s="2738"/>
      <c r="AC3" s="2738"/>
      <c r="AD3" s="2738"/>
      <c r="AE3" s="2738"/>
      <c r="AF3" s="2738"/>
      <c r="AG3" s="2738"/>
      <c r="AH3" s="2738"/>
      <c r="AI3" s="2738"/>
      <c r="AJ3" s="425"/>
      <c r="AK3" s="426"/>
      <c r="AL3" s="1518"/>
    </row>
    <row r="4" spans="1:38" s="859" customFormat="1" ht="12" customHeight="1" x14ac:dyDescent="0.2">
      <c r="A4" s="2778"/>
      <c r="B4" s="1865"/>
      <c r="C4" s="4210"/>
      <c r="D4" s="4211"/>
      <c r="E4" s="4211"/>
      <c r="F4" s="4211"/>
      <c r="G4" s="4211"/>
      <c r="H4" s="4211"/>
      <c r="I4" s="2753"/>
      <c r="J4" s="6240" t="s">
        <v>10263</v>
      </c>
      <c r="K4" s="6240"/>
      <c r="L4" s="6240"/>
      <c r="M4" s="6240"/>
      <c r="N4" s="6240"/>
      <c r="O4" s="6240"/>
      <c r="P4" s="6240"/>
      <c r="Q4" s="375"/>
      <c r="R4" s="858"/>
      <c r="S4" s="1866"/>
      <c r="T4" s="857"/>
      <c r="U4" s="1865"/>
      <c r="V4" s="4210"/>
      <c r="W4" s="4211"/>
      <c r="X4" s="4211"/>
      <c r="Y4" s="4211"/>
      <c r="Z4" s="4211"/>
      <c r="AA4" s="4211"/>
      <c r="AB4" s="2739"/>
      <c r="AC4" s="6245" t="s">
        <v>10263</v>
      </c>
      <c r="AD4" s="6246"/>
      <c r="AE4" s="6246"/>
      <c r="AF4" s="6246"/>
      <c r="AG4" s="6246"/>
      <c r="AH4" s="6246"/>
      <c r="AI4" s="6246"/>
      <c r="AJ4" s="375"/>
      <c r="AK4" s="858"/>
      <c r="AL4" s="1866"/>
    </row>
    <row r="5" spans="1:38" ht="12" customHeight="1" x14ac:dyDescent="0.2">
      <c r="A5" s="2778"/>
      <c r="B5" s="854"/>
      <c r="C5" s="4210"/>
      <c r="D5" s="4211"/>
      <c r="E5" s="4211"/>
      <c r="F5" s="4211"/>
      <c r="G5" s="4211"/>
      <c r="H5" s="4211"/>
      <c r="I5" s="2753"/>
      <c r="J5" s="6240"/>
      <c r="K5" s="6240"/>
      <c r="L5" s="6240"/>
      <c r="M5" s="6240"/>
      <c r="N5" s="6240"/>
      <c r="O5" s="6240"/>
      <c r="P5" s="6240"/>
      <c r="Q5" s="427"/>
      <c r="R5" s="426"/>
      <c r="S5" s="1518"/>
      <c r="T5" s="2737"/>
      <c r="U5" s="1149"/>
      <c r="V5" s="4210"/>
      <c r="W5" s="4211"/>
      <c r="X5" s="4211"/>
      <c r="Y5" s="4211"/>
      <c r="Z5" s="4211"/>
      <c r="AA5" s="4211"/>
      <c r="AB5" s="2739"/>
      <c r="AC5" s="6246"/>
      <c r="AD5" s="6246"/>
      <c r="AE5" s="6246"/>
      <c r="AF5" s="6246"/>
      <c r="AG5" s="6246"/>
      <c r="AH5" s="6246"/>
      <c r="AI5" s="6246"/>
      <c r="AJ5" s="427"/>
      <c r="AK5" s="426"/>
      <c r="AL5" s="1518"/>
    </row>
    <row r="6" spans="1:38" ht="12" customHeight="1" x14ac:dyDescent="0.2">
      <c r="A6" s="2778"/>
      <c r="B6" s="854"/>
      <c r="C6" s="4210"/>
      <c r="D6" s="4211"/>
      <c r="E6" s="4211"/>
      <c r="F6" s="4211"/>
      <c r="G6" s="4211"/>
      <c r="H6" s="4211"/>
      <c r="I6" s="2754" t="s">
        <v>7233</v>
      </c>
      <c r="J6" s="6236"/>
      <c r="K6" s="6236"/>
      <c r="L6" s="6236"/>
      <c r="M6" s="2753"/>
      <c r="N6" s="2755"/>
      <c r="O6" s="2756" t="s">
        <v>8938</v>
      </c>
      <c r="P6" s="2757">
        <f>IFERROR(VLOOKUP($J$6,Místicos!$C$15:$H$25,6,FALSE),0)</f>
        <v>0</v>
      </c>
      <c r="Q6" s="427"/>
      <c r="R6" s="426"/>
      <c r="S6" s="1518"/>
      <c r="T6" s="2737"/>
      <c r="U6" s="1149"/>
      <c r="V6" s="4210"/>
      <c r="W6" s="4211"/>
      <c r="X6" s="4211"/>
      <c r="Y6" s="4211"/>
      <c r="Z6" s="4211"/>
      <c r="AA6" s="4211"/>
      <c r="AB6" s="2482" t="s">
        <v>7233</v>
      </c>
      <c r="AC6" s="6235" t="str">
        <f>IF($J$6="","",$J$6)</f>
        <v/>
      </c>
      <c r="AD6" s="6235"/>
      <c r="AE6" s="6235"/>
      <c r="AF6" s="2478"/>
      <c r="AG6" s="2478"/>
      <c r="AH6" s="2479" t="str">
        <f>$O$6</f>
        <v>Nivel de vía aprendido</v>
      </c>
      <c r="AI6" s="2480">
        <f>$P$6</f>
        <v>0</v>
      </c>
      <c r="AJ6" s="427"/>
      <c r="AK6" s="426"/>
      <c r="AL6" s="1518"/>
    </row>
    <row r="7" spans="1:38" ht="12" customHeight="1" x14ac:dyDescent="0.2">
      <c r="A7" s="2778"/>
      <c r="B7" s="854"/>
      <c r="C7" s="4210"/>
      <c r="D7" s="4211"/>
      <c r="E7" s="4211"/>
      <c r="F7" s="4211"/>
      <c r="G7" s="4211"/>
      <c r="H7" s="4211"/>
      <c r="I7" s="2758" t="s">
        <v>7234</v>
      </c>
      <c r="J7" s="6236"/>
      <c r="K7" s="6236"/>
      <c r="L7" s="6236"/>
      <c r="M7" s="2753"/>
      <c r="N7" s="2755"/>
      <c r="O7" s="2756" t="s">
        <v>8942</v>
      </c>
      <c r="P7" s="2481" t="s">
        <v>2094</v>
      </c>
      <c r="Q7" s="427"/>
      <c r="R7" s="426"/>
      <c r="S7" s="1518"/>
      <c r="T7" s="2737"/>
      <c r="U7" s="1149"/>
      <c r="V7" s="4210"/>
      <c r="W7" s="4211"/>
      <c r="X7" s="4211"/>
      <c r="Y7" s="4211"/>
      <c r="Z7" s="4211"/>
      <c r="AA7" s="4211"/>
      <c r="AB7" s="2483" t="s">
        <v>7234</v>
      </c>
      <c r="AC7" s="6235" t="str">
        <f>IF($J$8="","",$J$8)</f>
        <v/>
      </c>
      <c r="AD7" s="6235"/>
      <c r="AE7" s="6235"/>
      <c r="AF7" s="2478"/>
      <c r="AG7" s="2478"/>
      <c r="AH7" s="2478"/>
      <c r="AI7" s="2478"/>
      <c r="AJ7" s="427"/>
      <c r="AK7" s="426"/>
      <c r="AL7" s="1518"/>
    </row>
    <row r="8" spans="1:38" ht="12" customHeight="1" thickBot="1" x14ac:dyDescent="0.25">
      <c r="A8" s="2778"/>
      <c r="B8" s="854"/>
      <c r="C8" s="4212"/>
      <c r="D8" s="4213"/>
      <c r="E8" s="4213"/>
      <c r="F8" s="4213"/>
      <c r="G8" s="4213"/>
      <c r="H8" s="4213"/>
      <c r="I8" s="2783"/>
      <c r="J8" s="6243" t="str">
        <f>IF(J7&lt;&gt;"",J7,IFERROR(VLOOKUP(J6,Místicos!$C$15:$F$25,3,0),""))</f>
        <v/>
      </c>
      <c r="K8" s="6243"/>
      <c r="L8" s="6243"/>
      <c r="M8" s="2783"/>
      <c r="N8" s="2783"/>
      <c r="O8" s="2783"/>
      <c r="P8" s="2783"/>
      <c r="Q8" s="429"/>
      <c r="R8" s="426"/>
      <c r="S8" s="1518"/>
      <c r="T8" s="2737"/>
      <c r="U8" s="1149"/>
      <c r="V8" s="4212"/>
      <c r="W8" s="4213"/>
      <c r="X8" s="4213"/>
      <c r="Y8" s="4213"/>
      <c r="Z8" s="4213"/>
      <c r="AA8" s="4213"/>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44" t="str">
        <f>"Conjuros de nivel "&amp;B11&amp;"-"&amp;B55</f>
        <v>Conjuros de nivel 2-10</v>
      </c>
      <c r="D10" s="6244"/>
      <c r="E10" s="6244"/>
      <c r="F10" s="6244"/>
      <c r="G10" s="6244"/>
      <c r="H10" s="6244"/>
      <c r="I10" s="6244"/>
      <c r="J10" s="6244"/>
      <c r="K10" s="6244"/>
      <c r="L10" s="6244"/>
      <c r="M10" s="6244"/>
      <c r="N10" s="6244"/>
      <c r="O10" s="6244"/>
      <c r="P10" s="6244"/>
      <c r="Q10" s="6244"/>
      <c r="R10" s="860"/>
      <c r="S10" s="1518"/>
      <c r="T10" s="420"/>
      <c r="U10" s="862"/>
      <c r="V10" s="6244" t="str">
        <f>"Conjuros de nivel "&amp;U11&amp;"-"&amp;U55</f>
        <v>Conjuros de nivel 12-20</v>
      </c>
      <c r="W10" s="6244"/>
      <c r="X10" s="6244"/>
      <c r="Y10" s="6244"/>
      <c r="Z10" s="6244"/>
      <c r="AA10" s="6244"/>
      <c r="AB10" s="6244"/>
      <c r="AC10" s="6244"/>
      <c r="AD10" s="6244"/>
      <c r="AE10" s="6244"/>
      <c r="AF10" s="6244"/>
      <c r="AG10" s="6244"/>
      <c r="AH10" s="6244"/>
      <c r="AI10" s="6244"/>
      <c r="AJ10" s="6244"/>
      <c r="AK10" s="861"/>
      <c r="AL10" s="420"/>
    </row>
    <row r="11" spans="1:38" ht="12" customHeight="1" x14ac:dyDescent="0.2">
      <c r="A11" s="2778"/>
      <c r="B11" s="854">
        <v>2</v>
      </c>
      <c r="C11" s="6219"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20"/>
      <c r="E11" s="6220"/>
      <c r="F11" s="6220"/>
      <c r="G11" s="6221"/>
      <c r="H11" s="430" t="s">
        <v>1328</v>
      </c>
      <c r="I11" s="431">
        <f>B11</f>
        <v>2</v>
      </c>
      <c r="J11" s="6222" t="s">
        <v>6329</v>
      </c>
      <c r="K11" s="6222"/>
      <c r="L11" s="6222"/>
      <c r="M11" s="6183" t="e">
        <f>IF(C11=0,"",VLOOKUP(C11,'Tablas Magia'!$D$6:$Z$680,2,FALSE))</f>
        <v>#N/A</v>
      </c>
      <c r="N11" s="6183"/>
      <c r="O11" s="1853"/>
      <c r="P11" s="6214" t="str">
        <f>IFERROR(IF(M11="Libre Acceso","Aprendido",IF(IFERROR(VLOOKUP(M11,Místicos!$C$15:$H$25,6,0)&gt;=I11,FALSE),"Aprendido",IF(IFERROR(VLOOKUP(M11,Místicos!$E$15:$H$25,4,0)&gt;=I11,FALSE),"Aprendido",""))),"")</f>
        <v/>
      </c>
      <c r="Q11" s="6215"/>
      <c r="R11" s="426"/>
      <c r="S11" s="1518"/>
      <c r="T11" s="420"/>
      <c r="U11" s="854">
        <f>B55+2</f>
        <v>12</v>
      </c>
      <c r="V11" s="6219"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30"/>
      <c r="X11" s="6230"/>
      <c r="Y11" s="6230"/>
      <c r="Z11" s="6237"/>
      <c r="AA11" s="430" t="s">
        <v>1328</v>
      </c>
      <c r="AB11" s="431">
        <f>U11</f>
        <v>12</v>
      </c>
      <c r="AC11" s="6222" t="s">
        <v>6329</v>
      </c>
      <c r="AD11" s="6222"/>
      <c r="AE11" s="6222"/>
      <c r="AF11" s="6183" t="e">
        <f>IF(V11=0,"",VLOOKUP(V11,'Tablas Magia'!$D$6:$Z$680,2,FALSE))</f>
        <v>#N/A</v>
      </c>
      <c r="AG11" s="6183"/>
      <c r="AH11" s="1853"/>
      <c r="AI11" s="6214" t="str">
        <f>IFERROR(IF(AF11="Libre Acceso","Aprendido",IF(IFERROR(VLOOKUP(AF11,Místicos!$C$15:$H$25,6,0)&gt;=AB11,FALSE),"Aprendido",IF(IFERROR(VLOOKUP(AF11,Místicos!$E$15:$H$25,4,0)&gt;=AB11,FALSE),"Aprendido",""))),"")</f>
        <v/>
      </c>
      <c r="AJ11" s="6215"/>
      <c r="AK11" s="426"/>
      <c r="AL11" s="420"/>
    </row>
    <row r="12" spans="1:38" ht="12" customHeight="1" x14ac:dyDescent="0.2">
      <c r="A12" s="2778"/>
      <c r="B12" s="854"/>
      <c r="C12" s="6198" t="s">
        <v>6330</v>
      </c>
      <c r="D12" s="6228"/>
      <c r="E12" s="2760" t="s">
        <v>6331</v>
      </c>
      <c r="F12" s="2760" t="s">
        <v>1512</v>
      </c>
      <c r="G12" s="2760" t="s">
        <v>2862</v>
      </c>
      <c r="H12" s="2761" t="s">
        <v>1840</v>
      </c>
      <c r="I12" s="6226" t="e">
        <f>IF(C11=0,"",VLOOKUP(C11,'Tablas Magia'!$D$6:$Z$680,5,FALSE))</f>
        <v>#N/A</v>
      </c>
      <c r="J12" s="6226"/>
      <c r="K12" s="6229" t="s">
        <v>6332</v>
      </c>
      <c r="L12" s="6229"/>
      <c r="M12" s="6226" t="e">
        <f>IF(C11=0,"",VLOOKUP(C11,'Tablas Magia'!$D$6:$Z$680,6,FALSE))</f>
        <v>#N/A</v>
      </c>
      <c r="N12" s="6226"/>
      <c r="O12" s="6227" t="s">
        <v>6333</v>
      </c>
      <c r="P12" s="6227"/>
      <c r="Q12" s="2762" t="e">
        <f>IF(C11=0,"",VLOOKUP(C11,'Tablas Magia'!$D$6:$Z$680,4,FALSE))</f>
        <v>#N/A</v>
      </c>
      <c r="R12" s="426"/>
      <c r="S12" s="420"/>
      <c r="T12" s="420"/>
      <c r="U12" s="854"/>
      <c r="V12" s="6198" t="s">
        <v>6330</v>
      </c>
      <c r="W12" s="6231"/>
      <c r="X12" s="1862" t="s">
        <v>6331</v>
      </c>
      <c r="Y12" s="1862" t="s">
        <v>1512</v>
      </c>
      <c r="Z12" s="1862" t="s">
        <v>2862</v>
      </c>
      <c r="AA12" s="1863" t="s">
        <v>1840</v>
      </c>
      <c r="AB12" s="6232" t="e">
        <f>IF(V11=0,"",VLOOKUP(V11,'Tablas Magia'!$D$6:$Z$680,5,FALSE))</f>
        <v>#N/A</v>
      </c>
      <c r="AC12" s="6232"/>
      <c r="AD12" s="6233" t="s">
        <v>6332</v>
      </c>
      <c r="AE12" s="6233"/>
      <c r="AF12" s="6232" t="e">
        <f>IF(V11=0,"",VLOOKUP(V11,'Tablas Magia'!$D$6:$Z$680,6,FALSE))</f>
        <v>#N/A</v>
      </c>
      <c r="AG12" s="6232"/>
      <c r="AH12" s="6234" t="s">
        <v>6333</v>
      </c>
      <c r="AI12" s="6234"/>
      <c r="AJ12" s="1864" t="e">
        <f>IF(V11=0,"",VLOOKUP(V11,'Tablas Magia'!$D$6:$Z$680,4,FALSE))</f>
        <v>#N/A</v>
      </c>
      <c r="AK12" s="426"/>
      <c r="AL12" s="420"/>
    </row>
    <row r="13" spans="1:38" ht="12" customHeight="1" x14ac:dyDescent="0.2">
      <c r="A13" s="2778"/>
      <c r="B13" s="854"/>
      <c r="C13" s="6190" t="s">
        <v>1368</v>
      </c>
      <c r="D13" s="6191"/>
      <c r="E13" s="2763" t="e">
        <f>IF(C11=0,"",VLOOKUP(C11,'Tablas Magia'!$D$6:$Z$680,7,FALSE))</f>
        <v>#N/A</v>
      </c>
      <c r="F13" s="2763" t="e">
        <f>IF(C11=0,"",VLOOKUP(C11,'Tablas Magia'!$D$6:$Z$680,11,FALSE))</f>
        <v>#N/A</v>
      </c>
      <c r="G13" s="436" t="e">
        <f>IF(C11=0,"",VLOOKUP(C11,'Tablas Magia'!$D$6:$Z$680,15,FALSE))</f>
        <v>#N/A</v>
      </c>
      <c r="H13" s="6192" t="e">
        <f>IF(C11=0,"",VLOOKUP(C11,'Tablas Magia'!$D$6:$Z$680,19,FALSE))</f>
        <v>#N/A</v>
      </c>
      <c r="I13" s="6216"/>
      <c r="J13" s="6216"/>
      <c r="K13" s="6216"/>
      <c r="L13" s="6216"/>
      <c r="M13" s="6216"/>
      <c r="N13" s="6216"/>
      <c r="O13" s="6216"/>
      <c r="P13" s="6216"/>
      <c r="Q13" s="6194"/>
      <c r="R13" s="426"/>
      <c r="S13" s="420"/>
      <c r="T13" s="420"/>
      <c r="U13" s="854"/>
      <c r="V13" s="6238" t="s">
        <v>1368</v>
      </c>
      <c r="W13" s="6239"/>
      <c r="X13" s="435" t="e">
        <f>IF(V11=0,"",VLOOKUP(V11,'Tablas Magia'!$D$6:$Z$680,7,FALSE))</f>
        <v>#N/A</v>
      </c>
      <c r="Y13" s="435" t="e">
        <f>IF(V11=0,"",VLOOKUP(V11,'Tablas Magia'!$D$6:$Z$680,11,FALSE))</f>
        <v>#N/A</v>
      </c>
      <c r="Z13" s="436" t="e">
        <f>IF(V11=0,"",VLOOKUP(V11,'Tablas Magia'!$D$6:$Z$680,15,FALSE))</f>
        <v>#N/A</v>
      </c>
      <c r="AA13" s="6223" t="e">
        <f>IF(V11=0,"",VLOOKUP(V11,'Tablas Magia'!$D$6:$Z$680,19,FALSE))</f>
        <v>#N/A</v>
      </c>
      <c r="AB13" s="6224"/>
      <c r="AC13" s="6224"/>
      <c r="AD13" s="6224"/>
      <c r="AE13" s="6224"/>
      <c r="AF13" s="6224"/>
      <c r="AG13" s="6224"/>
      <c r="AH13" s="6224"/>
      <c r="AI13" s="6224"/>
      <c r="AJ13" s="6225"/>
      <c r="AK13" s="426"/>
      <c r="AL13" s="420"/>
    </row>
    <row r="14" spans="1:38" ht="12" customHeight="1" x14ac:dyDescent="0.2">
      <c r="A14" s="2778"/>
      <c r="B14" s="854"/>
      <c r="C14" s="6185" t="s">
        <v>3233</v>
      </c>
      <c r="D14" s="6186"/>
      <c r="E14" s="2764" t="e">
        <f>IF(C11=0,"",VLOOKUP(C11,'Tablas Magia'!$D$6:$Z$680,8,FALSE))</f>
        <v>#N/A</v>
      </c>
      <c r="F14" s="2764" t="e">
        <f>IF(C11=0,"",VLOOKUP(C11,'Tablas Magia'!$D$6:$Z$680,12,FALSE))</f>
        <v>#N/A</v>
      </c>
      <c r="G14" s="438" t="e">
        <f>IF(C11=0,"",VLOOKUP(C11,'Tablas Magia'!$D$6:$Z$680,16,FALSE))</f>
        <v>#N/A</v>
      </c>
      <c r="H14" s="6187" t="e">
        <f>IF(C11=0,"",VLOOKUP(C11,'Tablas Magia'!$D$6:$Z$680,20,FALSE))</f>
        <v>#N/A</v>
      </c>
      <c r="I14" s="6217"/>
      <c r="J14" s="6217"/>
      <c r="K14" s="6217"/>
      <c r="L14" s="6217"/>
      <c r="M14" s="6217"/>
      <c r="N14" s="6217"/>
      <c r="O14" s="6217"/>
      <c r="P14" s="6217"/>
      <c r="Q14" s="6189"/>
      <c r="R14" s="426"/>
      <c r="S14" s="420"/>
      <c r="T14" s="420"/>
      <c r="U14" s="854"/>
      <c r="V14" s="6185" t="s">
        <v>3233</v>
      </c>
      <c r="W14" s="6186"/>
      <c r="X14" s="437" t="e">
        <f>IF(V11=0,"",VLOOKUP(V11,'Tablas Magia'!$D$6:$Z$680,8,FALSE))</f>
        <v>#N/A</v>
      </c>
      <c r="Y14" s="437" t="e">
        <f>IF(V11=0,"",VLOOKUP(V11,'Tablas Magia'!$D$6:$Z$680,12,FALSE))</f>
        <v>#N/A</v>
      </c>
      <c r="Z14" s="438" t="e">
        <f>IF(V11=0,"",VLOOKUP(V11,'Tablas Magia'!$D$6:$Z$680,16,FALSE))</f>
        <v>#N/A</v>
      </c>
      <c r="AA14" s="6187" t="e">
        <f>IF(V11=0,"",VLOOKUP(V11,'Tablas Magia'!$D$6:$Z$680,20,FALSE))</f>
        <v>#N/A</v>
      </c>
      <c r="AB14" s="6188"/>
      <c r="AC14" s="6188"/>
      <c r="AD14" s="6188"/>
      <c r="AE14" s="6188"/>
      <c r="AF14" s="6188"/>
      <c r="AG14" s="6188"/>
      <c r="AH14" s="6188"/>
      <c r="AI14" s="6188"/>
      <c r="AJ14" s="6189"/>
      <c r="AK14" s="426"/>
      <c r="AL14" s="420"/>
    </row>
    <row r="15" spans="1:38" ht="12" customHeight="1" x14ac:dyDescent="0.2">
      <c r="A15" s="2778"/>
      <c r="B15" s="854"/>
      <c r="C15" s="6190" t="s">
        <v>3234</v>
      </c>
      <c r="D15" s="6191"/>
      <c r="E15" s="2763" t="e">
        <f>IF(C11=0,"",VLOOKUP(C11,'Tablas Magia'!$D$6:$Z$680,9,FALSE))</f>
        <v>#N/A</v>
      </c>
      <c r="F15" s="2763" t="e">
        <f>IF(C11=0,"",VLOOKUP(C11,'Tablas Magia'!$D$6:$Z$680,13,FALSE))</f>
        <v>#N/A</v>
      </c>
      <c r="G15" s="436" t="e">
        <f>IF(C11=0,"",VLOOKUP(C11,'Tablas Magia'!$D$6:$Z$680,17,FALSE))</f>
        <v>#N/A</v>
      </c>
      <c r="H15" s="6192" t="e">
        <f>IF(C11=0,"",VLOOKUP(C11,'Tablas Magia'!$D$6:$Z$680,21,FALSE))</f>
        <v>#N/A</v>
      </c>
      <c r="I15" s="6216"/>
      <c r="J15" s="6216"/>
      <c r="K15" s="6216"/>
      <c r="L15" s="6216"/>
      <c r="M15" s="6216"/>
      <c r="N15" s="6216"/>
      <c r="O15" s="6216"/>
      <c r="P15" s="6216"/>
      <c r="Q15" s="6194"/>
      <c r="R15" s="426"/>
      <c r="S15" s="420"/>
      <c r="T15" s="420"/>
      <c r="U15" s="854"/>
      <c r="V15" s="6190" t="s">
        <v>3234</v>
      </c>
      <c r="W15" s="6191"/>
      <c r="X15" s="435" t="e">
        <f>IF(V11=0,"",VLOOKUP(V11,'Tablas Magia'!$D$6:$Z$680,9,FALSE))</f>
        <v>#N/A</v>
      </c>
      <c r="Y15" s="435" t="e">
        <f>IF(V11=0,"",VLOOKUP(V11,'Tablas Magia'!$D$6:$Z$680,13,FALSE))</f>
        <v>#N/A</v>
      </c>
      <c r="Z15" s="436" t="e">
        <f>IF(V11=0,"",VLOOKUP(V11,'Tablas Magia'!$D$6:$Z$680,17,FALSE))</f>
        <v>#N/A</v>
      </c>
      <c r="AA15" s="6192" t="e">
        <f>IF(V11=0,"",VLOOKUP(V11,'Tablas Magia'!$D$6:$Z$680,21,FALSE))</f>
        <v>#N/A</v>
      </c>
      <c r="AB15" s="6193"/>
      <c r="AC15" s="6193"/>
      <c r="AD15" s="6193"/>
      <c r="AE15" s="6193"/>
      <c r="AF15" s="6193"/>
      <c r="AG15" s="6193"/>
      <c r="AH15" s="6193"/>
      <c r="AI15" s="6193"/>
      <c r="AJ15" s="6194"/>
      <c r="AK15" s="426"/>
      <c r="AL15" s="420"/>
    </row>
    <row r="16" spans="1:38" ht="12" customHeight="1" thickBot="1" x14ac:dyDescent="0.25">
      <c r="A16" s="2778"/>
      <c r="B16" s="854"/>
      <c r="C16" s="6200" t="s">
        <v>3235</v>
      </c>
      <c r="D16" s="6201"/>
      <c r="E16" s="439" t="e">
        <f>IF(C11=0,"",VLOOKUP(C11,'Tablas Magia'!$D$6:$Z$680,10,FALSE))</f>
        <v>#N/A</v>
      </c>
      <c r="F16" s="439" t="e">
        <f>IF(C11=0,"",VLOOKUP(C11,'Tablas Magia'!$D$6:$Z$680,14,FALSE))</f>
        <v>#N/A</v>
      </c>
      <c r="G16" s="440" t="e">
        <f>IF(C11=0,"",VLOOKUP(C11,'Tablas Magia'!$D$6:$Z$680,18,FALSE))</f>
        <v>#N/A</v>
      </c>
      <c r="H16" s="6202" t="e">
        <f>IF(C11=0,"",VLOOKUP(C11,'Tablas Magia'!$D$6:$Z$680,22,FALSE))</f>
        <v>#N/A</v>
      </c>
      <c r="I16" s="6203"/>
      <c r="J16" s="6203"/>
      <c r="K16" s="6203"/>
      <c r="L16" s="6203"/>
      <c r="M16" s="6203"/>
      <c r="N16" s="6203"/>
      <c r="O16" s="6203"/>
      <c r="P16" s="6203"/>
      <c r="Q16" s="6204"/>
      <c r="R16" s="426"/>
      <c r="S16" s="420"/>
      <c r="T16" s="420"/>
      <c r="U16" s="854"/>
      <c r="V16" s="6200" t="s">
        <v>3235</v>
      </c>
      <c r="W16" s="6201"/>
      <c r="X16" s="439" t="e">
        <f>IF(V11=0,"",VLOOKUP(V11,'Tablas Magia'!$D$6:$Z$680,10,FALSE))</f>
        <v>#N/A</v>
      </c>
      <c r="Y16" s="439" t="e">
        <f>IF(V11=0,"",VLOOKUP(V11,'Tablas Magia'!$D$6:$Z$680,14,FALSE))</f>
        <v>#N/A</v>
      </c>
      <c r="Z16" s="440" t="e">
        <f>IF(V11=0,"",VLOOKUP(V11,'Tablas Magia'!$D$6:$Z$680,18,FALSE))</f>
        <v>#N/A</v>
      </c>
      <c r="AA16" s="6202" t="e">
        <f>IF(V11=0,"",VLOOKUP(V11,'Tablas Magia'!$D$6:$Z$680,22,FALSE))</f>
        <v>#N/A</v>
      </c>
      <c r="AB16" s="6203"/>
      <c r="AC16" s="6203"/>
      <c r="AD16" s="6203"/>
      <c r="AE16" s="6203"/>
      <c r="AF16" s="6203"/>
      <c r="AG16" s="6203"/>
      <c r="AH16" s="6203"/>
      <c r="AI16" s="6203"/>
      <c r="AJ16" s="6204"/>
      <c r="AK16" s="426"/>
      <c r="AL16" s="420"/>
    </row>
    <row r="17" spans="1:38" ht="12" customHeight="1" x14ac:dyDescent="0.2">
      <c r="A17" s="2778"/>
      <c r="B17" s="854"/>
      <c r="C17" s="6205" t="e">
        <f>IF(C11=0,"",VLOOKUP(C11,'Tablas Magia'!$D$6:$Z$680,23,FALSE))</f>
        <v>#N/A</v>
      </c>
      <c r="D17" s="6206"/>
      <c r="E17" s="6206"/>
      <c r="F17" s="6206"/>
      <c r="G17" s="6206"/>
      <c r="H17" s="6206"/>
      <c r="I17" s="6206"/>
      <c r="J17" s="6206"/>
      <c r="K17" s="6206"/>
      <c r="L17" s="6206"/>
      <c r="M17" s="6206"/>
      <c r="N17" s="6206"/>
      <c r="O17" s="6206"/>
      <c r="P17" s="6206"/>
      <c r="Q17" s="6207"/>
      <c r="R17" s="426"/>
      <c r="S17" s="420"/>
      <c r="T17" s="420"/>
      <c r="U17" s="854"/>
      <c r="V17" s="6205" t="e">
        <f>IF(V11=0,"",VLOOKUP(V11,'Tablas Magia'!$D$6:$Z$680,23,FALSE))</f>
        <v>#N/A</v>
      </c>
      <c r="W17" s="6206"/>
      <c r="X17" s="6206"/>
      <c r="Y17" s="6206"/>
      <c r="Z17" s="6206"/>
      <c r="AA17" s="6206"/>
      <c r="AB17" s="6206"/>
      <c r="AC17" s="6206"/>
      <c r="AD17" s="6206"/>
      <c r="AE17" s="6206"/>
      <c r="AF17" s="6206"/>
      <c r="AG17" s="6206"/>
      <c r="AH17" s="6206"/>
      <c r="AI17" s="6206"/>
      <c r="AJ17" s="6207"/>
      <c r="AK17" s="426"/>
      <c r="AL17" s="420"/>
    </row>
    <row r="18" spans="1:38" ht="12" customHeight="1" x14ac:dyDescent="0.2">
      <c r="A18" s="2778"/>
      <c r="B18" s="854"/>
      <c r="C18" s="6208"/>
      <c r="D18" s="6218"/>
      <c r="E18" s="6218"/>
      <c r="F18" s="6218"/>
      <c r="G18" s="6218"/>
      <c r="H18" s="6218"/>
      <c r="I18" s="6218"/>
      <c r="J18" s="6218"/>
      <c r="K18" s="6218"/>
      <c r="L18" s="6218"/>
      <c r="M18" s="6218"/>
      <c r="N18" s="6218"/>
      <c r="O18" s="6218"/>
      <c r="P18" s="6218"/>
      <c r="Q18" s="6210"/>
      <c r="R18" s="426"/>
      <c r="S18" s="420"/>
      <c r="T18" s="420"/>
      <c r="U18" s="854"/>
      <c r="V18" s="6208"/>
      <c r="W18" s="6209"/>
      <c r="X18" s="6209"/>
      <c r="Y18" s="6209"/>
      <c r="Z18" s="6209"/>
      <c r="AA18" s="6209"/>
      <c r="AB18" s="6209"/>
      <c r="AC18" s="6209"/>
      <c r="AD18" s="6209"/>
      <c r="AE18" s="6209"/>
      <c r="AF18" s="6209"/>
      <c r="AG18" s="6209"/>
      <c r="AH18" s="6209"/>
      <c r="AI18" s="6209"/>
      <c r="AJ18" s="6210"/>
      <c r="AK18" s="426"/>
      <c r="AL18" s="420"/>
    </row>
    <row r="19" spans="1:38" ht="12" customHeight="1" x14ac:dyDescent="0.2">
      <c r="A19" s="2778"/>
      <c r="B19" s="854"/>
      <c r="C19" s="6208"/>
      <c r="D19" s="6218"/>
      <c r="E19" s="6218"/>
      <c r="F19" s="6218"/>
      <c r="G19" s="6218"/>
      <c r="H19" s="6218"/>
      <c r="I19" s="6218"/>
      <c r="J19" s="6218"/>
      <c r="K19" s="6218"/>
      <c r="L19" s="6218"/>
      <c r="M19" s="6218"/>
      <c r="N19" s="6218"/>
      <c r="O19" s="6218"/>
      <c r="P19" s="6218"/>
      <c r="Q19" s="6210"/>
      <c r="R19" s="426"/>
      <c r="S19" s="420"/>
      <c r="T19" s="420"/>
      <c r="U19" s="854"/>
      <c r="V19" s="6208"/>
      <c r="W19" s="6209"/>
      <c r="X19" s="6209"/>
      <c r="Y19" s="6209"/>
      <c r="Z19" s="6209"/>
      <c r="AA19" s="6209"/>
      <c r="AB19" s="6209"/>
      <c r="AC19" s="6209"/>
      <c r="AD19" s="6209"/>
      <c r="AE19" s="6209"/>
      <c r="AF19" s="6209"/>
      <c r="AG19" s="6209"/>
      <c r="AH19" s="6209"/>
      <c r="AI19" s="6209"/>
      <c r="AJ19" s="6210"/>
      <c r="AK19" s="426"/>
      <c r="AL19" s="420"/>
    </row>
    <row r="20" spans="1:38" ht="12" customHeight="1" thickBot="1" x14ac:dyDescent="0.25">
      <c r="A20" s="2778"/>
      <c r="B20" s="854"/>
      <c r="C20" s="6211"/>
      <c r="D20" s="6212"/>
      <c r="E20" s="6212"/>
      <c r="F20" s="6212"/>
      <c r="G20" s="6212"/>
      <c r="H20" s="6212"/>
      <c r="I20" s="6212"/>
      <c r="J20" s="6212"/>
      <c r="K20" s="6212"/>
      <c r="L20" s="6212"/>
      <c r="M20" s="6212"/>
      <c r="N20" s="6212"/>
      <c r="O20" s="6212"/>
      <c r="P20" s="6212"/>
      <c r="Q20" s="6213"/>
      <c r="R20" s="426"/>
      <c r="S20" s="420"/>
      <c r="T20" s="420"/>
      <c r="U20" s="854"/>
      <c r="V20" s="6211"/>
      <c r="W20" s="6212"/>
      <c r="X20" s="6212"/>
      <c r="Y20" s="6212"/>
      <c r="Z20" s="6212"/>
      <c r="AA20" s="6212"/>
      <c r="AB20" s="6212"/>
      <c r="AC20" s="6212"/>
      <c r="AD20" s="6212"/>
      <c r="AE20" s="6212"/>
      <c r="AF20" s="6212"/>
      <c r="AG20" s="6212"/>
      <c r="AH20" s="6212"/>
      <c r="AI20" s="6212"/>
      <c r="AJ20" s="6213"/>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19"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20"/>
      <c r="E22" s="6220"/>
      <c r="F22" s="6220"/>
      <c r="G22" s="6221"/>
      <c r="H22" s="430" t="s">
        <v>1328</v>
      </c>
      <c r="I22" s="431">
        <f>B22</f>
        <v>4</v>
      </c>
      <c r="J22" s="6222" t="s">
        <v>6329</v>
      </c>
      <c r="K22" s="6222"/>
      <c r="L22" s="6222"/>
      <c r="M22" s="6183" t="e">
        <f>IF(C22=0,"",VLOOKUP(C22,'Tablas Magia'!$D$6:$Z$680,2,FALSE))</f>
        <v>#N/A</v>
      </c>
      <c r="N22" s="6183"/>
      <c r="O22" s="1853"/>
      <c r="P22" s="6214" t="str">
        <f>IFERROR(IF(M22="Libre Acceso","Aprendido",IF(IFERROR(VLOOKUP(M22,Místicos!$C$15:$H$25,6,0)&gt;=I22,FALSE),"Aprendido",IF(IFERROR(VLOOKUP(M22,Místicos!$E$15:$H$25,4,0)&gt;=I22,FALSE),"Aprendido",""))),"")</f>
        <v/>
      </c>
      <c r="Q22" s="6215"/>
      <c r="R22" s="426"/>
      <c r="S22" s="420"/>
      <c r="T22" s="420"/>
      <c r="U22" s="854">
        <f>U11+2</f>
        <v>14</v>
      </c>
      <c r="V22" s="6219"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30"/>
      <c r="X22" s="6230"/>
      <c r="Y22" s="6230"/>
      <c r="Z22" s="6230"/>
      <c r="AA22" s="430" t="s">
        <v>1328</v>
      </c>
      <c r="AB22" s="431">
        <f>U22</f>
        <v>14</v>
      </c>
      <c r="AC22" s="6222" t="s">
        <v>6329</v>
      </c>
      <c r="AD22" s="6222"/>
      <c r="AE22" s="6222"/>
      <c r="AF22" s="6183" t="e">
        <f>IF(V22=0,"",VLOOKUP(V22,'Tablas Magia'!$D$6:$Z$680,2,FALSE))</f>
        <v>#N/A</v>
      </c>
      <c r="AG22" s="6183"/>
      <c r="AH22" s="1853"/>
      <c r="AI22" s="6214" t="str">
        <f>IFERROR(IF(AF22="Libre Acceso","Aprendido",IF(IFERROR(VLOOKUP(AF22,Místicos!$C$15:$H$25,6,0)&gt;=AB22,FALSE),"Aprendido",IF(IFERROR(VLOOKUP(AF22,Místicos!$E$15:$H$25,4,0)&gt;=AB22,FALSE),"Aprendido",""))),"")</f>
        <v/>
      </c>
      <c r="AJ22" s="6215"/>
      <c r="AK22" s="426"/>
      <c r="AL22" s="420"/>
    </row>
    <row r="23" spans="1:38" ht="12" customHeight="1" x14ac:dyDescent="0.2">
      <c r="A23" s="2778"/>
      <c r="B23" s="854"/>
      <c r="C23" s="6198" t="s">
        <v>6330</v>
      </c>
      <c r="D23" s="6228"/>
      <c r="E23" s="2760" t="s">
        <v>6331</v>
      </c>
      <c r="F23" s="2760" t="s">
        <v>1512</v>
      </c>
      <c r="G23" s="2760" t="s">
        <v>2862</v>
      </c>
      <c r="H23" s="2761" t="s">
        <v>1840</v>
      </c>
      <c r="I23" s="6226" t="e">
        <f>IF(C22=0,"",VLOOKUP(C22,'Tablas Magia'!$D$6:$Z$680,5,FALSE))</f>
        <v>#N/A</v>
      </c>
      <c r="J23" s="6226"/>
      <c r="K23" s="6229" t="s">
        <v>6332</v>
      </c>
      <c r="L23" s="6229"/>
      <c r="M23" s="6226" t="e">
        <f>IF(C22=0,"",VLOOKUP(C22,'Tablas Magia'!$D$6:$Z$680,6,FALSE))</f>
        <v>#N/A</v>
      </c>
      <c r="N23" s="6226"/>
      <c r="O23" s="6227" t="s">
        <v>6333</v>
      </c>
      <c r="P23" s="6227"/>
      <c r="Q23" s="2762" t="e">
        <f>IF(C22=0,"",VLOOKUP(C22,'Tablas Magia'!$D$6:$Z$680,4,FALSE))</f>
        <v>#N/A</v>
      </c>
      <c r="R23" s="426"/>
      <c r="S23" s="420"/>
      <c r="T23" s="420"/>
      <c r="U23" s="854"/>
      <c r="V23" s="6198" t="s">
        <v>6330</v>
      </c>
      <c r="W23" s="6231"/>
      <c r="X23" s="1862" t="s">
        <v>6331</v>
      </c>
      <c r="Y23" s="1862" t="s">
        <v>1512</v>
      </c>
      <c r="Z23" s="1862" t="s">
        <v>2862</v>
      </c>
      <c r="AA23" s="1863" t="s">
        <v>1840</v>
      </c>
      <c r="AB23" s="6232" t="e">
        <f>IF(V22=0,"",VLOOKUP(V22,'Tablas Magia'!$D$6:$Z$680,5,FALSE))</f>
        <v>#N/A</v>
      </c>
      <c r="AC23" s="6232"/>
      <c r="AD23" s="6233" t="s">
        <v>6332</v>
      </c>
      <c r="AE23" s="6233"/>
      <c r="AF23" s="6232" t="e">
        <f>IF(V22=0,"",VLOOKUP(V22,'Tablas Magia'!$D$6:$Z$680,6,FALSE))</f>
        <v>#N/A</v>
      </c>
      <c r="AG23" s="6232"/>
      <c r="AH23" s="6234" t="s">
        <v>6333</v>
      </c>
      <c r="AI23" s="6234"/>
      <c r="AJ23" s="1864" t="e">
        <f>IF(V22=0,"",VLOOKUP(V22,'Tablas Magia'!$D$6:$Z$680,4,FALSE))</f>
        <v>#N/A</v>
      </c>
      <c r="AK23" s="426"/>
      <c r="AL23" s="420"/>
    </row>
    <row r="24" spans="1:38" ht="12" customHeight="1" x14ac:dyDescent="0.2">
      <c r="A24" s="2778"/>
      <c r="B24" s="854"/>
      <c r="C24" s="6238" t="s">
        <v>1368</v>
      </c>
      <c r="D24" s="6239"/>
      <c r="E24" s="2763" t="e">
        <f>IF(C22=0,"",VLOOKUP(C22,'Tablas Magia'!$D$6:$Z$680,7,FALSE))</f>
        <v>#N/A</v>
      </c>
      <c r="F24" s="2763" t="e">
        <f>IF(C22=0,"",VLOOKUP(C22,'Tablas Magia'!$D$6:$Z$680,11,FALSE))</f>
        <v>#N/A</v>
      </c>
      <c r="G24" s="436" t="e">
        <f>IF(C22=0,"",VLOOKUP(C22,'Tablas Magia'!$D$6:$Z$680,15,FALSE))</f>
        <v>#N/A</v>
      </c>
      <c r="H24" s="6223" t="e">
        <f>IF(C22=0,"",VLOOKUP(C22,'Tablas Magia'!$D$6:$Z$680,19,FALSE))</f>
        <v>#N/A</v>
      </c>
      <c r="I24" s="6224"/>
      <c r="J24" s="6224"/>
      <c r="K24" s="6224"/>
      <c r="L24" s="6224"/>
      <c r="M24" s="6224"/>
      <c r="N24" s="6224"/>
      <c r="O24" s="6224"/>
      <c r="P24" s="6224"/>
      <c r="Q24" s="6225"/>
      <c r="R24" s="426"/>
      <c r="S24" s="420"/>
      <c r="T24" s="420"/>
      <c r="U24" s="854"/>
      <c r="V24" s="6190" t="s">
        <v>1368</v>
      </c>
      <c r="W24" s="6191"/>
      <c r="X24" s="435" t="e">
        <f>IF(V22=0,"",VLOOKUP(V22,'Tablas Magia'!$D$6:$Z$680,7,FALSE))</f>
        <v>#N/A</v>
      </c>
      <c r="Y24" s="435" t="e">
        <f>IF(V22=0,"",VLOOKUP(V22,'Tablas Magia'!$D$6:$Z$680,11,FALSE))</f>
        <v>#N/A</v>
      </c>
      <c r="Z24" s="436" t="e">
        <f>IF(V22=0,"",VLOOKUP(V22,'Tablas Magia'!$D$6:$Z$680,15,FALSE))</f>
        <v>#N/A</v>
      </c>
      <c r="AA24" s="6192" t="e">
        <f>IF(V22=0,"",VLOOKUP(V22,'Tablas Magia'!$D$6:$Z$680,19,FALSE))</f>
        <v>#N/A</v>
      </c>
      <c r="AB24" s="6193"/>
      <c r="AC24" s="6193"/>
      <c r="AD24" s="6193"/>
      <c r="AE24" s="6193"/>
      <c r="AF24" s="6193"/>
      <c r="AG24" s="6193"/>
      <c r="AH24" s="6193"/>
      <c r="AI24" s="6193"/>
      <c r="AJ24" s="6194"/>
      <c r="AK24" s="426"/>
      <c r="AL24" s="420"/>
    </row>
    <row r="25" spans="1:38" ht="12" customHeight="1" x14ac:dyDescent="0.2">
      <c r="A25" s="2778"/>
      <c r="B25" s="854"/>
      <c r="C25" s="6185" t="s">
        <v>3233</v>
      </c>
      <c r="D25" s="6186"/>
      <c r="E25" s="2764" t="e">
        <f>IF(C22=0,"",VLOOKUP(C22,'Tablas Magia'!$D$6:$Z$680,8,FALSE))</f>
        <v>#N/A</v>
      </c>
      <c r="F25" s="2764" t="e">
        <f>IF(C22=0,"",VLOOKUP(C22,'Tablas Magia'!$D$6:$Z$680,12,FALSE))</f>
        <v>#N/A</v>
      </c>
      <c r="G25" s="438" t="e">
        <f>IF(C22=0,"",VLOOKUP(C22,'Tablas Magia'!$D$6:$Z$680,16,FALSE))</f>
        <v>#N/A</v>
      </c>
      <c r="H25" s="6187" t="e">
        <f>IF(C22=0,"",VLOOKUP(C22,'Tablas Magia'!$D$6:$Z$680,20,FALSE))</f>
        <v>#N/A</v>
      </c>
      <c r="I25" s="6217"/>
      <c r="J25" s="6217"/>
      <c r="K25" s="6217"/>
      <c r="L25" s="6217"/>
      <c r="M25" s="6217"/>
      <c r="N25" s="6217"/>
      <c r="O25" s="6217"/>
      <c r="P25" s="6217"/>
      <c r="Q25" s="6189"/>
      <c r="R25" s="426"/>
      <c r="S25" s="420"/>
      <c r="T25" s="420"/>
      <c r="U25" s="854"/>
      <c r="V25" s="6185" t="s">
        <v>3233</v>
      </c>
      <c r="W25" s="6186"/>
      <c r="X25" s="437" t="e">
        <f>IF(V22=0,"",VLOOKUP(V22,'Tablas Magia'!$D$6:$Z$680,8,FALSE))</f>
        <v>#N/A</v>
      </c>
      <c r="Y25" s="437" t="e">
        <f>IF(V22=0,"",VLOOKUP(V22,'Tablas Magia'!$D$6:$Z$680,12,FALSE))</f>
        <v>#N/A</v>
      </c>
      <c r="Z25" s="438" t="e">
        <f>IF(V22=0,"",VLOOKUP(V22,'Tablas Magia'!$D$6:$Z$680,16,FALSE))</f>
        <v>#N/A</v>
      </c>
      <c r="AA25" s="6187" t="e">
        <f>IF(V22=0,"",VLOOKUP(V22,'Tablas Magia'!$D$6:$Z$680,20,FALSE))</f>
        <v>#N/A</v>
      </c>
      <c r="AB25" s="6188"/>
      <c r="AC25" s="6188"/>
      <c r="AD25" s="6188"/>
      <c r="AE25" s="6188"/>
      <c r="AF25" s="6188"/>
      <c r="AG25" s="6188"/>
      <c r="AH25" s="6188"/>
      <c r="AI25" s="6188"/>
      <c r="AJ25" s="6189"/>
      <c r="AK25" s="426"/>
      <c r="AL25" s="420"/>
    </row>
    <row r="26" spans="1:38" ht="12" customHeight="1" x14ac:dyDescent="0.2">
      <c r="A26" s="2778"/>
      <c r="B26" s="854"/>
      <c r="C26" s="6190" t="s">
        <v>3234</v>
      </c>
      <c r="D26" s="6191"/>
      <c r="E26" s="2763" t="e">
        <f>IF(C22=0,"",VLOOKUP(C22,'Tablas Magia'!$D$6:$Z$680,9,FALSE))</f>
        <v>#N/A</v>
      </c>
      <c r="F26" s="2763" t="e">
        <f>IF(C22=0,"",VLOOKUP(C22,'Tablas Magia'!$D$6:$Z$680,13,FALSE))</f>
        <v>#N/A</v>
      </c>
      <c r="G26" s="436" t="e">
        <f>IF(C22=0,"",VLOOKUP(C22,'Tablas Magia'!$D$6:$Z$680,17,FALSE))</f>
        <v>#N/A</v>
      </c>
      <c r="H26" s="6192" t="e">
        <f>IF(C22=0,"",VLOOKUP(C22,'Tablas Magia'!$D$6:$Z$680,21,FALSE))</f>
        <v>#N/A</v>
      </c>
      <c r="I26" s="6216"/>
      <c r="J26" s="6216"/>
      <c r="K26" s="6216"/>
      <c r="L26" s="6216"/>
      <c r="M26" s="6216"/>
      <c r="N26" s="6216"/>
      <c r="O26" s="6216"/>
      <c r="P26" s="6216"/>
      <c r="Q26" s="6194"/>
      <c r="R26" s="426"/>
      <c r="S26" s="420"/>
      <c r="T26" s="420"/>
      <c r="U26" s="854"/>
      <c r="V26" s="6190" t="s">
        <v>3234</v>
      </c>
      <c r="W26" s="6191"/>
      <c r="X26" s="435" t="e">
        <f>IF(V22=0,"",VLOOKUP(V22,'Tablas Magia'!$D$6:$Z$680,9,FALSE))</f>
        <v>#N/A</v>
      </c>
      <c r="Y26" s="435" t="e">
        <f>IF(V22=0,"",VLOOKUP(V22,'Tablas Magia'!$D$6:$Z$680,13,FALSE))</f>
        <v>#N/A</v>
      </c>
      <c r="Z26" s="436" t="e">
        <f>IF(V22=0,"",VLOOKUP(V22,'Tablas Magia'!$D$6:$Z$680,17,FALSE))</f>
        <v>#N/A</v>
      </c>
      <c r="AA26" s="6192" t="e">
        <f>IF(V22=0,"",VLOOKUP(V22,'Tablas Magia'!$D$6:$Z$680,21,FALSE))</f>
        <v>#N/A</v>
      </c>
      <c r="AB26" s="6193"/>
      <c r="AC26" s="6193"/>
      <c r="AD26" s="6193"/>
      <c r="AE26" s="6193"/>
      <c r="AF26" s="6193"/>
      <c r="AG26" s="6193"/>
      <c r="AH26" s="6193"/>
      <c r="AI26" s="6193"/>
      <c r="AJ26" s="6194"/>
      <c r="AK26" s="426"/>
      <c r="AL26" s="420"/>
    </row>
    <row r="27" spans="1:38" ht="12" customHeight="1" thickBot="1" x14ac:dyDescent="0.25">
      <c r="A27" s="2778"/>
      <c r="B27" s="854"/>
      <c r="C27" s="6200" t="s">
        <v>3235</v>
      </c>
      <c r="D27" s="6201"/>
      <c r="E27" s="439" t="e">
        <f>IF(C22=0,"",VLOOKUP(C22,'Tablas Magia'!$D$6:$Z$680,10,FALSE))</f>
        <v>#N/A</v>
      </c>
      <c r="F27" s="439" t="e">
        <f>IF(C22=0,"",VLOOKUP(C22,'Tablas Magia'!$D$6:$Z$680,14,FALSE))</f>
        <v>#N/A</v>
      </c>
      <c r="G27" s="440" t="e">
        <f>IF(C22=0,"",VLOOKUP(C22,'Tablas Magia'!$D$6:$Z$680,18,FALSE))</f>
        <v>#N/A</v>
      </c>
      <c r="H27" s="6202" t="e">
        <f>IF(C22=0,"",VLOOKUP(C22,'Tablas Magia'!$D$6:$Z$680,22,FALSE))</f>
        <v>#N/A</v>
      </c>
      <c r="I27" s="6203"/>
      <c r="J27" s="6203"/>
      <c r="K27" s="6203"/>
      <c r="L27" s="6203"/>
      <c r="M27" s="6203"/>
      <c r="N27" s="6203"/>
      <c r="O27" s="6203"/>
      <c r="P27" s="6203"/>
      <c r="Q27" s="6204"/>
      <c r="R27" s="426"/>
      <c r="S27" s="420"/>
      <c r="T27" s="420"/>
      <c r="U27" s="854"/>
      <c r="V27" s="6200" t="s">
        <v>3235</v>
      </c>
      <c r="W27" s="6201"/>
      <c r="X27" s="439" t="e">
        <f>IF(V22=0,"",VLOOKUP(V22,'Tablas Magia'!$D$6:$Z$680,10,FALSE))</f>
        <v>#N/A</v>
      </c>
      <c r="Y27" s="439" t="e">
        <f>IF(V22=0,"",VLOOKUP(V22,'Tablas Magia'!$D$6:$Z$680,14,FALSE))</f>
        <v>#N/A</v>
      </c>
      <c r="Z27" s="440" t="e">
        <f>IF(V22=0,"",VLOOKUP(V22,'Tablas Magia'!$D$6:$Z$680,18,FALSE))</f>
        <v>#N/A</v>
      </c>
      <c r="AA27" s="6202" t="e">
        <f>IF(V22=0,"",VLOOKUP(V22,'Tablas Magia'!$D$6:$Z$680,22,FALSE))</f>
        <v>#N/A</v>
      </c>
      <c r="AB27" s="6203"/>
      <c r="AC27" s="6203"/>
      <c r="AD27" s="6203"/>
      <c r="AE27" s="6203"/>
      <c r="AF27" s="6203"/>
      <c r="AG27" s="6203"/>
      <c r="AH27" s="6203"/>
      <c r="AI27" s="6203"/>
      <c r="AJ27" s="6204"/>
      <c r="AK27" s="426"/>
      <c r="AL27" s="420"/>
    </row>
    <row r="28" spans="1:38" ht="12" customHeight="1" x14ac:dyDescent="0.2">
      <c r="A28" s="2778"/>
      <c r="B28" s="854"/>
      <c r="C28" s="6205" t="e">
        <f>IF(C22=0,"",VLOOKUP(C22,'Tablas Magia'!$D$6:$Z$680,23,FALSE))</f>
        <v>#N/A</v>
      </c>
      <c r="D28" s="6206"/>
      <c r="E28" s="6206"/>
      <c r="F28" s="6206"/>
      <c r="G28" s="6206"/>
      <c r="H28" s="6206"/>
      <c r="I28" s="6206"/>
      <c r="J28" s="6206"/>
      <c r="K28" s="6206"/>
      <c r="L28" s="6206"/>
      <c r="M28" s="6206"/>
      <c r="N28" s="6206"/>
      <c r="O28" s="6206"/>
      <c r="P28" s="6206"/>
      <c r="Q28" s="6207"/>
      <c r="R28" s="426"/>
      <c r="S28" s="420"/>
      <c r="T28" s="420"/>
      <c r="U28" s="854"/>
      <c r="V28" s="6205" t="e">
        <f>IF(V22=0,"",VLOOKUP(V22,'Tablas Magia'!$D$6:$Z$680,23,FALSE))</f>
        <v>#N/A</v>
      </c>
      <c r="W28" s="6206"/>
      <c r="X28" s="6206"/>
      <c r="Y28" s="6206"/>
      <c r="Z28" s="6206"/>
      <c r="AA28" s="6206"/>
      <c r="AB28" s="6206"/>
      <c r="AC28" s="6206"/>
      <c r="AD28" s="6206"/>
      <c r="AE28" s="6206"/>
      <c r="AF28" s="6206"/>
      <c r="AG28" s="6206"/>
      <c r="AH28" s="6206"/>
      <c r="AI28" s="6206"/>
      <c r="AJ28" s="6207"/>
      <c r="AK28" s="426"/>
      <c r="AL28" s="420"/>
    </row>
    <row r="29" spans="1:38" ht="12" customHeight="1" x14ac:dyDescent="0.2">
      <c r="A29" s="2778"/>
      <c r="B29" s="854"/>
      <c r="C29" s="6208"/>
      <c r="D29" s="6218"/>
      <c r="E29" s="6218"/>
      <c r="F29" s="6218"/>
      <c r="G29" s="6218"/>
      <c r="H29" s="6218"/>
      <c r="I29" s="6218"/>
      <c r="J29" s="6218"/>
      <c r="K29" s="6218"/>
      <c r="L29" s="6218"/>
      <c r="M29" s="6218"/>
      <c r="N29" s="6218"/>
      <c r="O29" s="6218"/>
      <c r="P29" s="6218"/>
      <c r="Q29" s="6210"/>
      <c r="R29" s="426"/>
      <c r="S29" s="420"/>
      <c r="T29" s="420"/>
      <c r="U29" s="854"/>
      <c r="V29" s="6208"/>
      <c r="W29" s="6209"/>
      <c r="X29" s="6209"/>
      <c r="Y29" s="6209"/>
      <c r="Z29" s="6209"/>
      <c r="AA29" s="6209"/>
      <c r="AB29" s="6209"/>
      <c r="AC29" s="6209"/>
      <c r="AD29" s="6209"/>
      <c r="AE29" s="6209"/>
      <c r="AF29" s="6209"/>
      <c r="AG29" s="6209"/>
      <c r="AH29" s="6209"/>
      <c r="AI29" s="6209"/>
      <c r="AJ29" s="6210"/>
      <c r="AK29" s="426"/>
      <c r="AL29" s="420"/>
    </row>
    <row r="30" spans="1:38" ht="12" customHeight="1" x14ac:dyDescent="0.2">
      <c r="A30" s="2778"/>
      <c r="B30" s="854"/>
      <c r="C30" s="6208"/>
      <c r="D30" s="6218"/>
      <c r="E30" s="6218"/>
      <c r="F30" s="6218"/>
      <c r="G30" s="6218"/>
      <c r="H30" s="6218"/>
      <c r="I30" s="6218"/>
      <c r="J30" s="6218"/>
      <c r="K30" s="6218"/>
      <c r="L30" s="6218"/>
      <c r="M30" s="6218"/>
      <c r="N30" s="6218"/>
      <c r="O30" s="6218"/>
      <c r="P30" s="6218"/>
      <c r="Q30" s="6210"/>
      <c r="R30" s="426"/>
      <c r="S30" s="420"/>
      <c r="T30" s="420"/>
      <c r="U30" s="854"/>
      <c r="V30" s="6208"/>
      <c r="W30" s="6209"/>
      <c r="X30" s="6209"/>
      <c r="Y30" s="6209"/>
      <c r="Z30" s="6209"/>
      <c r="AA30" s="6209"/>
      <c r="AB30" s="6209"/>
      <c r="AC30" s="6209"/>
      <c r="AD30" s="6209"/>
      <c r="AE30" s="6209"/>
      <c r="AF30" s="6209"/>
      <c r="AG30" s="6209"/>
      <c r="AH30" s="6209"/>
      <c r="AI30" s="6209"/>
      <c r="AJ30" s="6210"/>
      <c r="AK30" s="426"/>
      <c r="AL30" s="420"/>
    </row>
    <row r="31" spans="1:38" ht="12" customHeight="1" thickBot="1" x14ac:dyDescent="0.25">
      <c r="A31" s="2778"/>
      <c r="B31" s="854"/>
      <c r="C31" s="6211"/>
      <c r="D31" s="6212"/>
      <c r="E31" s="6212"/>
      <c r="F31" s="6212"/>
      <c r="G31" s="6212"/>
      <c r="H31" s="6212"/>
      <c r="I31" s="6212"/>
      <c r="J31" s="6212"/>
      <c r="K31" s="6212"/>
      <c r="L31" s="6212"/>
      <c r="M31" s="6212"/>
      <c r="N31" s="6212"/>
      <c r="O31" s="6212"/>
      <c r="P31" s="6212"/>
      <c r="Q31" s="6213"/>
      <c r="R31" s="426"/>
      <c r="S31" s="420"/>
      <c r="T31" s="420"/>
      <c r="U31" s="854"/>
      <c r="V31" s="6211"/>
      <c r="W31" s="6212"/>
      <c r="X31" s="6212"/>
      <c r="Y31" s="6212"/>
      <c r="Z31" s="6212"/>
      <c r="AA31" s="6212"/>
      <c r="AB31" s="6212"/>
      <c r="AC31" s="6212"/>
      <c r="AD31" s="6212"/>
      <c r="AE31" s="6212"/>
      <c r="AF31" s="6212"/>
      <c r="AG31" s="6212"/>
      <c r="AH31" s="6212"/>
      <c r="AI31" s="6212"/>
      <c r="AJ31" s="6213"/>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19"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20"/>
      <c r="E33" s="6220"/>
      <c r="F33" s="6220"/>
      <c r="G33" s="6221"/>
      <c r="H33" s="430" t="s">
        <v>1328</v>
      </c>
      <c r="I33" s="431">
        <f>B33</f>
        <v>6</v>
      </c>
      <c r="J33" s="6222" t="s">
        <v>6329</v>
      </c>
      <c r="K33" s="6222"/>
      <c r="L33" s="6222"/>
      <c r="M33" s="6183" t="e">
        <f>IF(C33=0,"",VLOOKUP(C33,'Tablas Magia'!$D$6:$Z$680,2,FALSE))</f>
        <v>#N/A</v>
      </c>
      <c r="N33" s="6183"/>
      <c r="O33" s="1853"/>
      <c r="P33" s="6214" t="str">
        <f>IFERROR(IF(M33="Libre Acceso","Aprendido",IF(IFERROR(VLOOKUP(M33,Místicos!$C$15:$H$25,6,0)&gt;=I33,FALSE),"Aprendido",IF(IFERROR(VLOOKUP(M33,Místicos!$E$15:$H$25,4,0)&gt;=I33,FALSE),"Aprendido",""))),"")</f>
        <v/>
      </c>
      <c r="Q33" s="6215"/>
      <c r="R33" s="426"/>
      <c r="S33" s="420"/>
      <c r="T33" s="420"/>
      <c r="U33" s="854">
        <f>U22+2</f>
        <v>16</v>
      </c>
      <c r="V33" s="6219"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30"/>
      <c r="X33" s="6230"/>
      <c r="Y33" s="6230"/>
      <c r="Z33" s="6230"/>
      <c r="AA33" s="430" t="s">
        <v>1328</v>
      </c>
      <c r="AB33" s="431">
        <f>U33</f>
        <v>16</v>
      </c>
      <c r="AC33" s="6222" t="s">
        <v>6329</v>
      </c>
      <c r="AD33" s="6222"/>
      <c r="AE33" s="6222"/>
      <c r="AF33" s="6183" t="e">
        <f>IF(V33=0,"",VLOOKUP(V33,'Tablas Magia'!$D$6:$Z$680,2,FALSE))</f>
        <v>#N/A</v>
      </c>
      <c r="AG33" s="6183"/>
      <c r="AH33" s="1853"/>
      <c r="AI33" s="6214" t="str">
        <f>IFERROR(IF(AF33="Libre Acceso","Aprendido",IF(IFERROR(VLOOKUP(AF33,Místicos!$C$15:$H$25,6,0)&gt;=AB33,FALSE),"Aprendido",IF(IFERROR(VLOOKUP(AF33,Místicos!$E$15:$H$25,4,0)&gt;=AB33,FALSE),"Aprendido",""))),"")</f>
        <v/>
      </c>
      <c r="AJ33" s="6215"/>
      <c r="AK33" s="426"/>
      <c r="AL33" s="420"/>
    </row>
    <row r="34" spans="1:38" ht="12" customHeight="1" x14ac:dyDescent="0.2">
      <c r="A34" s="2778"/>
      <c r="B34" s="854"/>
      <c r="C34" s="6198" t="s">
        <v>6330</v>
      </c>
      <c r="D34" s="6228"/>
      <c r="E34" s="2760" t="s">
        <v>6331</v>
      </c>
      <c r="F34" s="2760" t="s">
        <v>1512</v>
      </c>
      <c r="G34" s="2760" t="s">
        <v>2862</v>
      </c>
      <c r="H34" s="2761" t="s">
        <v>1840</v>
      </c>
      <c r="I34" s="6226" t="e">
        <f>IF(C33=0,"",VLOOKUP(C33,'Tablas Magia'!$D$6:$Z$680,5,FALSE))</f>
        <v>#N/A</v>
      </c>
      <c r="J34" s="6226"/>
      <c r="K34" s="6229" t="s">
        <v>6332</v>
      </c>
      <c r="L34" s="6229"/>
      <c r="M34" s="6226" t="e">
        <f>IF(C33=0,"",VLOOKUP(C33,'Tablas Magia'!$D$6:$Z$680,6,FALSE))</f>
        <v>#N/A</v>
      </c>
      <c r="N34" s="6226"/>
      <c r="O34" s="6227" t="s">
        <v>6333</v>
      </c>
      <c r="P34" s="6227"/>
      <c r="Q34" s="2762" t="e">
        <f>IF(C33=0,"",VLOOKUP(C33,'Tablas Magia'!$D$6:$Z$680,4,FALSE))</f>
        <v>#N/A</v>
      </c>
      <c r="R34" s="426"/>
      <c r="S34" s="420"/>
      <c r="T34" s="420"/>
      <c r="U34" s="854"/>
      <c r="V34" s="6198" t="s">
        <v>6330</v>
      </c>
      <c r="W34" s="6231"/>
      <c r="X34" s="1862" t="s">
        <v>6331</v>
      </c>
      <c r="Y34" s="1862" t="s">
        <v>1512</v>
      </c>
      <c r="Z34" s="1862" t="s">
        <v>2862</v>
      </c>
      <c r="AA34" s="1863" t="s">
        <v>1840</v>
      </c>
      <c r="AB34" s="6232" t="e">
        <f>IF(V33=0,"",VLOOKUP(V33,'Tablas Magia'!$D$6:$Z$680,5,FALSE))</f>
        <v>#N/A</v>
      </c>
      <c r="AC34" s="6232"/>
      <c r="AD34" s="6233" t="s">
        <v>6332</v>
      </c>
      <c r="AE34" s="6233"/>
      <c r="AF34" s="6232" t="e">
        <f>IF(V33=0,"",VLOOKUP(V33,'Tablas Magia'!$D$6:$Z$680,6,FALSE))</f>
        <v>#N/A</v>
      </c>
      <c r="AG34" s="6232"/>
      <c r="AH34" s="6234" t="s">
        <v>6333</v>
      </c>
      <c r="AI34" s="6234"/>
      <c r="AJ34" s="1864" t="e">
        <f>IF(V33=0,"",VLOOKUP(V33,'Tablas Magia'!$D$6:$Z$680,4,FALSE))</f>
        <v>#N/A</v>
      </c>
      <c r="AK34" s="426"/>
      <c r="AL34" s="420"/>
    </row>
    <row r="35" spans="1:38" ht="12" customHeight="1" x14ac:dyDescent="0.2">
      <c r="A35" s="2778"/>
      <c r="B35" s="854"/>
      <c r="C35" s="6238" t="s">
        <v>1368</v>
      </c>
      <c r="D35" s="6239"/>
      <c r="E35" s="2763" t="e">
        <f>IF(C33=0,"",VLOOKUP(C33,'Tablas Magia'!$D$6:$Z$680,7,FALSE))</f>
        <v>#N/A</v>
      </c>
      <c r="F35" s="2763" t="e">
        <f>IF(C33=0,"",VLOOKUP(C33,'Tablas Magia'!$D$6:$Z$680,11,FALSE))</f>
        <v>#N/A</v>
      </c>
      <c r="G35" s="436" t="e">
        <f>IF(C33=0,"",VLOOKUP(C33,'Tablas Magia'!$D$6:$Z$680,15,FALSE))</f>
        <v>#N/A</v>
      </c>
      <c r="H35" s="6223" t="e">
        <f>IF(C33=0,"",VLOOKUP(C33,'Tablas Magia'!$D$6:$Z$680,19,FALSE))</f>
        <v>#N/A</v>
      </c>
      <c r="I35" s="6224"/>
      <c r="J35" s="6224"/>
      <c r="K35" s="6224"/>
      <c r="L35" s="6224"/>
      <c r="M35" s="6224"/>
      <c r="N35" s="6224"/>
      <c r="O35" s="6224"/>
      <c r="P35" s="6224"/>
      <c r="Q35" s="6225"/>
      <c r="R35" s="426"/>
      <c r="S35" s="420"/>
      <c r="T35" s="420"/>
      <c r="U35" s="854"/>
      <c r="V35" s="6190" t="s">
        <v>1368</v>
      </c>
      <c r="W35" s="6191"/>
      <c r="X35" s="435" t="e">
        <f>IF(V33=0,"",VLOOKUP(V33,'Tablas Magia'!$D$6:$Z$680,7,FALSE))</f>
        <v>#N/A</v>
      </c>
      <c r="Y35" s="435" t="e">
        <f>IF(V33=0,"",VLOOKUP(V33,'Tablas Magia'!$D$6:$Z$680,11,FALSE))</f>
        <v>#N/A</v>
      </c>
      <c r="Z35" s="436" t="e">
        <f>IF(V33=0,"",VLOOKUP(V33,'Tablas Magia'!$D$6:$Z$680,15,FALSE))</f>
        <v>#N/A</v>
      </c>
      <c r="AA35" s="6192" t="e">
        <f>IF(V33=0,"",VLOOKUP(V33,'Tablas Magia'!$D$6:$Z$680,19,FALSE))</f>
        <v>#N/A</v>
      </c>
      <c r="AB35" s="6193"/>
      <c r="AC35" s="6193"/>
      <c r="AD35" s="6193"/>
      <c r="AE35" s="6193"/>
      <c r="AF35" s="6193"/>
      <c r="AG35" s="6193"/>
      <c r="AH35" s="6193"/>
      <c r="AI35" s="6193"/>
      <c r="AJ35" s="6194"/>
      <c r="AK35" s="426"/>
      <c r="AL35" s="420"/>
    </row>
    <row r="36" spans="1:38" ht="12" customHeight="1" x14ac:dyDescent="0.2">
      <c r="A36" s="2778"/>
      <c r="B36" s="854"/>
      <c r="C36" s="6185" t="s">
        <v>3233</v>
      </c>
      <c r="D36" s="6186"/>
      <c r="E36" s="2764" t="e">
        <f>IF(C33=0,"",VLOOKUP(C33,'Tablas Magia'!$D$6:$Z$680,8,FALSE))</f>
        <v>#N/A</v>
      </c>
      <c r="F36" s="2764" t="e">
        <f>IF(C33=0,"",VLOOKUP(C33,'Tablas Magia'!$D$6:$Z$680,12,FALSE))</f>
        <v>#N/A</v>
      </c>
      <c r="G36" s="438" t="e">
        <f>IF(C33=0,"",VLOOKUP(C33,'Tablas Magia'!$D$6:$Z$680,16,FALSE))</f>
        <v>#N/A</v>
      </c>
      <c r="H36" s="6187" t="e">
        <f>IF(C33=0,"",VLOOKUP(C33,'Tablas Magia'!$D$6:$Z$680,20,FALSE))</f>
        <v>#N/A</v>
      </c>
      <c r="I36" s="6217"/>
      <c r="J36" s="6217"/>
      <c r="K36" s="6217"/>
      <c r="L36" s="6217"/>
      <c r="M36" s="6217"/>
      <c r="N36" s="6217"/>
      <c r="O36" s="6217"/>
      <c r="P36" s="6217"/>
      <c r="Q36" s="6189"/>
      <c r="R36" s="426"/>
      <c r="S36" s="420"/>
      <c r="T36" s="420"/>
      <c r="U36" s="854"/>
      <c r="V36" s="6185" t="s">
        <v>3233</v>
      </c>
      <c r="W36" s="6186"/>
      <c r="X36" s="437" t="e">
        <f>IF(V33=0,"",VLOOKUP(V33,'Tablas Magia'!$D$6:$Z$680,8,FALSE))</f>
        <v>#N/A</v>
      </c>
      <c r="Y36" s="437" t="e">
        <f>IF(V33=0,"",VLOOKUP(V33,'Tablas Magia'!$D$6:$Z$680,12,FALSE))</f>
        <v>#N/A</v>
      </c>
      <c r="Z36" s="438" t="e">
        <f>IF(V33=0,"",VLOOKUP(V33,'Tablas Magia'!$D$6:$Z$680,16,FALSE))</f>
        <v>#N/A</v>
      </c>
      <c r="AA36" s="6187" t="e">
        <f>IF(V33=0,"",VLOOKUP(V33,'Tablas Magia'!$D$6:$Z$680,20,FALSE))</f>
        <v>#N/A</v>
      </c>
      <c r="AB36" s="6188"/>
      <c r="AC36" s="6188"/>
      <c r="AD36" s="6188"/>
      <c r="AE36" s="6188"/>
      <c r="AF36" s="6188"/>
      <c r="AG36" s="6188"/>
      <c r="AH36" s="6188"/>
      <c r="AI36" s="6188"/>
      <c r="AJ36" s="6189"/>
      <c r="AK36" s="426"/>
      <c r="AL36" s="420"/>
    </row>
    <row r="37" spans="1:38" ht="12" customHeight="1" x14ac:dyDescent="0.2">
      <c r="A37" s="2778"/>
      <c r="B37" s="854"/>
      <c r="C37" s="6190" t="s">
        <v>3234</v>
      </c>
      <c r="D37" s="6191"/>
      <c r="E37" s="2763" t="e">
        <f>IF(C33=0,"",VLOOKUP(C33,'Tablas Magia'!$D$6:$Z$680,9,FALSE))</f>
        <v>#N/A</v>
      </c>
      <c r="F37" s="2763" t="e">
        <f>IF(C33=0,"",VLOOKUP(C33,'Tablas Magia'!$D$6:$Z$680,13,FALSE))</f>
        <v>#N/A</v>
      </c>
      <c r="G37" s="436" t="e">
        <f>IF(C33=0,"",VLOOKUP(C33,'Tablas Magia'!$D$6:$Z$680,17,FALSE))</f>
        <v>#N/A</v>
      </c>
      <c r="H37" s="6192" t="e">
        <f>IF(C33=0,"",VLOOKUP(C33,'Tablas Magia'!$D$6:$Z$680,21,FALSE))</f>
        <v>#N/A</v>
      </c>
      <c r="I37" s="6216"/>
      <c r="J37" s="6216"/>
      <c r="K37" s="6216"/>
      <c r="L37" s="6216"/>
      <c r="M37" s="6216"/>
      <c r="N37" s="6216"/>
      <c r="O37" s="6216"/>
      <c r="P37" s="6216"/>
      <c r="Q37" s="6194"/>
      <c r="R37" s="426"/>
      <c r="S37" s="420"/>
      <c r="T37" s="420"/>
      <c r="U37" s="854"/>
      <c r="V37" s="6190" t="s">
        <v>3234</v>
      </c>
      <c r="W37" s="6191"/>
      <c r="X37" s="435" t="e">
        <f>IF(V33=0,"",VLOOKUP(V33,'Tablas Magia'!$D$6:$Z$680,9,FALSE))</f>
        <v>#N/A</v>
      </c>
      <c r="Y37" s="435" t="e">
        <f>IF(V33=0,"",VLOOKUP(V33,'Tablas Magia'!$D$6:$Z$680,13,FALSE))</f>
        <v>#N/A</v>
      </c>
      <c r="Z37" s="436" t="e">
        <f>IF(V33=0,"",VLOOKUP(V33,'Tablas Magia'!$D$6:$Z$680,17,FALSE))</f>
        <v>#N/A</v>
      </c>
      <c r="AA37" s="6192" t="e">
        <f>IF(V33=0,"",VLOOKUP(V33,'Tablas Magia'!$D$6:$Z$680,21,FALSE))</f>
        <v>#N/A</v>
      </c>
      <c r="AB37" s="6193"/>
      <c r="AC37" s="6193"/>
      <c r="AD37" s="6193"/>
      <c r="AE37" s="6193"/>
      <c r="AF37" s="6193"/>
      <c r="AG37" s="6193"/>
      <c r="AH37" s="6193"/>
      <c r="AI37" s="6193"/>
      <c r="AJ37" s="6194"/>
      <c r="AK37" s="426"/>
      <c r="AL37" s="420"/>
    </row>
    <row r="38" spans="1:38" ht="12" customHeight="1" thickBot="1" x14ac:dyDescent="0.25">
      <c r="A38" s="2778"/>
      <c r="B38" s="854"/>
      <c r="C38" s="6200" t="s">
        <v>3235</v>
      </c>
      <c r="D38" s="6201"/>
      <c r="E38" s="439" t="e">
        <f>IF(C33=0,"",VLOOKUP(C33,'Tablas Magia'!$D$6:$Z$680,10,FALSE))</f>
        <v>#N/A</v>
      </c>
      <c r="F38" s="439" t="e">
        <f>IF(C33=0,"",VLOOKUP(C33,'Tablas Magia'!$D$6:$Z$680,14,FALSE))</f>
        <v>#N/A</v>
      </c>
      <c r="G38" s="440" t="e">
        <f>IF(C33=0,"",VLOOKUP(C33,'Tablas Magia'!$D$6:$Z$680,18,FALSE))</f>
        <v>#N/A</v>
      </c>
      <c r="H38" s="6202" t="e">
        <f>IF(C33=0,"",VLOOKUP(C33,'Tablas Magia'!$D$6:$Z$680,22,FALSE))</f>
        <v>#N/A</v>
      </c>
      <c r="I38" s="6203"/>
      <c r="J38" s="6203"/>
      <c r="K38" s="6203"/>
      <c r="L38" s="6203"/>
      <c r="M38" s="6203"/>
      <c r="N38" s="6203"/>
      <c r="O38" s="6203"/>
      <c r="P38" s="6203"/>
      <c r="Q38" s="6204"/>
      <c r="R38" s="426"/>
      <c r="S38" s="420"/>
      <c r="T38" s="420"/>
      <c r="U38" s="854"/>
      <c r="V38" s="6200" t="s">
        <v>3235</v>
      </c>
      <c r="W38" s="6201"/>
      <c r="X38" s="439" t="e">
        <f>IF(V33=0,"",VLOOKUP(V33,'Tablas Magia'!$D$6:$Z$680,10,FALSE))</f>
        <v>#N/A</v>
      </c>
      <c r="Y38" s="439" t="e">
        <f>IF(V33=0,"",VLOOKUP(V33,'Tablas Magia'!$D$6:$Z$680,14,FALSE))</f>
        <v>#N/A</v>
      </c>
      <c r="Z38" s="440" t="e">
        <f>IF(V33=0,"",VLOOKUP(V33,'Tablas Magia'!$D$6:$Z$680,18,FALSE))</f>
        <v>#N/A</v>
      </c>
      <c r="AA38" s="6202" t="e">
        <f>IF(V33=0,"",VLOOKUP(V33,'Tablas Magia'!$D$6:$Z$680,22,FALSE))</f>
        <v>#N/A</v>
      </c>
      <c r="AB38" s="6203"/>
      <c r="AC38" s="6203"/>
      <c r="AD38" s="6203"/>
      <c r="AE38" s="6203"/>
      <c r="AF38" s="6203"/>
      <c r="AG38" s="6203"/>
      <c r="AH38" s="6203"/>
      <c r="AI38" s="6203"/>
      <c r="AJ38" s="6204"/>
      <c r="AK38" s="426"/>
      <c r="AL38" s="420"/>
    </row>
    <row r="39" spans="1:38" ht="12" customHeight="1" x14ac:dyDescent="0.2">
      <c r="A39" s="2778"/>
      <c r="B39" s="854"/>
      <c r="C39" s="6205" t="e">
        <f>IF(C33=0,"",VLOOKUP(C33,'Tablas Magia'!$D$6:$Z$680,23,FALSE))</f>
        <v>#N/A</v>
      </c>
      <c r="D39" s="6206"/>
      <c r="E39" s="6206"/>
      <c r="F39" s="6206"/>
      <c r="G39" s="6206"/>
      <c r="H39" s="6206"/>
      <c r="I39" s="6206"/>
      <c r="J39" s="6206"/>
      <c r="K39" s="6206"/>
      <c r="L39" s="6206"/>
      <c r="M39" s="6206"/>
      <c r="N39" s="6206"/>
      <c r="O39" s="6206"/>
      <c r="P39" s="6206"/>
      <c r="Q39" s="6207"/>
      <c r="R39" s="426"/>
      <c r="S39" s="420"/>
      <c r="T39" s="420"/>
      <c r="U39" s="854"/>
      <c r="V39" s="6205" t="e">
        <f>IF(V33=0,"",VLOOKUP(V33,'Tablas Magia'!$D$6:$Z$680,23,FALSE))</f>
        <v>#N/A</v>
      </c>
      <c r="W39" s="6206"/>
      <c r="X39" s="6206"/>
      <c r="Y39" s="6206"/>
      <c r="Z39" s="6206"/>
      <c r="AA39" s="6206"/>
      <c r="AB39" s="6206"/>
      <c r="AC39" s="6206"/>
      <c r="AD39" s="6206"/>
      <c r="AE39" s="6206"/>
      <c r="AF39" s="6206"/>
      <c r="AG39" s="6206"/>
      <c r="AH39" s="6206"/>
      <c r="AI39" s="6206"/>
      <c r="AJ39" s="6207"/>
      <c r="AK39" s="426"/>
      <c r="AL39" s="420"/>
    </row>
    <row r="40" spans="1:38" ht="12" customHeight="1" x14ac:dyDescent="0.2">
      <c r="A40" s="2778"/>
      <c r="B40" s="854"/>
      <c r="C40" s="6208"/>
      <c r="D40" s="6218"/>
      <c r="E40" s="6218"/>
      <c r="F40" s="6218"/>
      <c r="G40" s="6218"/>
      <c r="H40" s="6218"/>
      <c r="I40" s="6218"/>
      <c r="J40" s="6218"/>
      <c r="K40" s="6218"/>
      <c r="L40" s="6218"/>
      <c r="M40" s="6218"/>
      <c r="N40" s="6218"/>
      <c r="O40" s="6218"/>
      <c r="P40" s="6218"/>
      <c r="Q40" s="6210"/>
      <c r="R40" s="426"/>
      <c r="S40" s="420"/>
      <c r="T40" s="420"/>
      <c r="U40" s="854"/>
      <c r="V40" s="6208"/>
      <c r="W40" s="6209"/>
      <c r="X40" s="6209"/>
      <c r="Y40" s="6209"/>
      <c r="Z40" s="6209"/>
      <c r="AA40" s="6209"/>
      <c r="AB40" s="6209"/>
      <c r="AC40" s="6209"/>
      <c r="AD40" s="6209"/>
      <c r="AE40" s="6209"/>
      <c r="AF40" s="6209"/>
      <c r="AG40" s="6209"/>
      <c r="AH40" s="6209"/>
      <c r="AI40" s="6209"/>
      <c r="AJ40" s="6210"/>
      <c r="AK40" s="426"/>
      <c r="AL40" s="420"/>
    </row>
    <row r="41" spans="1:38" ht="12" customHeight="1" x14ac:dyDescent="0.2">
      <c r="A41" s="2778"/>
      <c r="B41" s="854"/>
      <c r="C41" s="6208"/>
      <c r="D41" s="6218"/>
      <c r="E41" s="6218"/>
      <c r="F41" s="6218"/>
      <c r="G41" s="6218"/>
      <c r="H41" s="6218"/>
      <c r="I41" s="6218"/>
      <c r="J41" s="6218"/>
      <c r="K41" s="6218"/>
      <c r="L41" s="6218"/>
      <c r="M41" s="6218"/>
      <c r="N41" s="6218"/>
      <c r="O41" s="6218"/>
      <c r="P41" s="6218"/>
      <c r="Q41" s="6210"/>
      <c r="R41" s="426"/>
      <c r="S41" s="420"/>
      <c r="T41" s="420"/>
      <c r="U41" s="854"/>
      <c r="V41" s="6208"/>
      <c r="W41" s="6209"/>
      <c r="X41" s="6209"/>
      <c r="Y41" s="6209"/>
      <c r="Z41" s="6209"/>
      <c r="AA41" s="6209"/>
      <c r="AB41" s="6209"/>
      <c r="AC41" s="6209"/>
      <c r="AD41" s="6209"/>
      <c r="AE41" s="6209"/>
      <c r="AF41" s="6209"/>
      <c r="AG41" s="6209"/>
      <c r="AH41" s="6209"/>
      <c r="AI41" s="6209"/>
      <c r="AJ41" s="6210"/>
      <c r="AK41" s="426"/>
      <c r="AL41" s="420"/>
    </row>
    <row r="42" spans="1:38" ht="12" customHeight="1" thickBot="1" x14ac:dyDescent="0.25">
      <c r="A42" s="2778"/>
      <c r="B42" s="854"/>
      <c r="C42" s="6211"/>
      <c r="D42" s="6212"/>
      <c r="E42" s="6212"/>
      <c r="F42" s="6212"/>
      <c r="G42" s="6212"/>
      <c r="H42" s="6212"/>
      <c r="I42" s="6212"/>
      <c r="J42" s="6212"/>
      <c r="K42" s="6212"/>
      <c r="L42" s="6212"/>
      <c r="M42" s="6212"/>
      <c r="N42" s="6212"/>
      <c r="O42" s="6212"/>
      <c r="P42" s="6212"/>
      <c r="Q42" s="6213"/>
      <c r="R42" s="426"/>
      <c r="S42" s="420"/>
      <c r="T42" s="420"/>
      <c r="U42" s="854"/>
      <c r="V42" s="6211"/>
      <c r="W42" s="6212"/>
      <c r="X42" s="6212"/>
      <c r="Y42" s="6212"/>
      <c r="Z42" s="6212"/>
      <c r="AA42" s="6212"/>
      <c r="AB42" s="6212"/>
      <c r="AC42" s="6212"/>
      <c r="AD42" s="6212"/>
      <c r="AE42" s="6212"/>
      <c r="AF42" s="6212"/>
      <c r="AG42" s="6212"/>
      <c r="AH42" s="6212"/>
      <c r="AI42" s="6212"/>
      <c r="AJ42" s="6213"/>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19"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20"/>
      <c r="E44" s="6220"/>
      <c r="F44" s="6220"/>
      <c r="G44" s="6221"/>
      <c r="H44" s="430" t="s">
        <v>1328</v>
      </c>
      <c r="I44" s="431">
        <f>B44</f>
        <v>8</v>
      </c>
      <c r="J44" s="6222" t="s">
        <v>6329</v>
      </c>
      <c r="K44" s="6222"/>
      <c r="L44" s="6222"/>
      <c r="M44" s="6183" t="e">
        <f>IF(C44=0,"",VLOOKUP(C44,'Tablas Magia'!$D$6:$Z$680,2,FALSE))</f>
        <v>#N/A</v>
      </c>
      <c r="N44" s="6183"/>
      <c r="O44" s="1853"/>
      <c r="P44" s="6214" t="str">
        <f>IFERROR(IF(M44="Libre Acceso","Aprendido",IF(IFERROR(VLOOKUP(M44,Místicos!$C$15:$H$25,6,0)&gt;=I44,FALSE),"Aprendido",IF(IFERROR(VLOOKUP(M44,Místicos!$E$15:$H$25,4,0)&gt;=I44,FALSE),"Aprendido",""))),"")</f>
        <v/>
      </c>
      <c r="Q44" s="6215"/>
      <c r="R44" s="426"/>
      <c r="S44" s="420"/>
      <c r="T44" s="420"/>
      <c r="U44" s="854">
        <f>U33+2</f>
        <v>18</v>
      </c>
      <c r="V44" s="6219"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30"/>
      <c r="X44" s="6230"/>
      <c r="Y44" s="6230"/>
      <c r="Z44" s="6230"/>
      <c r="AA44" s="430" t="s">
        <v>1328</v>
      </c>
      <c r="AB44" s="431">
        <f>U44</f>
        <v>18</v>
      </c>
      <c r="AC44" s="6222" t="s">
        <v>6329</v>
      </c>
      <c r="AD44" s="6222"/>
      <c r="AE44" s="6222"/>
      <c r="AF44" s="6183" t="e">
        <f>IF(V44=0,"",VLOOKUP(V44,'Tablas Magia'!$D$6:$Z$680,2,FALSE))</f>
        <v>#N/A</v>
      </c>
      <c r="AG44" s="6183"/>
      <c r="AH44" s="1853"/>
      <c r="AI44" s="6214" t="str">
        <f>IFERROR(IF(AF44="Libre Acceso","Aprendido",IF(IFERROR(VLOOKUP(AF44,Místicos!$C$15:$H$25,6,0)&gt;=AB44,FALSE),"Aprendido",IF(IFERROR(VLOOKUP(AF44,Místicos!$E$15:$H$25,4,0)&gt;=AB44,FALSE),"Aprendido",""))),"")</f>
        <v/>
      </c>
      <c r="AJ44" s="6215"/>
      <c r="AK44" s="426"/>
      <c r="AL44" s="420"/>
    </row>
    <row r="45" spans="1:38" ht="12" customHeight="1" x14ac:dyDescent="0.2">
      <c r="A45" s="2778"/>
      <c r="B45" s="854"/>
      <c r="C45" s="6198" t="s">
        <v>6330</v>
      </c>
      <c r="D45" s="6228"/>
      <c r="E45" s="2760" t="s">
        <v>6331</v>
      </c>
      <c r="F45" s="2760" t="s">
        <v>1512</v>
      </c>
      <c r="G45" s="2760" t="s">
        <v>2862</v>
      </c>
      <c r="H45" s="2761" t="s">
        <v>1840</v>
      </c>
      <c r="I45" s="6226" t="e">
        <f>IF(C44=0,"",VLOOKUP(C44,'Tablas Magia'!$D$6:$Z$680,5,FALSE))</f>
        <v>#N/A</v>
      </c>
      <c r="J45" s="6226"/>
      <c r="K45" s="6229" t="s">
        <v>6332</v>
      </c>
      <c r="L45" s="6229"/>
      <c r="M45" s="6226" t="e">
        <f>IF(C44=0,"",VLOOKUP(C44,'Tablas Magia'!$D$6:$Z$680,6,FALSE))</f>
        <v>#N/A</v>
      </c>
      <c r="N45" s="6226"/>
      <c r="O45" s="6227" t="s">
        <v>6333</v>
      </c>
      <c r="P45" s="6227"/>
      <c r="Q45" s="2762" t="e">
        <f>IF(C44=0,"",VLOOKUP(C44,'Tablas Magia'!$D$6:$Z$680,4,FALSE))</f>
        <v>#N/A</v>
      </c>
      <c r="R45" s="426"/>
      <c r="S45" s="420"/>
      <c r="T45" s="420"/>
      <c r="U45" s="854"/>
      <c r="V45" s="6198" t="s">
        <v>6330</v>
      </c>
      <c r="W45" s="6231"/>
      <c r="X45" s="1862" t="s">
        <v>6331</v>
      </c>
      <c r="Y45" s="1862" t="s">
        <v>1512</v>
      </c>
      <c r="Z45" s="1862" t="s">
        <v>2862</v>
      </c>
      <c r="AA45" s="1863" t="s">
        <v>1840</v>
      </c>
      <c r="AB45" s="6232" t="e">
        <f>IF(V44=0,"",VLOOKUP(V44,'Tablas Magia'!$D$6:$Z$680,5,FALSE))</f>
        <v>#N/A</v>
      </c>
      <c r="AC45" s="6232"/>
      <c r="AD45" s="6233" t="s">
        <v>6332</v>
      </c>
      <c r="AE45" s="6233"/>
      <c r="AF45" s="6232" t="e">
        <f>IF(V44=0,"",VLOOKUP(V44,'Tablas Magia'!$D$6:$Z$680,6,FALSE))</f>
        <v>#N/A</v>
      </c>
      <c r="AG45" s="6232"/>
      <c r="AH45" s="6234" t="s">
        <v>6333</v>
      </c>
      <c r="AI45" s="6234"/>
      <c r="AJ45" s="1864" t="e">
        <f>IF(V44=0,"",VLOOKUP(V44,'Tablas Magia'!$D$6:$Z$680,4,FALSE))</f>
        <v>#N/A</v>
      </c>
      <c r="AK45" s="426"/>
      <c r="AL45" s="420"/>
    </row>
    <row r="46" spans="1:38" ht="12" customHeight="1" x14ac:dyDescent="0.2">
      <c r="A46" s="2778"/>
      <c r="B46" s="854"/>
      <c r="C46" s="6238" t="s">
        <v>1368</v>
      </c>
      <c r="D46" s="6239"/>
      <c r="E46" s="2763" t="e">
        <f>IF(C44=0,"",VLOOKUP(C44,'Tablas Magia'!$D$6:$Z$680,7,FALSE))</f>
        <v>#N/A</v>
      </c>
      <c r="F46" s="2763" t="e">
        <f>IF(C44=0,"",VLOOKUP(C44,'Tablas Magia'!$D$6:$Z$680,11,FALSE))</f>
        <v>#N/A</v>
      </c>
      <c r="G46" s="436" t="e">
        <f>IF(C44=0,"",VLOOKUP(C44,'Tablas Magia'!$D$6:$Z$680,15,FALSE))</f>
        <v>#N/A</v>
      </c>
      <c r="H46" s="6223" t="e">
        <f>IF(C44=0,"",VLOOKUP(C44,'Tablas Magia'!$D$6:$Z$680,19,FALSE))</f>
        <v>#N/A</v>
      </c>
      <c r="I46" s="6224"/>
      <c r="J46" s="6224"/>
      <c r="K46" s="6224"/>
      <c r="L46" s="6224"/>
      <c r="M46" s="6224"/>
      <c r="N46" s="6224"/>
      <c r="O46" s="6224"/>
      <c r="P46" s="6224"/>
      <c r="Q46" s="6225"/>
      <c r="R46" s="426"/>
      <c r="S46" s="420"/>
      <c r="T46" s="420"/>
      <c r="U46" s="854"/>
      <c r="V46" s="6190" t="s">
        <v>1368</v>
      </c>
      <c r="W46" s="6191"/>
      <c r="X46" s="435" t="e">
        <f>IF(V44=0,"",VLOOKUP(V44,'Tablas Magia'!$D$6:$Z$680,7,FALSE))</f>
        <v>#N/A</v>
      </c>
      <c r="Y46" s="435" t="e">
        <f>IF(V44=0,"",VLOOKUP(V44,'Tablas Magia'!$D$6:$Z$680,11,FALSE))</f>
        <v>#N/A</v>
      </c>
      <c r="Z46" s="436" t="e">
        <f>IF(V44=0,"",VLOOKUP(V44,'Tablas Magia'!$D$6:$Z$680,15,FALSE))</f>
        <v>#N/A</v>
      </c>
      <c r="AA46" s="6192" t="e">
        <f>IF(V44=0,"",VLOOKUP(V44,'Tablas Magia'!$D$6:$Z$680,19,FALSE))</f>
        <v>#N/A</v>
      </c>
      <c r="AB46" s="6193"/>
      <c r="AC46" s="6193"/>
      <c r="AD46" s="6193"/>
      <c r="AE46" s="6193"/>
      <c r="AF46" s="6193"/>
      <c r="AG46" s="6193"/>
      <c r="AH46" s="6193"/>
      <c r="AI46" s="6193"/>
      <c r="AJ46" s="6194"/>
      <c r="AK46" s="426"/>
      <c r="AL46" s="420"/>
    </row>
    <row r="47" spans="1:38" ht="12" customHeight="1" x14ac:dyDescent="0.2">
      <c r="A47" s="2778"/>
      <c r="B47" s="854"/>
      <c r="C47" s="6185" t="s">
        <v>3233</v>
      </c>
      <c r="D47" s="6186"/>
      <c r="E47" s="2764" t="e">
        <f>IF(C44=0,"",VLOOKUP(C44,'Tablas Magia'!$D$6:$Z$680,8,FALSE))</f>
        <v>#N/A</v>
      </c>
      <c r="F47" s="2764" t="e">
        <f>IF(C44=0,"",VLOOKUP(C44,'Tablas Magia'!$D$6:$Z$680,12,FALSE))</f>
        <v>#N/A</v>
      </c>
      <c r="G47" s="438" t="e">
        <f>IF(C44=0,"",VLOOKUP(C44,'Tablas Magia'!$D$6:$Z$680,16,FALSE))</f>
        <v>#N/A</v>
      </c>
      <c r="H47" s="6187" t="e">
        <f>IF(C44=0,"",VLOOKUP(C44,'Tablas Magia'!$D$6:$Z$680,20,FALSE))</f>
        <v>#N/A</v>
      </c>
      <c r="I47" s="6217"/>
      <c r="J47" s="6217"/>
      <c r="K47" s="6217"/>
      <c r="L47" s="6217"/>
      <c r="M47" s="6217"/>
      <c r="N47" s="6217"/>
      <c r="O47" s="6217"/>
      <c r="P47" s="6217"/>
      <c r="Q47" s="6189"/>
      <c r="R47" s="426"/>
      <c r="S47" s="420"/>
      <c r="T47" s="420"/>
      <c r="U47" s="854"/>
      <c r="V47" s="6185" t="s">
        <v>3233</v>
      </c>
      <c r="W47" s="6186"/>
      <c r="X47" s="437" t="e">
        <f>IF(V44=0,"",VLOOKUP(V44,'Tablas Magia'!$D$6:$Z$680,8,FALSE))</f>
        <v>#N/A</v>
      </c>
      <c r="Y47" s="437" t="e">
        <f>IF(V44=0,"",VLOOKUP(V44,'Tablas Magia'!$D$6:$Z$680,12,FALSE))</f>
        <v>#N/A</v>
      </c>
      <c r="Z47" s="438" t="e">
        <f>IF(V44=0,"",VLOOKUP(V44,'Tablas Magia'!$D$6:$Z$680,16,FALSE))</f>
        <v>#N/A</v>
      </c>
      <c r="AA47" s="6187" t="e">
        <f>IF(V44=0,"",VLOOKUP(V44,'Tablas Magia'!$D$6:$Z$680,20,FALSE))</f>
        <v>#N/A</v>
      </c>
      <c r="AB47" s="6188"/>
      <c r="AC47" s="6188"/>
      <c r="AD47" s="6188"/>
      <c r="AE47" s="6188"/>
      <c r="AF47" s="6188"/>
      <c r="AG47" s="6188"/>
      <c r="AH47" s="6188"/>
      <c r="AI47" s="6188"/>
      <c r="AJ47" s="6189"/>
      <c r="AK47" s="426"/>
      <c r="AL47" s="420"/>
    </row>
    <row r="48" spans="1:38" ht="12" customHeight="1" x14ac:dyDescent="0.2">
      <c r="A48" s="2778"/>
      <c r="B48" s="854"/>
      <c r="C48" s="6190" t="s">
        <v>3234</v>
      </c>
      <c r="D48" s="6191"/>
      <c r="E48" s="2763" t="e">
        <f>IF(C44=0,"",VLOOKUP(C44,'Tablas Magia'!$D$6:$Z$680,9,FALSE))</f>
        <v>#N/A</v>
      </c>
      <c r="F48" s="2763" t="e">
        <f>IF(C44=0,"",VLOOKUP(C44,'Tablas Magia'!$D$6:$Z$680,13,FALSE))</f>
        <v>#N/A</v>
      </c>
      <c r="G48" s="436" t="e">
        <f>IF(C44=0,"",VLOOKUP(C44,'Tablas Magia'!$D$6:$Z$680,17,FALSE))</f>
        <v>#N/A</v>
      </c>
      <c r="H48" s="6192" t="e">
        <f>IF(C44=0,"",VLOOKUP(C44,'Tablas Magia'!$D$6:$Z$680,21,FALSE))</f>
        <v>#N/A</v>
      </c>
      <c r="I48" s="6216"/>
      <c r="J48" s="6216"/>
      <c r="K48" s="6216"/>
      <c r="L48" s="6216"/>
      <c r="M48" s="6216"/>
      <c r="N48" s="6216"/>
      <c r="O48" s="6216"/>
      <c r="P48" s="6216"/>
      <c r="Q48" s="6194"/>
      <c r="R48" s="426"/>
      <c r="S48" s="420"/>
      <c r="T48" s="420"/>
      <c r="U48" s="854"/>
      <c r="V48" s="6190" t="s">
        <v>3234</v>
      </c>
      <c r="W48" s="6191"/>
      <c r="X48" s="435" t="e">
        <f>IF(V44=0,"",VLOOKUP(V44,'Tablas Magia'!$D$6:$Z$680,9,FALSE))</f>
        <v>#N/A</v>
      </c>
      <c r="Y48" s="435" t="e">
        <f>IF(V44=0,"",VLOOKUP(V44,'Tablas Magia'!$D$6:$Z$680,13,FALSE))</f>
        <v>#N/A</v>
      </c>
      <c r="Z48" s="436" t="e">
        <f>IF(V44=0,"",VLOOKUP(V44,'Tablas Magia'!$D$6:$Z$680,17,FALSE))</f>
        <v>#N/A</v>
      </c>
      <c r="AA48" s="6192" t="e">
        <f>IF(V44=0,"",VLOOKUP(V44,'Tablas Magia'!$D$6:$Z$680,21,FALSE))</f>
        <v>#N/A</v>
      </c>
      <c r="AB48" s="6193"/>
      <c r="AC48" s="6193"/>
      <c r="AD48" s="6193"/>
      <c r="AE48" s="6193"/>
      <c r="AF48" s="6193"/>
      <c r="AG48" s="6193"/>
      <c r="AH48" s="6193"/>
      <c r="AI48" s="6193"/>
      <c r="AJ48" s="6194"/>
      <c r="AK48" s="426"/>
      <c r="AL48" s="420"/>
    </row>
    <row r="49" spans="1:38" ht="12" customHeight="1" thickBot="1" x14ac:dyDescent="0.25">
      <c r="A49" s="2778"/>
      <c r="B49" s="854"/>
      <c r="C49" s="6200" t="s">
        <v>3235</v>
      </c>
      <c r="D49" s="6201"/>
      <c r="E49" s="439" t="e">
        <f>IF(C44=0,"",VLOOKUP(C44,'Tablas Magia'!$D$6:$Z$680,10,FALSE))</f>
        <v>#N/A</v>
      </c>
      <c r="F49" s="439" t="e">
        <f>IF(C44=0,"",VLOOKUP(C44,'Tablas Magia'!$D$6:$Z$680,14,FALSE))</f>
        <v>#N/A</v>
      </c>
      <c r="G49" s="440" t="e">
        <f>IF(C44=0,"",VLOOKUP(C44,'Tablas Magia'!$D$6:$Z$680,18,FALSE))</f>
        <v>#N/A</v>
      </c>
      <c r="H49" s="6202" t="e">
        <f>IF(C44=0,"",VLOOKUP(C44,'Tablas Magia'!$D$6:$Z$680,22,FALSE))</f>
        <v>#N/A</v>
      </c>
      <c r="I49" s="6203"/>
      <c r="J49" s="6203"/>
      <c r="K49" s="6203"/>
      <c r="L49" s="6203"/>
      <c r="M49" s="6203"/>
      <c r="N49" s="6203"/>
      <c r="O49" s="6203"/>
      <c r="P49" s="6203"/>
      <c r="Q49" s="6204"/>
      <c r="R49" s="426"/>
      <c r="S49" s="420"/>
      <c r="T49" s="420"/>
      <c r="U49" s="854"/>
      <c r="V49" s="6200" t="s">
        <v>3235</v>
      </c>
      <c r="W49" s="6201"/>
      <c r="X49" s="439" t="e">
        <f>IF(V44=0,"",VLOOKUP(V44,'Tablas Magia'!$D$6:$Z$680,10,FALSE))</f>
        <v>#N/A</v>
      </c>
      <c r="Y49" s="439" t="e">
        <f>IF(V44=0,"",VLOOKUP(V44,'Tablas Magia'!$D$6:$Z$680,14,FALSE))</f>
        <v>#N/A</v>
      </c>
      <c r="Z49" s="440" t="e">
        <f>IF(V44=0,"",VLOOKUP(V44,'Tablas Magia'!$D$6:$Z$680,18,FALSE))</f>
        <v>#N/A</v>
      </c>
      <c r="AA49" s="6202" t="e">
        <f>IF(V44=0,"",VLOOKUP(V44,'Tablas Magia'!$D$6:$Z$680,22,FALSE))</f>
        <v>#N/A</v>
      </c>
      <c r="AB49" s="6203"/>
      <c r="AC49" s="6203"/>
      <c r="AD49" s="6203"/>
      <c r="AE49" s="6203"/>
      <c r="AF49" s="6203"/>
      <c r="AG49" s="6203"/>
      <c r="AH49" s="6203"/>
      <c r="AI49" s="6203"/>
      <c r="AJ49" s="6204"/>
      <c r="AK49" s="426"/>
      <c r="AL49" s="420"/>
    </row>
    <row r="50" spans="1:38" ht="12" customHeight="1" x14ac:dyDescent="0.2">
      <c r="A50" s="2778"/>
      <c r="B50" s="854"/>
      <c r="C50" s="6205" t="e">
        <f>IF(C44=0,"",VLOOKUP(C44,'Tablas Magia'!$D$6:$Z$680,23,FALSE))</f>
        <v>#N/A</v>
      </c>
      <c r="D50" s="6206"/>
      <c r="E50" s="6206"/>
      <c r="F50" s="6206"/>
      <c r="G50" s="6206"/>
      <c r="H50" s="6206"/>
      <c r="I50" s="6206"/>
      <c r="J50" s="6206"/>
      <c r="K50" s="6206"/>
      <c r="L50" s="6206"/>
      <c r="M50" s="6206"/>
      <c r="N50" s="6206"/>
      <c r="O50" s="6206"/>
      <c r="P50" s="6206"/>
      <c r="Q50" s="6207"/>
      <c r="R50" s="426"/>
      <c r="S50" s="420"/>
      <c r="T50" s="420"/>
      <c r="U50" s="854"/>
      <c r="V50" s="6205" t="e">
        <f>IF(V44=0,"",VLOOKUP(V44,'Tablas Magia'!$D$6:$Z$680,23,FALSE))</f>
        <v>#N/A</v>
      </c>
      <c r="W50" s="6206"/>
      <c r="X50" s="6206"/>
      <c r="Y50" s="6206"/>
      <c r="Z50" s="6206"/>
      <c r="AA50" s="6206"/>
      <c r="AB50" s="6206"/>
      <c r="AC50" s="6206"/>
      <c r="AD50" s="6206"/>
      <c r="AE50" s="6206"/>
      <c r="AF50" s="6206"/>
      <c r="AG50" s="6206"/>
      <c r="AH50" s="6206"/>
      <c r="AI50" s="6206"/>
      <c r="AJ50" s="6207"/>
      <c r="AK50" s="426"/>
      <c r="AL50" s="420"/>
    </row>
    <row r="51" spans="1:38" ht="12" customHeight="1" x14ac:dyDescent="0.2">
      <c r="A51" s="2778"/>
      <c r="B51" s="854"/>
      <c r="C51" s="6208"/>
      <c r="D51" s="6218"/>
      <c r="E51" s="6218"/>
      <c r="F51" s="6218"/>
      <c r="G51" s="6218"/>
      <c r="H51" s="6218"/>
      <c r="I51" s="6218"/>
      <c r="J51" s="6218"/>
      <c r="K51" s="6218"/>
      <c r="L51" s="6218"/>
      <c r="M51" s="6218"/>
      <c r="N51" s="6218"/>
      <c r="O51" s="6218"/>
      <c r="P51" s="6218"/>
      <c r="Q51" s="6210"/>
      <c r="R51" s="426"/>
      <c r="S51" s="420"/>
      <c r="T51" s="420"/>
      <c r="U51" s="854"/>
      <c r="V51" s="6208"/>
      <c r="W51" s="6209"/>
      <c r="X51" s="6209"/>
      <c r="Y51" s="6209"/>
      <c r="Z51" s="6209"/>
      <c r="AA51" s="6209"/>
      <c r="AB51" s="6209"/>
      <c r="AC51" s="6209"/>
      <c r="AD51" s="6209"/>
      <c r="AE51" s="6209"/>
      <c r="AF51" s="6209"/>
      <c r="AG51" s="6209"/>
      <c r="AH51" s="6209"/>
      <c r="AI51" s="6209"/>
      <c r="AJ51" s="6210"/>
      <c r="AK51" s="426"/>
      <c r="AL51" s="420"/>
    </row>
    <row r="52" spans="1:38" ht="12" customHeight="1" x14ac:dyDescent="0.2">
      <c r="A52" s="2778"/>
      <c r="B52" s="854"/>
      <c r="C52" s="6208"/>
      <c r="D52" s="6218"/>
      <c r="E52" s="6218"/>
      <c r="F52" s="6218"/>
      <c r="G52" s="6218"/>
      <c r="H52" s="6218"/>
      <c r="I52" s="6218"/>
      <c r="J52" s="6218"/>
      <c r="K52" s="6218"/>
      <c r="L52" s="6218"/>
      <c r="M52" s="6218"/>
      <c r="N52" s="6218"/>
      <c r="O52" s="6218"/>
      <c r="P52" s="6218"/>
      <c r="Q52" s="6210"/>
      <c r="R52" s="426"/>
      <c r="S52" s="420"/>
      <c r="T52" s="420"/>
      <c r="U52" s="854"/>
      <c r="V52" s="6208"/>
      <c r="W52" s="6209"/>
      <c r="X52" s="6209"/>
      <c r="Y52" s="6209"/>
      <c r="Z52" s="6209"/>
      <c r="AA52" s="6209"/>
      <c r="AB52" s="6209"/>
      <c r="AC52" s="6209"/>
      <c r="AD52" s="6209"/>
      <c r="AE52" s="6209"/>
      <c r="AF52" s="6209"/>
      <c r="AG52" s="6209"/>
      <c r="AH52" s="6209"/>
      <c r="AI52" s="6209"/>
      <c r="AJ52" s="6210"/>
      <c r="AK52" s="426"/>
      <c r="AL52" s="420"/>
    </row>
    <row r="53" spans="1:38" ht="12" customHeight="1" thickBot="1" x14ac:dyDescent="0.25">
      <c r="A53" s="2778"/>
      <c r="B53" s="854"/>
      <c r="C53" s="6211"/>
      <c r="D53" s="6212"/>
      <c r="E53" s="6212"/>
      <c r="F53" s="6212"/>
      <c r="G53" s="6212"/>
      <c r="H53" s="6212"/>
      <c r="I53" s="6212"/>
      <c r="J53" s="6212"/>
      <c r="K53" s="6212"/>
      <c r="L53" s="6212"/>
      <c r="M53" s="6212"/>
      <c r="N53" s="6212"/>
      <c r="O53" s="6212"/>
      <c r="P53" s="6212"/>
      <c r="Q53" s="6213"/>
      <c r="R53" s="426"/>
      <c r="S53" s="420"/>
      <c r="T53" s="420"/>
      <c r="U53" s="854"/>
      <c r="V53" s="6211"/>
      <c r="W53" s="6212"/>
      <c r="X53" s="6212"/>
      <c r="Y53" s="6212"/>
      <c r="Z53" s="6212"/>
      <c r="AA53" s="6212"/>
      <c r="AB53" s="6212"/>
      <c r="AC53" s="6212"/>
      <c r="AD53" s="6212"/>
      <c r="AE53" s="6212"/>
      <c r="AF53" s="6212"/>
      <c r="AG53" s="6212"/>
      <c r="AH53" s="6212"/>
      <c r="AI53" s="6212"/>
      <c r="AJ53" s="6213"/>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19"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20"/>
      <c r="E55" s="6220"/>
      <c r="F55" s="6220"/>
      <c r="G55" s="6221"/>
      <c r="H55" s="430" t="s">
        <v>1328</v>
      </c>
      <c r="I55" s="431">
        <f>B55</f>
        <v>10</v>
      </c>
      <c r="J55" s="6222" t="s">
        <v>6329</v>
      </c>
      <c r="K55" s="6222"/>
      <c r="L55" s="6222"/>
      <c r="M55" s="6183" t="e">
        <f>IF(C55=0,"",VLOOKUP(C55,'Tablas Magia'!$D$6:$Z$680,2,FALSE))</f>
        <v>#N/A</v>
      </c>
      <c r="N55" s="6183"/>
      <c r="O55" s="1853"/>
      <c r="P55" s="6214" t="str">
        <f>IFERROR(IF(M55="Libre Acceso","Aprendido",IF(IFERROR(VLOOKUP(M55,Místicos!$C$15:$H$25,6,0)&gt;=I55,FALSE),"Aprendido",IF(IFERROR(VLOOKUP(M55,Místicos!$E$15:$H$25,4,0)&gt;=I55,FALSE),"Aprendido",""))),"")</f>
        <v/>
      </c>
      <c r="Q55" s="6215"/>
      <c r="R55" s="426"/>
      <c r="S55" s="420"/>
      <c r="T55" s="420"/>
      <c r="U55" s="854">
        <f>U44+2</f>
        <v>20</v>
      </c>
      <c r="V55" s="6219"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30"/>
      <c r="X55" s="6230"/>
      <c r="Y55" s="6230"/>
      <c r="Z55" s="6230"/>
      <c r="AA55" s="430" t="s">
        <v>1328</v>
      </c>
      <c r="AB55" s="431">
        <f>U55</f>
        <v>20</v>
      </c>
      <c r="AC55" s="6222" t="s">
        <v>6329</v>
      </c>
      <c r="AD55" s="6222"/>
      <c r="AE55" s="6222"/>
      <c r="AF55" s="6183" t="e">
        <f>IF(V55=0,"",VLOOKUP(V55,'Tablas Magia'!$D$6:$Z$680,2,FALSE))</f>
        <v>#N/A</v>
      </c>
      <c r="AG55" s="6183"/>
      <c r="AH55" s="1853"/>
      <c r="AI55" s="6214" t="str">
        <f>IFERROR(IF(AF55="Libre Acceso","Aprendido",IF(IFERROR(VLOOKUP(AF55,Místicos!$C$15:$H$25,6,0)&gt;=AB55,FALSE),"Aprendido",IF(IFERROR(VLOOKUP(AF55,Místicos!$E$15:$H$25,4,0)&gt;=AB55,FALSE),"Aprendido",""))),"")</f>
        <v/>
      </c>
      <c r="AJ55" s="6215"/>
      <c r="AK55" s="426"/>
      <c r="AL55" s="420"/>
    </row>
    <row r="56" spans="1:38" ht="12" customHeight="1" x14ac:dyDescent="0.2">
      <c r="A56" s="2778"/>
      <c r="B56" s="854"/>
      <c r="C56" s="6198" t="s">
        <v>6330</v>
      </c>
      <c r="D56" s="6228"/>
      <c r="E56" s="2760" t="s">
        <v>6331</v>
      </c>
      <c r="F56" s="2760" t="s">
        <v>1512</v>
      </c>
      <c r="G56" s="2760" t="s">
        <v>2862</v>
      </c>
      <c r="H56" s="2761" t="s">
        <v>1840</v>
      </c>
      <c r="I56" s="6226" t="e">
        <f>IF(C55=0,"",VLOOKUP(C55,'Tablas Magia'!$D$6:$Z$680,5,FALSE))</f>
        <v>#N/A</v>
      </c>
      <c r="J56" s="6226"/>
      <c r="K56" s="6229" t="s">
        <v>6332</v>
      </c>
      <c r="L56" s="6229"/>
      <c r="M56" s="6226" t="e">
        <f>IF(C55=0,"",VLOOKUP(C55,'Tablas Magia'!$D$6:$Z$680,6,FALSE))</f>
        <v>#N/A</v>
      </c>
      <c r="N56" s="6226"/>
      <c r="O56" s="6227" t="s">
        <v>6333</v>
      </c>
      <c r="P56" s="6227"/>
      <c r="Q56" s="2762" t="e">
        <f>IF(C55=0,"",VLOOKUP(C55,'Tablas Magia'!$D$6:$Z$680,4,FALSE))</f>
        <v>#N/A</v>
      </c>
      <c r="R56" s="426"/>
      <c r="S56" s="420"/>
      <c r="T56" s="420"/>
      <c r="U56" s="854"/>
      <c r="V56" s="6198" t="s">
        <v>6330</v>
      </c>
      <c r="W56" s="6231"/>
      <c r="X56" s="1862" t="s">
        <v>6331</v>
      </c>
      <c r="Y56" s="1862" t="s">
        <v>1512</v>
      </c>
      <c r="Z56" s="1862" t="s">
        <v>2862</v>
      </c>
      <c r="AA56" s="1863" t="s">
        <v>1840</v>
      </c>
      <c r="AB56" s="6232" t="e">
        <f>IF(V55=0,"",VLOOKUP(V55,'Tablas Magia'!$D$6:$Z$680,5,FALSE))</f>
        <v>#N/A</v>
      </c>
      <c r="AC56" s="6232"/>
      <c r="AD56" s="6233" t="s">
        <v>6332</v>
      </c>
      <c r="AE56" s="6233"/>
      <c r="AF56" s="6232" t="e">
        <f>IF(V55=0,"",VLOOKUP(V55,'Tablas Magia'!$D$6:$Z$680,6,FALSE))</f>
        <v>#N/A</v>
      </c>
      <c r="AG56" s="6232"/>
      <c r="AH56" s="6234" t="s">
        <v>6333</v>
      </c>
      <c r="AI56" s="6234"/>
      <c r="AJ56" s="1864" t="e">
        <f>IF(V55=0,"",VLOOKUP(V55,'Tablas Magia'!$D$6:$Z$680,4,FALSE))</f>
        <v>#N/A</v>
      </c>
      <c r="AK56" s="426"/>
      <c r="AL56" s="420"/>
    </row>
    <row r="57" spans="1:38" ht="12" customHeight="1" x14ac:dyDescent="0.2">
      <c r="A57" s="2778"/>
      <c r="B57" s="854"/>
      <c r="C57" s="6238" t="s">
        <v>1368</v>
      </c>
      <c r="D57" s="6239"/>
      <c r="E57" s="2763" t="e">
        <f>IF(C55=0,"",VLOOKUP(C55,'Tablas Magia'!$D$6:$Z$680,7,FALSE))</f>
        <v>#N/A</v>
      </c>
      <c r="F57" s="2763" t="e">
        <f>IF(C55=0,"",VLOOKUP(C55,'Tablas Magia'!$D$6:$Z$680,11,FALSE))</f>
        <v>#N/A</v>
      </c>
      <c r="G57" s="436" t="e">
        <f>IF(C55=0,"",VLOOKUP(C55,'Tablas Magia'!$D$6:$Z$680,15,FALSE))</f>
        <v>#N/A</v>
      </c>
      <c r="H57" s="6223" t="e">
        <f>IF(C55=0,"",VLOOKUP(C55,'Tablas Magia'!$D$6:$Z$680,19,FALSE))</f>
        <v>#N/A</v>
      </c>
      <c r="I57" s="6224"/>
      <c r="J57" s="6224"/>
      <c r="K57" s="6224"/>
      <c r="L57" s="6224"/>
      <c r="M57" s="6224"/>
      <c r="N57" s="6224"/>
      <c r="O57" s="6224"/>
      <c r="P57" s="6224"/>
      <c r="Q57" s="6225"/>
      <c r="R57" s="426"/>
      <c r="S57" s="420"/>
      <c r="T57" s="420"/>
      <c r="U57" s="854"/>
      <c r="V57" s="6190" t="s">
        <v>1368</v>
      </c>
      <c r="W57" s="6191"/>
      <c r="X57" s="435" t="e">
        <f>IF(V55=0,"",VLOOKUP(V55,'Tablas Magia'!$D$6:$Z$680,7,FALSE))</f>
        <v>#N/A</v>
      </c>
      <c r="Y57" s="435" t="e">
        <f>IF(V55=0,"",VLOOKUP(V55,'Tablas Magia'!$D$6:$Z$680,11,FALSE))</f>
        <v>#N/A</v>
      </c>
      <c r="Z57" s="436" t="e">
        <f>IF(V55=0,"",VLOOKUP(V55,'Tablas Magia'!$D$6:$Z$680,15,FALSE))</f>
        <v>#N/A</v>
      </c>
      <c r="AA57" s="6192" t="e">
        <f>IF(V55=0,"",VLOOKUP(V55,'Tablas Magia'!$D$6:$Z$680,19,FALSE))</f>
        <v>#N/A</v>
      </c>
      <c r="AB57" s="6193"/>
      <c r="AC57" s="6193"/>
      <c r="AD57" s="6193"/>
      <c r="AE57" s="6193"/>
      <c r="AF57" s="6193"/>
      <c r="AG57" s="6193"/>
      <c r="AH57" s="6193"/>
      <c r="AI57" s="6193"/>
      <c r="AJ57" s="6194"/>
      <c r="AK57" s="426"/>
      <c r="AL57" s="420"/>
    </row>
    <row r="58" spans="1:38" ht="12" customHeight="1" x14ac:dyDescent="0.2">
      <c r="A58" s="2778"/>
      <c r="B58" s="854"/>
      <c r="C58" s="6185" t="s">
        <v>3233</v>
      </c>
      <c r="D58" s="6186"/>
      <c r="E58" s="2764" t="e">
        <f>IF(C55=0,"",VLOOKUP(C55,'Tablas Magia'!$D$6:$Z$680,8,FALSE))</f>
        <v>#N/A</v>
      </c>
      <c r="F58" s="2764" t="e">
        <f>IF(C55=0,"",VLOOKUP(C55,'Tablas Magia'!$D$6:$Z$680,12,FALSE))</f>
        <v>#N/A</v>
      </c>
      <c r="G58" s="438" t="e">
        <f>IF(C55=0,"",VLOOKUP(C55,'Tablas Magia'!$D$6:$Z$680,16,FALSE))</f>
        <v>#N/A</v>
      </c>
      <c r="H58" s="6187" t="e">
        <f>IF(C55=0,"",VLOOKUP(C55,'Tablas Magia'!$D$6:$Z$680,20,FALSE))</f>
        <v>#N/A</v>
      </c>
      <c r="I58" s="6217"/>
      <c r="J58" s="6217"/>
      <c r="K58" s="6217"/>
      <c r="L58" s="6217"/>
      <c r="M58" s="6217"/>
      <c r="N58" s="6217"/>
      <c r="O58" s="6217"/>
      <c r="P58" s="6217"/>
      <c r="Q58" s="6189"/>
      <c r="R58" s="426"/>
      <c r="S58" s="420"/>
      <c r="T58" s="420"/>
      <c r="U58" s="854"/>
      <c r="V58" s="6185" t="s">
        <v>3233</v>
      </c>
      <c r="W58" s="6186"/>
      <c r="X58" s="437" t="e">
        <f>IF(V55=0,"",VLOOKUP(V55,'Tablas Magia'!$D$6:$Z$680,8,FALSE))</f>
        <v>#N/A</v>
      </c>
      <c r="Y58" s="437" t="e">
        <f>IF(V55=0,"",VLOOKUP(V55,'Tablas Magia'!$D$6:$Z$680,12,FALSE))</f>
        <v>#N/A</v>
      </c>
      <c r="Z58" s="438" t="e">
        <f>IF(V55=0,"",VLOOKUP(V55,'Tablas Magia'!$D$6:$Z$680,16,FALSE))</f>
        <v>#N/A</v>
      </c>
      <c r="AA58" s="6187" t="e">
        <f>IF(V55=0,"",VLOOKUP(V55,'Tablas Magia'!$D$6:$Z$680,20,FALSE))</f>
        <v>#N/A</v>
      </c>
      <c r="AB58" s="6188"/>
      <c r="AC58" s="6188"/>
      <c r="AD58" s="6188"/>
      <c r="AE58" s="6188"/>
      <c r="AF58" s="6188"/>
      <c r="AG58" s="6188"/>
      <c r="AH58" s="6188"/>
      <c r="AI58" s="6188"/>
      <c r="AJ58" s="6189"/>
      <c r="AK58" s="426"/>
      <c r="AL58" s="420"/>
    </row>
    <row r="59" spans="1:38" ht="12" customHeight="1" x14ac:dyDescent="0.2">
      <c r="A59" s="2778"/>
      <c r="B59" s="854"/>
      <c r="C59" s="6190" t="s">
        <v>3234</v>
      </c>
      <c r="D59" s="6191"/>
      <c r="E59" s="2763" t="e">
        <f>IF(C55=0,"",VLOOKUP(C55,'Tablas Magia'!$D$6:$Z$680,9,FALSE))</f>
        <v>#N/A</v>
      </c>
      <c r="F59" s="2763" t="e">
        <f>IF(C55=0,"",VLOOKUP(C55,'Tablas Magia'!$D$6:$Z$680,13,FALSE))</f>
        <v>#N/A</v>
      </c>
      <c r="G59" s="436" t="e">
        <f>IF(C55=0,"",VLOOKUP(C55,'Tablas Magia'!$D$6:$Z$680,17,FALSE))</f>
        <v>#N/A</v>
      </c>
      <c r="H59" s="6192" t="e">
        <f>IF(C55=0,"",VLOOKUP(C55,'Tablas Magia'!$D$6:$Z$680,21,FALSE))</f>
        <v>#N/A</v>
      </c>
      <c r="I59" s="6216"/>
      <c r="J59" s="6216"/>
      <c r="K59" s="6216"/>
      <c r="L59" s="6216"/>
      <c r="M59" s="6216"/>
      <c r="N59" s="6216"/>
      <c r="O59" s="6216"/>
      <c r="P59" s="6216"/>
      <c r="Q59" s="6194"/>
      <c r="R59" s="426"/>
      <c r="S59" s="420"/>
      <c r="T59" s="420"/>
      <c r="U59" s="854"/>
      <c r="V59" s="6190" t="s">
        <v>3234</v>
      </c>
      <c r="W59" s="6191"/>
      <c r="X59" s="435" t="e">
        <f>IF(V55=0,"",VLOOKUP(V55,'Tablas Magia'!$D$6:$Z$680,9,FALSE))</f>
        <v>#N/A</v>
      </c>
      <c r="Y59" s="435" t="e">
        <f>IF(V55=0,"",VLOOKUP(V55,'Tablas Magia'!$D$6:$Z$680,13,FALSE))</f>
        <v>#N/A</v>
      </c>
      <c r="Z59" s="436" t="e">
        <f>IF(V55=0,"",VLOOKUP(V55,'Tablas Magia'!$D$6:$Z$680,17,FALSE))</f>
        <v>#N/A</v>
      </c>
      <c r="AA59" s="6192" t="e">
        <f>IF(V55=0,"",VLOOKUP(V55,'Tablas Magia'!$D$6:$Z$680,21,FALSE))</f>
        <v>#N/A</v>
      </c>
      <c r="AB59" s="6193"/>
      <c r="AC59" s="6193"/>
      <c r="AD59" s="6193"/>
      <c r="AE59" s="6193"/>
      <c r="AF59" s="6193"/>
      <c r="AG59" s="6193"/>
      <c r="AH59" s="6193"/>
      <c r="AI59" s="6193"/>
      <c r="AJ59" s="6194"/>
      <c r="AK59" s="426"/>
      <c r="AL59" s="420"/>
    </row>
    <row r="60" spans="1:38" ht="12" customHeight="1" thickBot="1" x14ac:dyDescent="0.25">
      <c r="A60" s="2778"/>
      <c r="B60" s="854"/>
      <c r="C60" s="6200" t="s">
        <v>3235</v>
      </c>
      <c r="D60" s="6201"/>
      <c r="E60" s="439" t="e">
        <f>IF(C55=0,"",VLOOKUP(C55,'Tablas Magia'!$D$6:$Z$680,10,FALSE))</f>
        <v>#N/A</v>
      </c>
      <c r="F60" s="439" t="e">
        <f>IF(C55=0,"",VLOOKUP(C55,'Tablas Magia'!$D$6:$Z$680,14,FALSE))</f>
        <v>#N/A</v>
      </c>
      <c r="G60" s="440" t="e">
        <f>IF(C55=0,"",VLOOKUP(C55,'Tablas Magia'!$D$6:$Z$680,18,FALSE))</f>
        <v>#N/A</v>
      </c>
      <c r="H60" s="6202" t="e">
        <f>IF(C55=0,"",VLOOKUP(C55,'Tablas Magia'!$D$6:$Z$680,22,FALSE))</f>
        <v>#N/A</v>
      </c>
      <c r="I60" s="6203"/>
      <c r="J60" s="6203"/>
      <c r="K60" s="6203"/>
      <c r="L60" s="6203"/>
      <c r="M60" s="6203"/>
      <c r="N60" s="6203"/>
      <c r="O60" s="6203"/>
      <c r="P60" s="6203"/>
      <c r="Q60" s="6204"/>
      <c r="R60" s="426"/>
      <c r="S60" s="420"/>
      <c r="T60" s="420"/>
      <c r="U60" s="854"/>
      <c r="V60" s="6200" t="s">
        <v>3235</v>
      </c>
      <c r="W60" s="6201"/>
      <c r="X60" s="439" t="e">
        <f>IF(V55=0,"",VLOOKUP(V55,'Tablas Magia'!$D$6:$Z$680,10,FALSE))</f>
        <v>#N/A</v>
      </c>
      <c r="Y60" s="439" t="e">
        <f>IF(V55=0,"",VLOOKUP(V55,'Tablas Magia'!$D$6:$Z$680,14,FALSE))</f>
        <v>#N/A</v>
      </c>
      <c r="Z60" s="440" t="e">
        <f>IF(V55=0,"",VLOOKUP(V55,'Tablas Magia'!$D$6:$Z$680,18,FALSE))</f>
        <v>#N/A</v>
      </c>
      <c r="AA60" s="6202" t="e">
        <f>IF(V55=0,"",VLOOKUP(V55,'Tablas Magia'!$D$6:$Z$680,22,FALSE))</f>
        <v>#N/A</v>
      </c>
      <c r="AB60" s="6203"/>
      <c r="AC60" s="6203"/>
      <c r="AD60" s="6203"/>
      <c r="AE60" s="6203"/>
      <c r="AF60" s="6203"/>
      <c r="AG60" s="6203"/>
      <c r="AH60" s="6203"/>
      <c r="AI60" s="6203"/>
      <c r="AJ60" s="6204"/>
      <c r="AK60" s="426"/>
      <c r="AL60" s="420"/>
    </row>
    <row r="61" spans="1:38" ht="12" customHeight="1" x14ac:dyDescent="0.2">
      <c r="A61" s="2778"/>
      <c r="B61" s="854"/>
      <c r="C61" s="6205" t="e">
        <f>IF(C55=0,"",VLOOKUP(C55,'Tablas Magia'!$D$6:$Z$680,23,FALSE))</f>
        <v>#N/A</v>
      </c>
      <c r="D61" s="6206"/>
      <c r="E61" s="6206"/>
      <c r="F61" s="6206"/>
      <c r="G61" s="6206"/>
      <c r="H61" s="6206"/>
      <c r="I61" s="6206"/>
      <c r="J61" s="6206"/>
      <c r="K61" s="6206"/>
      <c r="L61" s="6206"/>
      <c r="M61" s="6206"/>
      <c r="N61" s="6206"/>
      <c r="O61" s="6206"/>
      <c r="P61" s="6206"/>
      <c r="Q61" s="6207"/>
      <c r="R61" s="426"/>
      <c r="S61" s="420"/>
      <c r="T61" s="420"/>
      <c r="U61" s="854"/>
      <c r="V61" s="6205" t="e">
        <f>IF(V55=0,"",VLOOKUP(V55,'Tablas Magia'!$D$6:$Z$680,23,FALSE))</f>
        <v>#N/A</v>
      </c>
      <c r="W61" s="6206"/>
      <c r="X61" s="6206"/>
      <c r="Y61" s="6206"/>
      <c r="Z61" s="6206"/>
      <c r="AA61" s="6206"/>
      <c r="AB61" s="6206"/>
      <c r="AC61" s="6206"/>
      <c r="AD61" s="6206"/>
      <c r="AE61" s="6206"/>
      <c r="AF61" s="6206"/>
      <c r="AG61" s="6206"/>
      <c r="AH61" s="6206"/>
      <c r="AI61" s="6206"/>
      <c r="AJ61" s="6207"/>
      <c r="AK61" s="426"/>
      <c r="AL61" s="420"/>
    </row>
    <row r="62" spans="1:38" ht="12" customHeight="1" x14ac:dyDescent="0.2">
      <c r="A62" s="2778"/>
      <c r="B62" s="854"/>
      <c r="C62" s="6208"/>
      <c r="D62" s="6218"/>
      <c r="E62" s="6218"/>
      <c r="F62" s="6218"/>
      <c r="G62" s="6218"/>
      <c r="H62" s="6218"/>
      <c r="I62" s="6218"/>
      <c r="J62" s="6218"/>
      <c r="K62" s="6218"/>
      <c r="L62" s="6218"/>
      <c r="M62" s="6218"/>
      <c r="N62" s="6218"/>
      <c r="O62" s="6218"/>
      <c r="P62" s="6218"/>
      <c r="Q62" s="6210"/>
      <c r="R62" s="426"/>
      <c r="S62" s="420"/>
      <c r="T62" s="420"/>
      <c r="U62" s="854"/>
      <c r="V62" s="6208"/>
      <c r="W62" s="6209"/>
      <c r="X62" s="6209"/>
      <c r="Y62" s="6209"/>
      <c r="Z62" s="6209"/>
      <c r="AA62" s="6209"/>
      <c r="AB62" s="6209"/>
      <c r="AC62" s="6209"/>
      <c r="AD62" s="6209"/>
      <c r="AE62" s="6209"/>
      <c r="AF62" s="6209"/>
      <c r="AG62" s="6209"/>
      <c r="AH62" s="6209"/>
      <c r="AI62" s="6209"/>
      <c r="AJ62" s="6210"/>
      <c r="AK62" s="426"/>
      <c r="AL62" s="420"/>
    </row>
    <row r="63" spans="1:38" ht="12" customHeight="1" x14ac:dyDescent="0.2">
      <c r="A63" s="2778"/>
      <c r="B63" s="854"/>
      <c r="C63" s="6208"/>
      <c r="D63" s="6218"/>
      <c r="E63" s="6218"/>
      <c r="F63" s="6218"/>
      <c r="G63" s="6218"/>
      <c r="H63" s="6218"/>
      <c r="I63" s="6218"/>
      <c r="J63" s="6218"/>
      <c r="K63" s="6218"/>
      <c r="L63" s="6218"/>
      <c r="M63" s="6218"/>
      <c r="N63" s="6218"/>
      <c r="O63" s="6218"/>
      <c r="P63" s="6218"/>
      <c r="Q63" s="6210"/>
      <c r="R63" s="426"/>
      <c r="S63" s="420"/>
      <c r="T63" s="420"/>
      <c r="U63" s="854"/>
      <c r="V63" s="6208"/>
      <c r="W63" s="6209"/>
      <c r="X63" s="6209"/>
      <c r="Y63" s="6209"/>
      <c r="Z63" s="6209"/>
      <c r="AA63" s="6209"/>
      <c r="AB63" s="6209"/>
      <c r="AC63" s="6209"/>
      <c r="AD63" s="6209"/>
      <c r="AE63" s="6209"/>
      <c r="AF63" s="6209"/>
      <c r="AG63" s="6209"/>
      <c r="AH63" s="6209"/>
      <c r="AI63" s="6209"/>
      <c r="AJ63" s="6210"/>
      <c r="AK63" s="426"/>
      <c r="AL63" s="420"/>
    </row>
    <row r="64" spans="1:38" ht="12" customHeight="1" thickBot="1" x14ac:dyDescent="0.25">
      <c r="A64" s="2778"/>
      <c r="B64" s="854"/>
      <c r="C64" s="6211"/>
      <c r="D64" s="6212"/>
      <c r="E64" s="6212"/>
      <c r="F64" s="6212"/>
      <c r="G64" s="6212"/>
      <c r="H64" s="6212"/>
      <c r="I64" s="6212"/>
      <c r="J64" s="6212"/>
      <c r="K64" s="6212"/>
      <c r="L64" s="6212"/>
      <c r="M64" s="6212"/>
      <c r="N64" s="6212"/>
      <c r="O64" s="6212"/>
      <c r="P64" s="6212"/>
      <c r="Q64" s="6213"/>
      <c r="R64" s="426"/>
      <c r="S64" s="420"/>
      <c r="T64" s="1518"/>
      <c r="U64" s="854"/>
      <c r="V64" s="6211"/>
      <c r="W64" s="6212"/>
      <c r="X64" s="6212"/>
      <c r="Y64" s="6212"/>
      <c r="Z64" s="6212"/>
      <c r="AA64" s="6212"/>
      <c r="AB64" s="6212"/>
      <c r="AC64" s="6212"/>
      <c r="AD64" s="6212"/>
      <c r="AE64" s="6212"/>
      <c r="AF64" s="6212"/>
      <c r="AG64" s="6212"/>
      <c r="AH64" s="6212"/>
      <c r="AI64" s="6212"/>
      <c r="AJ64" s="6213"/>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208"/>
      <c r="D70" s="4209"/>
      <c r="E70" s="4209"/>
      <c r="F70" s="4209"/>
      <c r="G70" s="4209"/>
      <c r="H70" s="4209"/>
      <c r="I70" s="2738"/>
      <c r="J70" s="2738"/>
      <c r="K70" s="2738"/>
      <c r="L70" s="2738"/>
      <c r="M70" s="2738"/>
      <c r="N70" s="2738"/>
      <c r="O70" s="2738"/>
      <c r="P70" s="2738"/>
      <c r="Q70" s="425"/>
      <c r="R70" s="426"/>
      <c r="S70" s="1518"/>
      <c r="T70" s="1518"/>
      <c r="U70" s="1149"/>
      <c r="V70" s="4208"/>
      <c r="W70" s="4209"/>
      <c r="X70" s="4209"/>
      <c r="Y70" s="4209"/>
      <c r="Z70" s="4209"/>
      <c r="AA70" s="4209"/>
      <c r="AB70" s="2738"/>
      <c r="AC70" s="2738"/>
      <c r="AD70" s="2738"/>
      <c r="AE70" s="2738"/>
      <c r="AF70" s="2738"/>
      <c r="AG70" s="2738"/>
      <c r="AH70" s="2738"/>
      <c r="AI70" s="2738"/>
      <c r="AJ70" s="425"/>
      <c r="AK70" s="426"/>
      <c r="AL70" s="1518"/>
    </row>
    <row r="71" spans="1:38" s="859" customFormat="1" ht="12" customHeight="1" x14ac:dyDescent="0.2">
      <c r="A71" s="1866"/>
      <c r="B71" s="1865"/>
      <c r="C71" s="4210"/>
      <c r="D71" s="4211"/>
      <c r="E71" s="4211"/>
      <c r="F71" s="4211"/>
      <c r="G71" s="4211"/>
      <c r="H71" s="4211"/>
      <c r="I71" s="2753"/>
      <c r="J71" s="6240" t="s">
        <v>10263</v>
      </c>
      <c r="K71" s="6241"/>
      <c r="L71" s="6241"/>
      <c r="M71" s="6241"/>
      <c r="N71" s="6241"/>
      <c r="O71" s="6241"/>
      <c r="P71" s="6241"/>
      <c r="Q71" s="375"/>
      <c r="R71" s="858"/>
      <c r="S71" s="1866"/>
      <c r="T71" s="1866"/>
      <c r="U71" s="1865"/>
      <c r="V71" s="4210"/>
      <c r="W71" s="4211"/>
      <c r="X71" s="4211"/>
      <c r="Y71" s="4211"/>
      <c r="Z71" s="4211"/>
      <c r="AA71" s="4211"/>
      <c r="AB71" s="2739"/>
      <c r="AC71" s="6245" t="s">
        <v>10263</v>
      </c>
      <c r="AD71" s="6246"/>
      <c r="AE71" s="6246"/>
      <c r="AF71" s="6246"/>
      <c r="AG71" s="6246"/>
      <c r="AH71" s="6246"/>
      <c r="AI71" s="6246"/>
      <c r="AJ71" s="375"/>
      <c r="AK71" s="858"/>
      <c r="AL71" s="1866"/>
    </row>
    <row r="72" spans="1:38" ht="12" customHeight="1" x14ac:dyDescent="0.2">
      <c r="A72" s="1518"/>
      <c r="B72" s="1149"/>
      <c r="C72" s="4210"/>
      <c r="D72" s="4211"/>
      <c r="E72" s="4211"/>
      <c r="F72" s="4211"/>
      <c r="G72" s="4211"/>
      <c r="H72" s="4211"/>
      <c r="I72" s="2753"/>
      <c r="J72" s="6241"/>
      <c r="K72" s="6241"/>
      <c r="L72" s="6241"/>
      <c r="M72" s="6241"/>
      <c r="N72" s="6241"/>
      <c r="O72" s="6241"/>
      <c r="P72" s="6241"/>
      <c r="Q72" s="427"/>
      <c r="R72" s="426"/>
      <c r="S72" s="1518"/>
      <c r="T72" s="1518"/>
      <c r="U72" s="1149"/>
      <c r="V72" s="4210"/>
      <c r="W72" s="4211"/>
      <c r="X72" s="4211"/>
      <c r="Y72" s="4211"/>
      <c r="Z72" s="4211"/>
      <c r="AA72" s="4211"/>
      <c r="AB72" s="2739"/>
      <c r="AC72" s="6246"/>
      <c r="AD72" s="6246"/>
      <c r="AE72" s="6246"/>
      <c r="AF72" s="6246"/>
      <c r="AG72" s="6246"/>
      <c r="AH72" s="6246"/>
      <c r="AI72" s="6246"/>
      <c r="AJ72" s="427"/>
      <c r="AK72" s="426"/>
      <c r="AL72" s="1518"/>
    </row>
    <row r="73" spans="1:38" ht="12" customHeight="1" x14ac:dyDescent="0.2">
      <c r="A73" s="1518"/>
      <c r="B73" s="1149"/>
      <c r="C73" s="4210"/>
      <c r="D73" s="4211"/>
      <c r="E73" s="4211"/>
      <c r="F73" s="4211"/>
      <c r="G73" s="4211"/>
      <c r="H73" s="4211"/>
      <c r="I73" s="2754" t="s">
        <v>7233</v>
      </c>
      <c r="J73" s="6242" t="str">
        <f>IF($J$6="","",$J$6)</f>
        <v/>
      </c>
      <c r="K73" s="6242"/>
      <c r="L73" s="6242"/>
      <c r="M73" s="2755"/>
      <c r="N73" s="2755"/>
      <c r="O73" s="2756" t="str">
        <f>$O$6</f>
        <v>Nivel de vía aprendido</v>
      </c>
      <c r="P73" s="2757">
        <f>$P$6</f>
        <v>0</v>
      </c>
      <c r="Q73" s="427"/>
      <c r="R73" s="426"/>
      <c r="S73" s="1518"/>
      <c r="T73" s="1518"/>
      <c r="U73" s="1149"/>
      <c r="V73" s="4210"/>
      <c r="W73" s="4211"/>
      <c r="X73" s="4211"/>
      <c r="Y73" s="4211"/>
      <c r="Z73" s="4211"/>
      <c r="AA73" s="4211"/>
      <c r="AB73" s="2482" t="s">
        <v>7233</v>
      </c>
      <c r="AC73" s="6235" t="str">
        <f>IF($J$6="","",$J$6)</f>
        <v/>
      </c>
      <c r="AD73" s="6235"/>
      <c r="AE73" s="6235"/>
      <c r="AF73" s="2478"/>
      <c r="AG73" s="2478"/>
      <c r="AH73" s="2479" t="str">
        <f>$O$6</f>
        <v>Nivel de vía aprendido</v>
      </c>
      <c r="AI73" s="2480">
        <f>$P$6</f>
        <v>0</v>
      </c>
      <c r="AJ73" s="427"/>
      <c r="AK73" s="426"/>
      <c r="AL73" s="1518"/>
    </row>
    <row r="74" spans="1:38" ht="12" customHeight="1" x14ac:dyDescent="0.2">
      <c r="A74" s="1518"/>
      <c r="B74" s="1149"/>
      <c r="C74" s="4210"/>
      <c r="D74" s="4211"/>
      <c r="E74" s="4211"/>
      <c r="F74" s="4211"/>
      <c r="G74" s="4211"/>
      <c r="H74" s="4211"/>
      <c r="I74" s="2758" t="s">
        <v>7234</v>
      </c>
      <c r="J74" s="6242" t="str">
        <f>IF($J$8="","",$J$8)</f>
        <v/>
      </c>
      <c r="K74" s="6242"/>
      <c r="L74" s="6242"/>
      <c r="M74" s="2755"/>
      <c r="N74" s="2755"/>
      <c r="O74" s="2755"/>
      <c r="P74" s="2755"/>
      <c r="Q74" s="427"/>
      <c r="R74" s="426"/>
      <c r="S74" s="1518"/>
      <c r="T74" s="1518"/>
      <c r="U74" s="1149"/>
      <c r="V74" s="4210"/>
      <c r="W74" s="4211"/>
      <c r="X74" s="4211"/>
      <c r="Y74" s="4211"/>
      <c r="Z74" s="4211"/>
      <c r="AA74" s="4211"/>
      <c r="AB74" s="2483" t="s">
        <v>7234</v>
      </c>
      <c r="AC74" s="6235" t="str">
        <f>IF($J$8="","",$J$8)</f>
        <v/>
      </c>
      <c r="AD74" s="6235"/>
      <c r="AE74" s="6235"/>
      <c r="AF74" s="2478"/>
      <c r="AG74" s="2478"/>
      <c r="AH74" s="2478"/>
      <c r="AI74" s="2478"/>
      <c r="AJ74" s="427"/>
      <c r="AK74" s="426"/>
      <c r="AL74" s="1518"/>
    </row>
    <row r="75" spans="1:38" ht="12" customHeight="1" thickBot="1" x14ac:dyDescent="0.25">
      <c r="A75" s="1518"/>
      <c r="B75" s="1149"/>
      <c r="C75" s="4212"/>
      <c r="D75" s="4213"/>
      <c r="E75" s="4213"/>
      <c r="F75" s="4213"/>
      <c r="G75" s="4213"/>
      <c r="H75" s="4213"/>
      <c r="I75" s="2740"/>
      <c r="J75" s="2740"/>
      <c r="K75" s="2740"/>
      <c r="L75" s="2740"/>
      <c r="M75" s="2740"/>
      <c r="N75" s="2740"/>
      <c r="O75" s="2740"/>
      <c r="P75" s="2740"/>
      <c r="Q75" s="429"/>
      <c r="R75" s="426"/>
      <c r="S75" s="1518"/>
      <c r="T75" s="1518"/>
      <c r="U75" s="1149"/>
      <c r="V75" s="4212"/>
      <c r="W75" s="4213"/>
      <c r="X75" s="4213"/>
      <c r="Y75" s="4213"/>
      <c r="Z75" s="4213"/>
      <c r="AA75" s="4213"/>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44" t="str">
        <f>"Conjuros de nivel "&amp;B78&amp;"-"&amp;B122</f>
        <v>Conjuros de nivel 22-30</v>
      </c>
      <c r="D77" s="6244"/>
      <c r="E77" s="6244"/>
      <c r="F77" s="6244"/>
      <c r="G77" s="6244"/>
      <c r="H77" s="6244"/>
      <c r="I77" s="6244"/>
      <c r="J77" s="6244"/>
      <c r="K77" s="6244"/>
      <c r="L77" s="6244"/>
      <c r="M77" s="6244"/>
      <c r="N77" s="6244"/>
      <c r="O77" s="6244"/>
      <c r="P77" s="6244"/>
      <c r="Q77" s="6244"/>
      <c r="R77" s="860"/>
      <c r="S77" s="1518"/>
      <c r="T77" s="420"/>
      <c r="U77" s="862"/>
      <c r="V77" s="6244" t="str">
        <f>"Conjuros de nivel "&amp;U78&amp;"-"&amp;U122</f>
        <v>Conjuros de nivel 32-40</v>
      </c>
      <c r="W77" s="6244"/>
      <c r="X77" s="6244"/>
      <c r="Y77" s="6244"/>
      <c r="Z77" s="6244"/>
      <c r="AA77" s="6244"/>
      <c r="AB77" s="6244"/>
      <c r="AC77" s="6244"/>
      <c r="AD77" s="6244"/>
      <c r="AE77" s="6244"/>
      <c r="AF77" s="6244"/>
      <c r="AG77" s="6244"/>
      <c r="AH77" s="6244"/>
      <c r="AI77" s="6244"/>
      <c r="AJ77" s="6244"/>
      <c r="AK77" s="861"/>
      <c r="AL77" s="420"/>
    </row>
    <row r="78" spans="1:38" ht="12" customHeight="1" x14ac:dyDescent="0.2">
      <c r="A78" s="1518"/>
      <c r="B78" s="854">
        <f>B11+20</f>
        <v>22</v>
      </c>
      <c r="C78" s="6219"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20"/>
      <c r="E78" s="6220"/>
      <c r="F78" s="6220"/>
      <c r="G78" s="6221"/>
      <c r="H78" s="430" t="s">
        <v>1328</v>
      </c>
      <c r="I78" s="431">
        <f>B78</f>
        <v>22</v>
      </c>
      <c r="J78" s="6222" t="s">
        <v>6329</v>
      </c>
      <c r="K78" s="6222"/>
      <c r="L78" s="6222"/>
      <c r="M78" s="6183" t="e">
        <f>IF(C78=0,"",VLOOKUP(C78,'Tablas Magia'!$D$6:$Z$680,2,FALSE))</f>
        <v>#N/A</v>
      </c>
      <c r="N78" s="6183"/>
      <c r="O78" s="1853"/>
      <c r="P78" s="6214" t="str">
        <f>IFERROR(IF(M78="Libre Acceso","Aprendido",IF(IFERROR(VLOOKUP(M78,Místicos!$C$15:$H$25,6,0)&gt;=I78,FALSE),"Aprendido",IF(IFERROR(VLOOKUP(M78,Místicos!$E$15:$H$25,4,0)&gt;=I78,FALSE),"Aprendido",""))),"")</f>
        <v/>
      </c>
      <c r="Q78" s="6215"/>
      <c r="R78" s="426"/>
      <c r="S78" s="420"/>
      <c r="T78" s="420"/>
      <c r="U78" s="854">
        <f>B122+2</f>
        <v>32</v>
      </c>
      <c r="V78" s="6219"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30"/>
      <c r="X78" s="6230"/>
      <c r="Y78" s="6230"/>
      <c r="Z78" s="6237"/>
      <c r="AA78" s="430" t="s">
        <v>1328</v>
      </c>
      <c r="AB78" s="431">
        <f>U78</f>
        <v>32</v>
      </c>
      <c r="AC78" s="6222" t="s">
        <v>6329</v>
      </c>
      <c r="AD78" s="6222"/>
      <c r="AE78" s="6222"/>
      <c r="AF78" s="6183" t="e">
        <f>IF(V78=0,"",VLOOKUP(V78,'Tablas Magia'!$D$6:$Z$680,2,FALSE))</f>
        <v>#N/A</v>
      </c>
      <c r="AG78" s="6183"/>
      <c r="AH78" s="1853"/>
      <c r="AI78" s="6214" t="str">
        <f>IFERROR(IF(AF78="Libre Acceso","Aprendido",IF(IFERROR(VLOOKUP(AF78,Místicos!$C$15:$H$25,6,0)&gt;=AB78,FALSE),"Aprendido",IF(IFERROR(VLOOKUP(AF78,Místicos!$E$15:$H$25,4,0)&gt;=AB78,FALSE),"Aprendido",""))),"")</f>
        <v/>
      </c>
      <c r="AJ78" s="6215"/>
      <c r="AK78" s="426"/>
      <c r="AL78" s="420"/>
    </row>
    <row r="79" spans="1:38" ht="12" customHeight="1" x14ac:dyDescent="0.2">
      <c r="A79" s="420"/>
      <c r="B79" s="854"/>
      <c r="C79" s="6198" t="s">
        <v>6330</v>
      </c>
      <c r="D79" s="6228"/>
      <c r="E79" s="2760" t="s">
        <v>6331</v>
      </c>
      <c r="F79" s="2760" t="s">
        <v>1512</v>
      </c>
      <c r="G79" s="2760" t="s">
        <v>2862</v>
      </c>
      <c r="H79" s="2761" t="s">
        <v>1840</v>
      </c>
      <c r="I79" s="6226" t="e">
        <f>IF(C78=0,"",VLOOKUP(C78,'Tablas Magia'!$D$6:$Z$680,5,FALSE))</f>
        <v>#N/A</v>
      </c>
      <c r="J79" s="6226"/>
      <c r="K79" s="6229" t="s">
        <v>6332</v>
      </c>
      <c r="L79" s="6229"/>
      <c r="M79" s="6226" t="e">
        <f>IF(C78=0,"",VLOOKUP(C78,'Tablas Magia'!$D$6:$Z$680,6,FALSE))</f>
        <v>#N/A</v>
      </c>
      <c r="N79" s="6226"/>
      <c r="O79" s="6227" t="s">
        <v>6333</v>
      </c>
      <c r="P79" s="6227"/>
      <c r="Q79" s="2762" t="e">
        <f>IF(C78=0,"",VLOOKUP(C78,'Tablas Magia'!$D$6:$Z$680,4,FALSE))</f>
        <v>#N/A</v>
      </c>
      <c r="R79" s="426"/>
      <c r="S79" s="420"/>
      <c r="T79" s="420"/>
      <c r="U79" s="854"/>
      <c r="V79" s="6198" t="s">
        <v>6330</v>
      </c>
      <c r="W79" s="6231"/>
      <c r="X79" s="1862" t="s">
        <v>6331</v>
      </c>
      <c r="Y79" s="1862" t="s">
        <v>1512</v>
      </c>
      <c r="Z79" s="1862" t="s">
        <v>2862</v>
      </c>
      <c r="AA79" s="1863" t="s">
        <v>1840</v>
      </c>
      <c r="AB79" s="6232" t="e">
        <f>IF(V78=0,"",VLOOKUP(V78,'Tablas Magia'!$D$6:$Z$680,5,FALSE))</f>
        <v>#N/A</v>
      </c>
      <c r="AC79" s="6232"/>
      <c r="AD79" s="6233" t="s">
        <v>6332</v>
      </c>
      <c r="AE79" s="6233"/>
      <c r="AF79" s="6232" t="e">
        <f>IF(V78=0,"",VLOOKUP(V78,'Tablas Magia'!$D$6:$Z$680,6,FALSE))</f>
        <v>#N/A</v>
      </c>
      <c r="AG79" s="6232"/>
      <c r="AH79" s="6234" t="s">
        <v>6333</v>
      </c>
      <c r="AI79" s="6234"/>
      <c r="AJ79" s="1864" t="e">
        <f>IF(V78=0,"",VLOOKUP(V78,'Tablas Magia'!$D$6:$Z$680,4,FALSE))</f>
        <v>#N/A</v>
      </c>
      <c r="AK79" s="426"/>
      <c r="AL79" s="420"/>
    </row>
    <row r="80" spans="1:38" ht="12" customHeight="1" x14ac:dyDescent="0.2">
      <c r="A80" s="420"/>
      <c r="B80" s="854"/>
      <c r="C80" s="6190" t="s">
        <v>1368</v>
      </c>
      <c r="D80" s="6191"/>
      <c r="E80" s="2763" t="e">
        <f>IF(C78=0,"",VLOOKUP(C78,'Tablas Magia'!$D$6:$Z$680,7,FALSE))</f>
        <v>#N/A</v>
      </c>
      <c r="F80" s="2763" t="e">
        <f>IF(C78=0,"",VLOOKUP(C78,'Tablas Magia'!$D$6:$Z$680,11,FALSE))</f>
        <v>#N/A</v>
      </c>
      <c r="G80" s="436" t="e">
        <f>IF(C78=0,"",VLOOKUP(C78,'Tablas Magia'!$D$6:$Z$680,15,FALSE))</f>
        <v>#N/A</v>
      </c>
      <c r="H80" s="6192" t="e">
        <f>IF(C78=0,"",VLOOKUP(C78,'Tablas Magia'!$D$6:$Z$680,19,FALSE))</f>
        <v>#N/A</v>
      </c>
      <c r="I80" s="6216"/>
      <c r="J80" s="6216"/>
      <c r="K80" s="6216"/>
      <c r="L80" s="6216"/>
      <c r="M80" s="6216"/>
      <c r="N80" s="6216"/>
      <c r="O80" s="6216"/>
      <c r="P80" s="6216"/>
      <c r="Q80" s="6194"/>
      <c r="R80" s="426"/>
      <c r="S80" s="420"/>
      <c r="T80" s="420"/>
      <c r="U80" s="854"/>
      <c r="V80" s="6238" t="s">
        <v>1368</v>
      </c>
      <c r="W80" s="6239"/>
      <c r="X80" s="435" t="e">
        <f>IF(V78=0,"",VLOOKUP(V78,'Tablas Magia'!$D$6:$Z$680,7,FALSE))</f>
        <v>#N/A</v>
      </c>
      <c r="Y80" s="435" t="e">
        <f>IF(V78=0,"",VLOOKUP(V78,'Tablas Magia'!$D$6:$Z$680,11,FALSE))</f>
        <v>#N/A</v>
      </c>
      <c r="Z80" s="436" t="e">
        <f>IF(V78=0,"",VLOOKUP(V78,'Tablas Magia'!$D$6:$Z$680,15,FALSE))</f>
        <v>#N/A</v>
      </c>
      <c r="AA80" s="6223" t="e">
        <f>IF(V78=0,"",VLOOKUP(V78,'Tablas Magia'!$D$6:$Z$680,19,FALSE))</f>
        <v>#N/A</v>
      </c>
      <c r="AB80" s="6224"/>
      <c r="AC80" s="6224"/>
      <c r="AD80" s="6224"/>
      <c r="AE80" s="6224"/>
      <c r="AF80" s="6224"/>
      <c r="AG80" s="6224"/>
      <c r="AH80" s="6224"/>
      <c r="AI80" s="6224"/>
      <c r="AJ80" s="6225"/>
      <c r="AK80" s="426"/>
      <c r="AL80" s="420"/>
    </row>
    <row r="81" spans="1:38" ht="12" customHeight="1" x14ac:dyDescent="0.2">
      <c r="A81" s="420"/>
      <c r="B81" s="854"/>
      <c r="C81" s="6185" t="s">
        <v>3233</v>
      </c>
      <c r="D81" s="6186"/>
      <c r="E81" s="2764" t="e">
        <f>IF(C78=0,"",VLOOKUP(C78,'Tablas Magia'!$D$6:$Z$680,8,FALSE))</f>
        <v>#N/A</v>
      </c>
      <c r="F81" s="2764" t="e">
        <f>IF(C78=0,"",VLOOKUP(C78,'Tablas Magia'!$D$6:$Z$680,12,FALSE))</f>
        <v>#N/A</v>
      </c>
      <c r="G81" s="438" t="e">
        <f>IF(C78=0,"",VLOOKUP(C78,'Tablas Magia'!$D$6:$Z$680,16,FALSE))</f>
        <v>#N/A</v>
      </c>
      <c r="H81" s="6187" t="e">
        <f>IF(C78=0,"",VLOOKUP(C78,'Tablas Magia'!$D$6:$Z$680,20,FALSE))</f>
        <v>#N/A</v>
      </c>
      <c r="I81" s="6217"/>
      <c r="J81" s="6217"/>
      <c r="K81" s="6217"/>
      <c r="L81" s="6217"/>
      <c r="M81" s="6217"/>
      <c r="N81" s="6217"/>
      <c r="O81" s="6217"/>
      <c r="P81" s="6217"/>
      <c r="Q81" s="6189"/>
      <c r="R81" s="426"/>
      <c r="S81" s="420"/>
      <c r="T81" s="420"/>
      <c r="U81" s="854"/>
      <c r="V81" s="6185" t="s">
        <v>3233</v>
      </c>
      <c r="W81" s="6186"/>
      <c r="X81" s="437" t="e">
        <f>IF(V78=0,"",VLOOKUP(V78,'Tablas Magia'!$D$6:$Z$680,8,FALSE))</f>
        <v>#N/A</v>
      </c>
      <c r="Y81" s="437" t="e">
        <f>IF(V78=0,"",VLOOKUP(V78,'Tablas Magia'!$D$6:$Z$680,12,FALSE))</f>
        <v>#N/A</v>
      </c>
      <c r="Z81" s="438" t="e">
        <f>IF(V78=0,"",VLOOKUP(V78,'Tablas Magia'!$D$6:$Z$680,16,FALSE))</f>
        <v>#N/A</v>
      </c>
      <c r="AA81" s="6187" t="e">
        <f>IF(V78=0,"",VLOOKUP(V78,'Tablas Magia'!$D$6:$Z$680,20,FALSE))</f>
        <v>#N/A</v>
      </c>
      <c r="AB81" s="6188"/>
      <c r="AC81" s="6188"/>
      <c r="AD81" s="6188"/>
      <c r="AE81" s="6188"/>
      <c r="AF81" s="6188"/>
      <c r="AG81" s="6188"/>
      <c r="AH81" s="6188"/>
      <c r="AI81" s="6188"/>
      <c r="AJ81" s="6189"/>
      <c r="AK81" s="426"/>
      <c r="AL81" s="420"/>
    </row>
    <row r="82" spans="1:38" ht="12" customHeight="1" x14ac:dyDescent="0.2">
      <c r="A82" s="420"/>
      <c r="B82" s="854"/>
      <c r="C82" s="6190" t="s">
        <v>3234</v>
      </c>
      <c r="D82" s="6191"/>
      <c r="E82" s="2763" t="e">
        <f>IF(C78=0,"",VLOOKUP(C78,'Tablas Magia'!$D$6:$Z$680,9,FALSE))</f>
        <v>#N/A</v>
      </c>
      <c r="F82" s="2763" t="e">
        <f>IF(C78=0,"",VLOOKUP(C78,'Tablas Magia'!$D$6:$Z$680,13,FALSE))</f>
        <v>#N/A</v>
      </c>
      <c r="G82" s="436" t="e">
        <f>IF(C78=0,"",VLOOKUP(C78,'Tablas Magia'!$D$6:$Z$680,17,FALSE))</f>
        <v>#N/A</v>
      </c>
      <c r="H82" s="6192" t="e">
        <f>IF(C78=0,"",VLOOKUP(C78,'Tablas Magia'!$D$6:$Z$680,21,FALSE))</f>
        <v>#N/A</v>
      </c>
      <c r="I82" s="6216"/>
      <c r="J82" s="6216"/>
      <c r="K82" s="6216"/>
      <c r="L82" s="6216"/>
      <c r="M82" s="6216"/>
      <c r="N82" s="6216"/>
      <c r="O82" s="6216"/>
      <c r="P82" s="6216"/>
      <c r="Q82" s="6194"/>
      <c r="R82" s="426"/>
      <c r="S82" s="420"/>
      <c r="T82" s="420"/>
      <c r="U82" s="854"/>
      <c r="V82" s="6190" t="s">
        <v>3234</v>
      </c>
      <c r="W82" s="6191"/>
      <c r="X82" s="435" t="e">
        <f>IF(V78=0,"",VLOOKUP(V78,'Tablas Magia'!$D$6:$Z$680,9,FALSE))</f>
        <v>#N/A</v>
      </c>
      <c r="Y82" s="435" t="e">
        <f>IF(V78=0,"",VLOOKUP(V78,'Tablas Magia'!$D$6:$Z$680,13,FALSE))</f>
        <v>#N/A</v>
      </c>
      <c r="Z82" s="436" t="e">
        <f>IF(V78=0,"",VLOOKUP(V78,'Tablas Magia'!$D$6:$Z$680,17,FALSE))</f>
        <v>#N/A</v>
      </c>
      <c r="AA82" s="6192" t="e">
        <f>IF(V78=0,"",VLOOKUP(V78,'Tablas Magia'!$D$6:$Z$680,21,FALSE))</f>
        <v>#N/A</v>
      </c>
      <c r="AB82" s="6193"/>
      <c r="AC82" s="6193"/>
      <c r="AD82" s="6193"/>
      <c r="AE82" s="6193"/>
      <c r="AF82" s="6193"/>
      <c r="AG82" s="6193"/>
      <c r="AH82" s="6193"/>
      <c r="AI82" s="6193"/>
      <c r="AJ82" s="6194"/>
      <c r="AK82" s="426"/>
      <c r="AL82" s="420"/>
    </row>
    <row r="83" spans="1:38" ht="12" customHeight="1" thickBot="1" x14ac:dyDescent="0.25">
      <c r="A83" s="420"/>
      <c r="B83" s="854"/>
      <c r="C83" s="6200" t="s">
        <v>3235</v>
      </c>
      <c r="D83" s="6201"/>
      <c r="E83" s="439" t="e">
        <f>IF(C78=0,"",VLOOKUP(C78,'Tablas Magia'!$D$6:$Z$680,10,FALSE))</f>
        <v>#N/A</v>
      </c>
      <c r="F83" s="439" t="e">
        <f>IF(C78=0,"",VLOOKUP(C78,'Tablas Magia'!$D$6:$Z$680,14,FALSE))</f>
        <v>#N/A</v>
      </c>
      <c r="G83" s="440" t="e">
        <f>IF(C78=0,"",VLOOKUP(C78,'Tablas Magia'!$D$6:$Z$680,18,FALSE))</f>
        <v>#N/A</v>
      </c>
      <c r="H83" s="6202" t="e">
        <f>IF(C78=0,"",VLOOKUP(C78,'Tablas Magia'!$D$6:$Z$680,22,FALSE))</f>
        <v>#N/A</v>
      </c>
      <c r="I83" s="6203"/>
      <c r="J83" s="6203"/>
      <c r="K83" s="6203"/>
      <c r="L83" s="6203"/>
      <c r="M83" s="6203"/>
      <c r="N83" s="6203"/>
      <c r="O83" s="6203"/>
      <c r="P83" s="6203"/>
      <c r="Q83" s="6204"/>
      <c r="R83" s="426"/>
      <c r="S83" s="420"/>
      <c r="T83" s="420"/>
      <c r="U83" s="854"/>
      <c r="V83" s="6200" t="s">
        <v>3235</v>
      </c>
      <c r="W83" s="6201"/>
      <c r="X83" s="439" t="e">
        <f>IF(V78=0,"",VLOOKUP(V78,'Tablas Magia'!$D$6:$Z$680,10,FALSE))</f>
        <v>#N/A</v>
      </c>
      <c r="Y83" s="439" t="e">
        <f>IF(V78=0,"",VLOOKUP(V78,'Tablas Magia'!$D$6:$Z$680,14,FALSE))</f>
        <v>#N/A</v>
      </c>
      <c r="Z83" s="440" t="e">
        <f>IF(V78=0,"",VLOOKUP(V78,'Tablas Magia'!$D$6:$Z$680,18,FALSE))</f>
        <v>#N/A</v>
      </c>
      <c r="AA83" s="6202" t="e">
        <f>IF(V78=0,"",VLOOKUP(V78,'Tablas Magia'!$D$6:$Z$680,22,FALSE))</f>
        <v>#N/A</v>
      </c>
      <c r="AB83" s="6203"/>
      <c r="AC83" s="6203"/>
      <c r="AD83" s="6203"/>
      <c r="AE83" s="6203"/>
      <c r="AF83" s="6203"/>
      <c r="AG83" s="6203"/>
      <c r="AH83" s="6203"/>
      <c r="AI83" s="6203"/>
      <c r="AJ83" s="6204"/>
      <c r="AK83" s="426"/>
      <c r="AL83" s="420"/>
    </row>
    <row r="84" spans="1:38" ht="12" customHeight="1" x14ac:dyDescent="0.2">
      <c r="A84" s="420"/>
      <c r="B84" s="854"/>
      <c r="C84" s="6205" t="e">
        <f>IF(C78=0,"",VLOOKUP(C78,'Tablas Magia'!$D$6:$Z$680,23,FALSE))</f>
        <v>#N/A</v>
      </c>
      <c r="D84" s="6206"/>
      <c r="E84" s="6206"/>
      <c r="F84" s="6206"/>
      <c r="G84" s="6206"/>
      <c r="H84" s="6206"/>
      <c r="I84" s="6206"/>
      <c r="J84" s="6206"/>
      <c r="K84" s="6206"/>
      <c r="L84" s="6206"/>
      <c r="M84" s="6206"/>
      <c r="N84" s="6206"/>
      <c r="O84" s="6206"/>
      <c r="P84" s="6206"/>
      <c r="Q84" s="6207"/>
      <c r="R84" s="426"/>
      <c r="S84" s="420"/>
      <c r="T84" s="420"/>
      <c r="U84" s="854"/>
      <c r="V84" s="6205" t="e">
        <f>IF(V78=0,"",VLOOKUP(V78,'Tablas Magia'!$D$6:$Z$680,23,FALSE))</f>
        <v>#N/A</v>
      </c>
      <c r="W84" s="6206"/>
      <c r="X84" s="6206"/>
      <c r="Y84" s="6206"/>
      <c r="Z84" s="6206"/>
      <c r="AA84" s="6206"/>
      <c r="AB84" s="6206"/>
      <c r="AC84" s="6206"/>
      <c r="AD84" s="6206"/>
      <c r="AE84" s="6206"/>
      <c r="AF84" s="6206"/>
      <c r="AG84" s="6206"/>
      <c r="AH84" s="6206"/>
      <c r="AI84" s="6206"/>
      <c r="AJ84" s="6207"/>
      <c r="AK84" s="426"/>
      <c r="AL84" s="420"/>
    </row>
    <row r="85" spans="1:38" ht="12" customHeight="1" x14ac:dyDescent="0.2">
      <c r="A85" s="420"/>
      <c r="B85" s="854"/>
      <c r="C85" s="6208"/>
      <c r="D85" s="6218"/>
      <c r="E85" s="6218"/>
      <c r="F85" s="6218"/>
      <c r="G85" s="6218"/>
      <c r="H85" s="6218"/>
      <c r="I85" s="6218"/>
      <c r="J85" s="6218"/>
      <c r="K85" s="6218"/>
      <c r="L85" s="6218"/>
      <c r="M85" s="6218"/>
      <c r="N85" s="6218"/>
      <c r="O85" s="6218"/>
      <c r="P85" s="6218"/>
      <c r="Q85" s="6210"/>
      <c r="R85" s="426"/>
      <c r="S85" s="420"/>
      <c r="T85" s="420"/>
      <c r="U85" s="854"/>
      <c r="V85" s="6208"/>
      <c r="W85" s="6209"/>
      <c r="X85" s="6209"/>
      <c r="Y85" s="6209"/>
      <c r="Z85" s="6209"/>
      <c r="AA85" s="6209"/>
      <c r="AB85" s="6209"/>
      <c r="AC85" s="6209"/>
      <c r="AD85" s="6209"/>
      <c r="AE85" s="6209"/>
      <c r="AF85" s="6209"/>
      <c r="AG85" s="6209"/>
      <c r="AH85" s="6209"/>
      <c r="AI85" s="6209"/>
      <c r="AJ85" s="6210"/>
      <c r="AK85" s="426"/>
      <c r="AL85" s="420"/>
    </row>
    <row r="86" spans="1:38" ht="12" customHeight="1" x14ac:dyDescent="0.2">
      <c r="A86" s="420"/>
      <c r="B86" s="854"/>
      <c r="C86" s="6208"/>
      <c r="D86" s="6218"/>
      <c r="E86" s="6218"/>
      <c r="F86" s="6218"/>
      <c r="G86" s="6218"/>
      <c r="H86" s="6218"/>
      <c r="I86" s="6218"/>
      <c r="J86" s="6218"/>
      <c r="K86" s="6218"/>
      <c r="L86" s="6218"/>
      <c r="M86" s="6218"/>
      <c r="N86" s="6218"/>
      <c r="O86" s="6218"/>
      <c r="P86" s="6218"/>
      <c r="Q86" s="6210"/>
      <c r="R86" s="426"/>
      <c r="S86" s="420"/>
      <c r="T86" s="420"/>
      <c r="U86" s="854"/>
      <c r="V86" s="6208"/>
      <c r="W86" s="6209"/>
      <c r="X86" s="6209"/>
      <c r="Y86" s="6209"/>
      <c r="Z86" s="6209"/>
      <c r="AA86" s="6209"/>
      <c r="AB86" s="6209"/>
      <c r="AC86" s="6209"/>
      <c r="AD86" s="6209"/>
      <c r="AE86" s="6209"/>
      <c r="AF86" s="6209"/>
      <c r="AG86" s="6209"/>
      <c r="AH86" s="6209"/>
      <c r="AI86" s="6209"/>
      <c r="AJ86" s="6210"/>
      <c r="AK86" s="426"/>
      <c r="AL86" s="420"/>
    </row>
    <row r="87" spans="1:38" ht="12" customHeight="1" thickBot="1" x14ac:dyDescent="0.25">
      <c r="A87" s="420"/>
      <c r="B87" s="854"/>
      <c r="C87" s="6211"/>
      <c r="D87" s="6212"/>
      <c r="E87" s="6212"/>
      <c r="F87" s="6212"/>
      <c r="G87" s="6212"/>
      <c r="H87" s="6212"/>
      <c r="I87" s="6212"/>
      <c r="J87" s="6212"/>
      <c r="K87" s="6212"/>
      <c r="L87" s="6212"/>
      <c r="M87" s="6212"/>
      <c r="N87" s="6212"/>
      <c r="O87" s="6212"/>
      <c r="P87" s="6212"/>
      <c r="Q87" s="6213"/>
      <c r="R87" s="426"/>
      <c r="S87" s="420"/>
      <c r="T87" s="420"/>
      <c r="U87" s="854"/>
      <c r="V87" s="6211"/>
      <c r="W87" s="6212"/>
      <c r="X87" s="6212"/>
      <c r="Y87" s="6212"/>
      <c r="Z87" s="6212"/>
      <c r="AA87" s="6212"/>
      <c r="AB87" s="6212"/>
      <c r="AC87" s="6212"/>
      <c r="AD87" s="6212"/>
      <c r="AE87" s="6212"/>
      <c r="AF87" s="6212"/>
      <c r="AG87" s="6212"/>
      <c r="AH87" s="6212"/>
      <c r="AI87" s="6212"/>
      <c r="AJ87" s="6213"/>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19"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20"/>
      <c r="E89" s="6220"/>
      <c r="F89" s="6220"/>
      <c r="G89" s="6221"/>
      <c r="H89" s="430" t="s">
        <v>1328</v>
      </c>
      <c r="I89" s="431">
        <f>B89</f>
        <v>24</v>
      </c>
      <c r="J89" s="6222" t="s">
        <v>6329</v>
      </c>
      <c r="K89" s="6222"/>
      <c r="L89" s="6222"/>
      <c r="M89" s="6183" t="e">
        <f>IF(C89=0,"",VLOOKUP(C89,'Tablas Magia'!$D$6:$Z$680,2,FALSE))</f>
        <v>#N/A</v>
      </c>
      <c r="N89" s="6183"/>
      <c r="O89" s="1853"/>
      <c r="P89" s="6214" t="str">
        <f>IFERROR(IF(M89="Libre Acceso","Aprendido",IF(IFERROR(VLOOKUP(M89,Místicos!$C$15:$H$25,6,0)&gt;=I89,FALSE),"Aprendido",IF(IFERROR(VLOOKUP(M89,Místicos!$E$15:$H$25,4,0)&gt;=I89,FALSE),"Aprendido",""))),"")</f>
        <v/>
      </c>
      <c r="Q89" s="6215"/>
      <c r="R89" s="426"/>
      <c r="S89" s="420"/>
      <c r="T89" s="420"/>
      <c r="U89" s="854">
        <f>U78+2</f>
        <v>34</v>
      </c>
      <c r="V89" s="6219"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30"/>
      <c r="X89" s="6230"/>
      <c r="Y89" s="6230"/>
      <c r="Z89" s="6230"/>
      <c r="AA89" s="430" t="s">
        <v>1328</v>
      </c>
      <c r="AB89" s="431">
        <f>U89</f>
        <v>34</v>
      </c>
      <c r="AC89" s="6222" t="s">
        <v>6329</v>
      </c>
      <c r="AD89" s="6222"/>
      <c r="AE89" s="6222"/>
      <c r="AF89" s="6183" t="e">
        <f>IF(V89=0,"",VLOOKUP(V89,'Tablas Magia'!$D$6:$Z$680,2,FALSE))</f>
        <v>#N/A</v>
      </c>
      <c r="AG89" s="6183"/>
      <c r="AH89" s="1853"/>
      <c r="AI89" s="6214" t="str">
        <f>IFERROR(IF(AF89="Libre Acceso","Aprendido",IF(IFERROR(VLOOKUP(AF89,Místicos!$C$15:$H$25,6,0)&gt;=AB89,FALSE),"Aprendido",IF(IFERROR(VLOOKUP(AF89,Místicos!$E$15:$H$25,4,0)&gt;=AB89,FALSE),"Aprendido",""))),"")</f>
        <v/>
      </c>
      <c r="AJ89" s="6215"/>
      <c r="AK89" s="426"/>
      <c r="AL89" s="420"/>
    </row>
    <row r="90" spans="1:38" ht="12" customHeight="1" x14ac:dyDescent="0.2">
      <c r="A90" s="420"/>
      <c r="B90" s="854"/>
      <c r="C90" s="6198" t="s">
        <v>6330</v>
      </c>
      <c r="D90" s="6228"/>
      <c r="E90" s="2760" t="s">
        <v>6331</v>
      </c>
      <c r="F90" s="2760" t="s">
        <v>1512</v>
      </c>
      <c r="G90" s="2760" t="s">
        <v>2862</v>
      </c>
      <c r="H90" s="2761" t="s">
        <v>1840</v>
      </c>
      <c r="I90" s="6226" t="e">
        <f>IF(C89=0,"",VLOOKUP(C89,'Tablas Magia'!$D$6:$Z$680,5,FALSE))</f>
        <v>#N/A</v>
      </c>
      <c r="J90" s="6226"/>
      <c r="K90" s="6229" t="s">
        <v>6332</v>
      </c>
      <c r="L90" s="6229"/>
      <c r="M90" s="6226" t="e">
        <f>IF(C89=0,"",VLOOKUP(C89,'Tablas Magia'!$D$6:$Z$680,6,FALSE))</f>
        <v>#N/A</v>
      </c>
      <c r="N90" s="6226"/>
      <c r="O90" s="6227" t="s">
        <v>6333</v>
      </c>
      <c r="P90" s="6227"/>
      <c r="Q90" s="2762" t="e">
        <f>IF(C89=0,"",VLOOKUP(C89,'Tablas Magia'!$D$6:$Z$680,4,FALSE))</f>
        <v>#N/A</v>
      </c>
      <c r="R90" s="426"/>
      <c r="S90" s="420"/>
      <c r="T90" s="420"/>
      <c r="U90" s="854"/>
      <c r="V90" s="6198" t="s">
        <v>6330</v>
      </c>
      <c r="W90" s="6231"/>
      <c r="X90" s="1862" t="s">
        <v>6331</v>
      </c>
      <c r="Y90" s="1862" t="s">
        <v>1512</v>
      </c>
      <c r="Z90" s="1862" t="s">
        <v>2862</v>
      </c>
      <c r="AA90" s="1863" t="s">
        <v>1840</v>
      </c>
      <c r="AB90" s="6232" t="e">
        <f>IF(V89=0,"",VLOOKUP(V89,'Tablas Magia'!$D$6:$Z$680,5,FALSE))</f>
        <v>#N/A</v>
      </c>
      <c r="AC90" s="6232"/>
      <c r="AD90" s="6233" t="s">
        <v>6332</v>
      </c>
      <c r="AE90" s="6233"/>
      <c r="AF90" s="6232" t="e">
        <f>IF(V89=0,"",VLOOKUP(V89,'Tablas Magia'!$D$6:$Z$680,6,FALSE))</f>
        <v>#N/A</v>
      </c>
      <c r="AG90" s="6232"/>
      <c r="AH90" s="6234" t="s">
        <v>6333</v>
      </c>
      <c r="AI90" s="6234"/>
      <c r="AJ90" s="1864" t="e">
        <f>IF(V89=0,"",VLOOKUP(V89,'Tablas Magia'!$D$6:$Z$680,4,FALSE))</f>
        <v>#N/A</v>
      </c>
      <c r="AK90" s="426"/>
      <c r="AL90" s="420"/>
    </row>
    <row r="91" spans="1:38" ht="12" customHeight="1" x14ac:dyDescent="0.2">
      <c r="A91" s="420"/>
      <c r="B91" s="854"/>
      <c r="C91" s="6238" t="s">
        <v>1368</v>
      </c>
      <c r="D91" s="6239"/>
      <c r="E91" s="2763" t="e">
        <f>IF(C89=0,"",VLOOKUP(C89,'Tablas Magia'!$D$6:$Z$680,7,FALSE))</f>
        <v>#N/A</v>
      </c>
      <c r="F91" s="2763" t="e">
        <f>IF(C89=0,"",VLOOKUP(C89,'Tablas Magia'!$D$6:$Z$680,11,FALSE))</f>
        <v>#N/A</v>
      </c>
      <c r="G91" s="436" t="e">
        <f>IF(C89=0,"",VLOOKUP(C89,'Tablas Magia'!$D$6:$Z$680,15,FALSE))</f>
        <v>#N/A</v>
      </c>
      <c r="H91" s="6223" t="e">
        <f>IF(C89=0,"",VLOOKUP(C89,'Tablas Magia'!$D$6:$Z$680,19,FALSE))</f>
        <v>#N/A</v>
      </c>
      <c r="I91" s="6224"/>
      <c r="J91" s="6224"/>
      <c r="K91" s="6224"/>
      <c r="L91" s="6224"/>
      <c r="M91" s="6224"/>
      <c r="N91" s="6224"/>
      <c r="O91" s="6224"/>
      <c r="P91" s="6224"/>
      <c r="Q91" s="6225"/>
      <c r="R91" s="426"/>
      <c r="S91" s="420"/>
      <c r="T91" s="420"/>
      <c r="U91" s="854"/>
      <c r="V91" s="6190" t="s">
        <v>1368</v>
      </c>
      <c r="W91" s="6191"/>
      <c r="X91" s="435" t="e">
        <f>IF(V89=0,"",VLOOKUP(V89,'Tablas Magia'!$D$6:$Z$680,7,FALSE))</f>
        <v>#N/A</v>
      </c>
      <c r="Y91" s="435" t="e">
        <f>IF(V89=0,"",VLOOKUP(V89,'Tablas Magia'!$D$6:$Z$680,11,FALSE))</f>
        <v>#N/A</v>
      </c>
      <c r="Z91" s="436" t="e">
        <f>IF(V89=0,"",VLOOKUP(V89,'Tablas Magia'!$D$6:$Z$680,15,FALSE))</f>
        <v>#N/A</v>
      </c>
      <c r="AA91" s="6192" t="e">
        <f>IF(V89=0,"",VLOOKUP(V89,'Tablas Magia'!$D$6:$Z$680,19,FALSE))</f>
        <v>#N/A</v>
      </c>
      <c r="AB91" s="6193"/>
      <c r="AC91" s="6193"/>
      <c r="AD91" s="6193"/>
      <c r="AE91" s="6193"/>
      <c r="AF91" s="6193"/>
      <c r="AG91" s="6193"/>
      <c r="AH91" s="6193"/>
      <c r="AI91" s="6193"/>
      <c r="AJ91" s="6194"/>
      <c r="AK91" s="426"/>
      <c r="AL91" s="420"/>
    </row>
    <row r="92" spans="1:38" ht="12" customHeight="1" x14ac:dyDescent="0.2">
      <c r="A92" s="420"/>
      <c r="B92" s="854"/>
      <c r="C92" s="6185" t="s">
        <v>3233</v>
      </c>
      <c r="D92" s="6186"/>
      <c r="E92" s="2764" t="e">
        <f>IF(C89=0,"",VLOOKUP(C89,'Tablas Magia'!$D$6:$Z$680,8,FALSE))</f>
        <v>#N/A</v>
      </c>
      <c r="F92" s="2764" t="e">
        <f>IF(C89=0,"",VLOOKUP(C89,'Tablas Magia'!$D$6:$Z$680,12,FALSE))</f>
        <v>#N/A</v>
      </c>
      <c r="G92" s="438" t="e">
        <f>IF(C89=0,"",VLOOKUP(C89,'Tablas Magia'!$D$6:$Z$680,16,FALSE))</f>
        <v>#N/A</v>
      </c>
      <c r="H92" s="6187" t="e">
        <f>IF(C89=0,"",VLOOKUP(C89,'Tablas Magia'!$D$6:$Z$680,20,FALSE))</f>
        <v>#N/A</v>
      </c>
      <c r="I92" s="6217"/>
      <c r="J92" s="6217"/>
      <c r="K92" s="6217"/>
      <c r="L92" s="6217"/>
      <c r="M92" s="6217"/>
      <c r="N92" s="6217"/>
      <c r="O92" s="6217"/>
      <c r="P92" s="6217"/>
      <c r="Q92" s="6189"/>
      <c r="R92" s="426"/>
      <c r="S92" s="420"/>
      <c r="T92" s="420"/>
      <c r="U92" s="854"/>
      <c r="V92" s="6185" t="s">
        <v>3233</v>
      </c>
      <c r="W92" s="6186"/>
      <c r="X92" s="437" t="e">
        <f>IF(V89=0,"",VLOOKUP(V89,'Tablas Magia'!$D$6:$Z$680,8,FALSE))</f>
        <v>#N/A</v>
      </c>
      <c r="Y92" s="437" t="e">
        <f>IF(V89=0,"",VLOOKUP(V89,'Tablas Magia'!$D$6:$Z$680,12,FALSE))</f>
        <v>#N/A</v>
      </c>
      <c r="Z92" s="438" t="e">
        <f>IF(V89=0,"",VLOOKUP(V89,'Tablas Magia'!$D$6:$Z$680,16,FALSE))</f>
        <v>#N/A</v>
      </c>
      <c r="AA92" s="6187" t="e">
        <f>IF(V89=0,"",VLOOKUP(V89,'Tablas Magia'!$D$6:$Z$680,20,FALSE))</f>
        <v>#N/A</v>
      </c>
      <c r="AB92" s="6188"/>
      <c r="AC92" s="6188"/>
      <c r="AD92" s="6188"/>
      <c r="AE92" s="6188"/>
      <c r="AF92" s="6188"/>
      <c r="AG92" s="6188"/>
      <c r="AH92" s="6188"/>
      <c r="AI92" s="6188"/>
      <c r="AJ92" s="6189"/>
      <c r="AK92" s="426"/>
      <c r="AL92" s="420"/>
    </row>
    <row r="93" spans="1:38" ht="12" customHeight="1" x14ac:dyDescent="0.2">
      <c r="A93" s="420"/>
      <c r="B93" s="854"/>
      <c r="C93" s="6190" t="s">
        <v>3234</v>
      </c>
      <c r="D93" s="6191"/>
      <c r="E93" s="2763" t="e">
        <f>IF(C89=0,"",VLOOKUP(C89,'Tablas Magia'!$D$6:$Z$680,9,FALSE))</f>
        <v>#N/A</v>
      </c>
      <c r="F93" s="2763" t="e">
        <f>IF(C89=0,"",VLOOKUP(C89,'Tablas Magia'!$D$6:$Z$680,13,FALSE))</f>
        <v>#N/A</v>
      </c>
      <c r="G93" s="436" t="e">
        <f>IF(C89=0,"",VLOOKUP(C89,'Tablas Magia'!$D$6:$Z$680,17,FALSE))</f>
        <v>#N/A</v>
      </c>
      <c r="H93" s="6192" t="e">
        <f>IF(C89=0,"",VLOOKUP(C89,'Tablas Magia'!$D$6:$Z$680,21,FALSE))</f>
        <v>#N/A</v>
      </c>
      <c r="I93" s="6216"/>
      <c r="J93" s="6216"/>
      <c r="K93" s="6216"/>
      <c r="L93" s="6216"/>
      <c r="M93" s="6216"/>
      <c r="N93" s="6216"/>
      <c r="O93" s="6216"/>
      <c r="P93" s="6216"/>
      <c r="Q93" s="6194"/>
      <c r="R93" s="426"/>
      <c r="S93" s="420"/>
      <c r="T93" s="420"/>
      <c r="U93" s="854"/>
      <c r="V93" s="6190" t="s">
        <v>3234</v>
      </c>
      <c r="W93" s="6191"/>
      <c r="X93" s="435" t="e">
        <f>IF(V89=0,"",VLOOKUP(V89,'Tablas Magia'!$D$6:$Z$680,9,FALSE))</f>
        <v>#N/A</v>
      </c>
      <c r="Y93" s="435" t="e">
        <f>IF(V89=0,"",VLOOKUP(V89,'Tablas Magia'!$D$6:$Z$680,13,FALSE))</f>
        <v>#N/A</v>
      </c>
      <c r="Z93" s="436" t="e">
        <f>IF(V89=0,"",VLOOKUP(V89,'Tablas Magia'!$D$6:$Z$680,17,FALSE))</f>
        <v>#N/A</v>
      </c>
      <c r="AA93" s="6192" t="e">
        <f>IF(V89=0,"",VLOOKUP(V89,'Tablas Magia'!$D$6:$Z$680,21,FALSE))</f>
        <v>#N/A</v>
      </c>
      <c r="AB93" s="6193"/>
      <c r="AC93" s="6193"/>
      <c r="AD93" s="6193"/>
      <c r="AE93" s="6193"/>
      <c r="AF93" s="6193"/>
      <c r="AG93" s="6193"/>
      <c r="AH93" s="6193"/>
      <c r="AI93" s="6193"/>
      <c r="AJ93" s="6194"/>
      <c r="AK93" s="426"/>
      <c r="AL93" s="420"/>
    </row>
    <row r="94" spans="1:38" ht="12" customHeight="1" thickBot="1" x14ac:dyDescent="0.25">
      <c r="A94" s="420"/>
      <c r="B94" s="854"/>
      <c r="C94" s="6200" t="s">
        <v>3235</v>
      </c>
      <c r="D94" s="6201"/>
      <c r="E94" s="439" t="e">
        <f>IF(C89=0,"",VLOOKUP(C89,'Tablas Magia'!$D$6:$Z$680,10,FALSE))</f>
        <v>#N/A</v>
      </c>
      <c r="F94" s="439" t="e">
        <f>IF(C89=0,"",VLOOKUP(C89,'Tablas Magia'!$D$6:$Z$680,14,FALSE))</f>
        <v>#N/A</v>
      </c>
      <c r="G94" s="440" t="e">
        <f>IF(C89=0,"",VLOOKUP(C89,'Tablas Magia'!$D$6:$Z$680,18,FALSE))</f>
        <v>#N/A</v>
      </c>
      <c r="H94" s="6202" t="e">
        <f>IF(C89=0,"",VLOOKUP(C89,'Tablas Magia'!$D$6:$Z$680,22,FALSE))</f>
        <v>#N/A</v>
      </c>
      <c r="I94" s="6203"/>
      <c r="J94" s="6203"/>
      <c r="K94" s="6203"/>
      <c r="L94" s="6203"/>
      <c r="M94" s="6203"/>
      <c r="N94" s="6203"/>
      <c r="O94" s="6203"/>
      <c r="P94" s="6203"/>
      <c r="Q94" s="6204"/>
      <c r="R94" s="426"/>
      <c r="S94" s="420"/>
      <c r="T94" s="420"/>
      <c r="U94" s="854"/>
      <c r="V94" s="6200" t="s">
        <v>3235</v>
      </c>
      <c r="W94" s="6201"/>
      <c r="X94" s="439" t="e">
        <f>IF(V89=0,"",VLOOKUP(V89,'Tablas Magia'!$D$6:$Z$680,10,FALSE))</f>
        <v>#N/A</v>
      </c>
      <c r="Y94" s="439" t="e">
        <f>IF(V89=0,"",VLOOKUP(V89,'Tablas Magia'!$D$6:$Z$680,14,FALSE))</f>
        <v>#N/A</v>
      </c>
      <c r="Z94" s="440" t="e">
        <f>IF(V89=0,"",VLOOKUP(V89,'Tablas Magia'!$D$6:$Z$680,18,FALSE))</f>
        <v>#N/A</v>
      </c>
      <c r="AA94" s="6202" t="e">
        <f>IF(V89=0,"",VLOOKUP(V89,'Tablas Magia'!$D$6:$Z$680,22,FALSE))</f>
        <v>#N/A</v>
      </c>
      <c r="AB94" s="6203"/>
      <c r="AC94" s="6203"/>
      <c r="AD94" s="6203"/>
      <c r="AE94" s="6203"/>
      <c r="AF94" s="6203"/>
      <c r="AG94" s="6203"/>
      <c r="AH94" s="6203"/>
      <c r="AI94" s="6203"/>
      <c r="AJ94" s="6204"/>
      <c r="AK94" s="426"/>
      <c r="AL94" s="420"/>
    </row>
    <row r="95" spans="1:38" ht="12" customHeight="1" x14ac:dyDescent="0.2">
      <c r="A95" s="420"/>
      <c r="B95" s="854"/>
      <c r="C95" s="6205" t="e">
        <f>IF(C89=0,"",VLOOKUP(C89,'Tablas Magia'!$D$6:$Z$680,23,FALSE))</f>
        <v>#N/A</v>
      </c>
      <c r="D95" s="6206"/>
      <c r="E95" s="6206"/>
      <c r="F95" s="6206"/>
      <c r="G95" s="6206"/>
      <c r="H95" s="6206"/>
      <c r="I95" s="6206"/>
      <c r="J95" s="6206"/>
      <c r="K95" s="6206"/>
      <c r="L95" s="6206"/>
      <c r="M95" s="6206"/>
      <c r="N95" s="6206"/>
      <c r="O95" s="6206"/>
      <c r="P95" s="6206"/>
      <c r="Q95" s="6207"/>
      <c r="R95" s="426"/>
      <c r="S95" s="420"/>
      <c r="T95" s="420"/>
      <c r="U95" s="854"/>
      <c r="V95" s="6205" t="e">
        <f>IF(V89=0,"",VLOOKUP(V89,'Tablas Magia'!$D$6:$Z$680,23,FALSE))</f>
        <v>#N/A</v>
      </c>
      <c r="W95" s="6206"/>
      <c r="X95" s="6206"/>
      <c r="Y95" s="6206"/>
      <c r="Z95" s="6206"/>
      <c r="AA95" s="6206"/>
      <c r="AB95" s="6206"/>
      <c r="AC95" s="6206"/>
      <c r="AD95" s="6206"/>
      <c r="AE95" s="6206"/>
      <c r="AF95" s="6206"/>
      <c r="AG95" s="6206"/>
      <c r="AH95" s="6206"/>
      <c r="AI95" s="6206"/>
      <c r="AJ95" s="6207"/>
      <c r="AK95" s="426"/>
      <c r="AL95" s="420"/>
    </row>
    <row r="96" spans="1:38" ht="12" customHeight="1" x14ac:dyDescent="0.2">
      <c r="A96" s="420"/>
      <c r="B96" s="854"/>
      <c r="C96" s="6208"/>
      <c r="D96" s="6218"/>
      <c r="E96" s="6218"/>
      <c r="F96" s="6218"/>
      <c r="G96" s="6218"/>
      <c r="H96" s="6218"/>
      <c r="I96" s="6218"/>
      <c r="J96" s="6218"/>
      <c r="K96" s="6218"/>
      <c r="L96" s="6218"/>
      <c r="M96" s="6218"/>
      <c r="N96" s="6218"/>
      <c r="O96" s="6218"/>
      <c r="P96" s="6218"/>
      <c r="Q96" s="6210"/>
      <c r="R96" s="426"/>
      <c r="S96" s="420"/>
      <c r="T96" s="420"/>
      <c r="U96" s="854"/>
      <c r="V96" s="6208"/>
      <c r="W96" s="6209"/>
      <c r="X96" s="6209"/>
      <c r="Y96" s="6209"/>
      <c r="Z96" s="6209"/>
      <c r="AA96" s="6209"/>
      <c r="AB96" s="6209"/>
      <c r="AC96" s="6209"/>
      <c r="AD96" s="6209"/>
      <c r="AE96" s="6209"/>
      <c r="AF96" s="6209"/>
      <c r="AG96" s="6209"/>
      <c r="AH96" s="6209"/>
      <c r="AI96" s="6209"/>
      <c r="AJ96" s="6210"/>
      <c r="AK96" s="426"/>
      <c r="AL96" s="420"/>
    </row>
    <row r="97" spans="1:38" ht="12" customHeight="1" x14ac:dyDescent="0.2">
      <c r="A97" s="420"/>
      <c r="B97" s="854"/>
      <c r="C97" s="6208"/>
      <c r="D97" s="6218"/>
      <c r="E97" s="6218"/>
      <c r="F97" s="6218"/>
      <c r="G97" s="6218"/>
      <c r="H97" s="6218"/>
      <c r="I97" s="6218"/>
      <c r="J97" s="6218"/>
      <c r="K97" s="6218"/>
      <c r="L97" s="6218"/>
      <c r="M97" s="6218"/>
      <c r="N97" s="6218"/>
      <c r="O97" s="6218"/>
      <c r="P97" s="6218"/>
      <c r="Q97" s="6210"/>
      <c r="R97" s="426"/>
      <c r="S97" s="420"/>
      <c r="T97" s="420"/>
      <c r="U97" s="854"/>
      <c r="V97" s="6208"/>
      <c r="W97" s="6209"/>
      <c r="X97" s="6209"/>
      <c r="Y97" s="6209"/>
      <c r="Z97" s="6209"/>
      <c r="AA97" s="6209"/>
      <c r="AB97" s="6209"/>
      <c r="AC97" s="6209"/>
      <c r="AD97" s="6209"/>
      <c r="AE97" s="6209"/>
      <c r="AF97" s="6209"/>
      <c r="AG97" s="6209"/>
      <c r="AH97" s="6209"/>
      <c r="AI97" s="6209"/>
      <c r="AJ97" s="6210"/>
      <c r="AK97" s="426"/>
      <c r="AL97" s="420"/>
    </row>
    <row r="98" spans="1:38" ht="12" customHeight="1" thickBot="1" x14ac:dyDescent="0.25">
      <c r="A98" s="420"/>
      <c r="B98" s="854"/>
      <c r="C98" s="6211"/>
      <c r="D98" s="6212"/>
      <c r="E98" s="6212"/>
      <c r="F98" s="6212"/>
      <c r="G98" s="6212"/>
      <c r="H98" s="6212"/>
      <c r="I98" s="6212"/>
      <c r="J98" s="6212"/>
      <c r="K98" s="6212"/>
      <c r="L98" s="6212"/>
      <c r="M98" s="6212"/>
      <c r="N98" s="6212"/>
      <c r="O98" s="6212"/>
      <c r="P98" s="6212"/>
      <c r="Q98" s="6213"/>
      <c r="R98" s="426"/>
      <c r="S98" s="420"/>
      <c r="T98" s="420"/>
      <c r="U98" s="854"/>
      <c r="V98" s="6211"/>
      <c r="W98" s="6212"/>
      <c r="X98" s="6212"/>
      <c r="Y98" s="6212"/>
      <c r="Z98" s="6212"/>
      <c r="AA98" s="6212"/>
      <c r="AB98" s="6212"/>
      <c r="AC98" s="6212"/>
      <c r="AD98" s="6212"/>
      <c r="AE98" s="6212"/>
      <c r="AF98" s="6212"/>
      <c r="AG98" s="6212"/>
      <c r="AH98" s="6212"/>
      <c r="AI98" s="6212"/>
      <c r="AJ98" s="6213"/>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19"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20"/>
      <c r="E100" s="6220"/>
      <c r="F100" s="6220"/>
      <c r="G100" s="6221"/>
      <c r="H100" s="430" t="s">
        <v>1328</v>
      </c>
      <c r="I100" s="431">
        <f>B100</f>
        <v>26</v>
      </c>
      <c r="J100" s="6222" t="s">
        <v>6329</v>
      </c>
      <c r="K100" s="6222"/>
      <c r="L100" s="6222"/>
      <c r="M100" s="6183" t="e">
        <f>IF(C100=0,"",VLOOKUP(C100,'Tablas Magia'!$D$6:$Z$680,2,FALSE))</f>
        <v>#N/A</v>
      </c>
      <c r="N100" s="6183"/>
      <c r="O100" s="1853"/>
      <c r="P100" s="6214" t="str">
        <f>IFERROR(IF(M100="Libre Acceso","Aprendido",IF(IFERROR(VLOOKUP(M100,Místicos!$C$15:$H$25,6,0)&gt;=I100,FALSE),"Aprendido",IF(IFERROR(VLOOKUP(M100,Místicos!$E$15:$H$25,4,0)&gt;=I100,FALSE),"Aprendido",""))),"")</f>
        <v/>
      </c>
      <c r="Q100" s="6215"/>
      <c r="R100" s="426"/>
      <c r="S100" s="420"/>
      <c r="T100" s="420"/>
      <c r="U100" s="854">
        <f>U89+2</f>
        <v>36</v>
      </c>
      <c r="V100" s="6219"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30"/>
      <c r="X100" s="6230"/>
      <c r="Y100" s="6230"/>
      <c r="Z100" s="6230"/>
      <c r="AA100" s="430" t="s">
        <v>1328</v>
      </c>
      <c r="AB100" s="431">
        <f>U100</f>
        <v>36</v>
      </c>
      <c r="AC100" s="6222" t="s">
        <v>6329</v>
      </c>
      <c r="AD100" s="6222"/>
      <c r="AE100" s="6222"/>
      <c r="AF100" s="6183" t="e">
        <f>IF(V100=0,"",VLOOKUP(V100,'Tablas Magia'!$D$6:$Z$680,2,FALSE))</f>
        <v>#N/A</v>
      </c>
      <c r="AG100" s="6183"/>
      <c r="AH100" s="1853"/>
      <c r="AI100" s="6214" t="str">
        <f>IFERROR(IF(AF100="Libre Acceso","Aprendido",IF(IFERROR(VLOOKUP(AF100,Místicos!$C$15:$H$25,6,0)&gt;=AB100,FALSE),"Aprendido",IF(IFERROR(VLOOKUP(AF100,Místicos!$E$15:$H$25,4,0)&gt;=AB100,FALSE),"Aprendido",""))),"")</f>
        <v/>
      </c>
      <c r="AJ100" s="6215"/>
      <c r="AK100" s="426"/>
      <c r="AL100" s="420"/>
    </row>
    <row r="101" spans="1:38" ht="12" customHeight="1" x14ac:dyDescent="0.2">
      <c r="A101" s="420"/>
      <c r="B101" s="854"/>
      <c r="C101" s="6198" t="s">
        <v>6330</v>
      </c>
      <c r="D101" s="6228"/>
      <c r="E101" s="2760" t="s">
        <v>6331</v>
      </c>
      <c r="F101" s="2760" t="s">
        <v>1512</v>
      </c>
      <c r="G101" s="2760" t="s">
        <v>2862</v>
      </c>
      <c r="H101" s="2761" t="s">
        <v>1840</v>
      </c>
      <c r="I101" s="6226" t="e">
        <f>IF(C100=0,"",VLOOKUP(C100,'Tablas Magia'!$D$6:$Z$680,5,FALSE))</f>
        <v>#N/A</v>
      </c>
      <c r="J101" s="6226"/>
      <c r="K101" s="6229" t="s">
        <v>6332</v>
      </c>
      <c r="L101" s="6229"/>
      <c r="M101" s="6226" t="e">
        <f>IF(C100=0,"",VLOOKUP(C100,'Tablas Magia'!$D$6:$Z$680,6,FALSE))</f>
        <v>#N/A</v>
      </c>
      <c r="N101" s="6226"/>
      <c r="O101" s="6227" t="s">
        <v>6333</v>
      </c>
      <c r="P101" s="6227"/>
      <c r="Q101" s="2762" t="e">
        <f>IF(C100=0,"",VLOOKUP(C100,'Tablas Magia'!$D$6:$Z$680,4,FALSE))</f>
        <v>#N/A</v>
      </c>
      <c r="R101" s="426"/>
      <c r="S101" s="420"/>
      <c r="T101" s="420"/>
      <c r="U101" s="854"/>
      <c r="V101" s="6198" t="s">
        <v>6330</v>
      </c>
      <c r="W101" s="6231"/>
      <c r="X101" s="1862" t="s">
        <v>6331</v>
      </c>
      <c r="Y101" s="1862" t="s">
        <v>1512</v>
      </c>
      <c r="Z101" s="1862" t="s">
        <v>2862</v>
      </c>
      <c r="AA101" s="1863" t="s">
        <v>1840</v>
      </c>
      <c r="AB101" s="6232" t="e">
        <f>IF(V100=0,"",VLOOKUP(V100,'Tablas Magia'!$D$6:$Z$680,5,FALSE))</f>
        <v>#N/A</v>
      </c>
      <c r="AC101" s="6232"/>
      <c r="AD101" s="6233" t="s">
        <v>6332</v>
      </c>
      <c r="AE101" s="6233"/>
      <c r="AF101" s="6232" t="e">
        <f>IF(V100=0,"",VLOOKUP(V100,'Tablas Magia'!$D$6:$Z$680,6,FALSE))</f>
        <v>#N/A</v>
      </c>
      <c r="AG101" s="6232"/>
      <c r="AH101" s="6234" t="s">
        <v>6333</v>
      </c>
      <c r="AI101" s="6234"/>
      <c r="AJ101" s="1864" t="e">
        <f>IF(V100=0,"",VLOOKUP(V100,'Tablas Magia'!$D$6:$Z$680,4,FALSE))</f>
        <v>#N/A</v>
      </c>
      <c r="AK101" s="426"/>
      <c r="AL101" s="420"/>
    </row>
    <row r="102" spans="1:38" ht="12" customHeight="1" x14ac:dyDescent="0.2">
      <c r="A102" s="420"/>
      <c r="B102" s="854"/>
      <c r="C102" s="6238" t="s">
        <v>1368</v>
      </c>
      <c r="D102" s="6239"/>
      <c r="E102" s="2763" t="e">
        <f>IF(C100=0,"",VLOOKUP(C100,'Tablas Magia'!$D$6:$Z$680,7,FALSE))</f>
        <v>#N/A</v>
      </c>
      <c r="F102" s="2763" t="e">
        <f>IF(C100=0,"",VLOOKUP(C100,'Tablas Magia'!$D$6:$Z$680,11,FALSE))</f>
        <v>#N/A</v>
      </c>
      <c r="G102" s="436" t="e">
        <f>IF(C100=0,"",VLOOKUP(C100,'Tablas Magia'!$D$6:$Z$680,15,FALSE))</f>
        <v>#N/A</v>
      </c>
      <c r="H102" s="6223" t="e">
        <f>IF(C100=0,"",VLOOKUP(C100,'Tablas Magia'!$D$6:$Z$680,19,FALSE))</f>
        <v>#N/A</v>
      </c>
      <c r="I102" s="6224"/>
      <c r="J102" s="6224"/>
      <c r="K102" s="6224"/>
      <c r="L102" s="6224"/>
      <c r="M102" s="6224"/>
      <c r="N102" s="6224"/>
      <c r="O102" s="6224"/>
      <c r="P102" s="6224"/>
      <c r="Q102" s="6225"/>
      <c r="R102" s="426"/>
      <c r="S102" s="420"/>
      <c r="T102" s="420"/>
      <c r="U102" s="854"/>
      <c r="V102" s="6190" t="s">
        <v>1368</v>
      </c>
      <c r="W102" s="6191"/>
      <c r="X102" s="435" t="e">
        <f>IF(V100=0,"",VLOOKUP(V100,'Tablas Magia'!$D$6:$Z$680,7,FALSE))</f>
        <v>#N/A</v>
      </c>
      <c r="Y102" s="435" t="e">
        <f>IF(V100=0,"",VLOOKUP(V100,'Tablas Magia'!$D$6:$Z$680,11,FALSE))</f>
        <v>#N/A</v>
      </c>
      <c r="Z102" s="436" t="e">
        <f>IF(V100=0,"",VLOOKUP(V100,'Tablas Magia'!$D$6:$Z$680,15,FALSE))</f>
        <v>#N/A</v>
      </c>
      <c r="AA102" s="6192" t="e">
        <f>IF(V100=0,"",VLOOKUP(V100,'Tablas Magia'!$D$6:$Z$680,19,FALSE))</f>
        <v>#N/A</v>
      </c>
      <c r="AB102" s="6193"/>
      <c r="AC102" s="6193"/>
      <c r="AD102" s="6193"/>
      <c r="AE102" s="6193"/>
      <c r="AF102" s="6193"/>
      <c r="AG102" s="6193"/>
      <c r="AH102" s="6193"/>
      <c r="AI102" s="6193"/>
      <c r="AJ102" s="6194"/>
      <c r="AK102" s="426"/>
      <c r="AL102" s="420"/>
    </row>
    <row r="103" spans="1:38" ht="12" customHeight="1" x14ac:dyDescent="0.2">
      <c r="A103" s="420"/>
      <c r="B103" s="854"/>
      <c r="C103" s="6185" t="s">
        <v>3233</v>
      </c>
      <c r="D103" s="6186"/>
      <c r="E103" s="2764" t="e">
        <f>IF(C100=0,"",VLOOKUP(C100,'Tablas Magia'!$D$6:$Z$680,8,FALSE))</f>
        <v>#N/A</v>
      </c>
      <c r="F103" s="2764" t="e">
        <f>IF(C100=0,"",VLOOKUP(C100,'Tablas Magia'!$D$6:$Z$680,12,FALSE))</f>
        <v>#N/A</v>
      </c>
      <c r="G103" s="438" t="e">
        <f>IF(C100=0,"",VLOOKUP(C100,'Tablas Magia'!$D$6:$Z$680,16,FALSE))</f>
        <v>#N/A</v>
      </c>
      <c r="H103" s="6187" t="e">
        <f>IF(C100=0,"",VLOOKUP(C100,'Tablas Magia'!$D$6:$Z$680,20,FALSE))</f>
        <v>#N/A</v>
      </c>
      <c r="I103" s="6217"/>
      <c r="J103" s="6217"/>
      <c r="K103" s="6217"/>
      <c r="L103" s="6217"/>
      <c r="M103" s="6217"/>
      <c r="N103" s="6217"/>
      <c r="O103" s="6217"/>
      <c r="P103" s="6217"/>
      <c r="Q103" s="6189"/>
      <c r="R103" s="426"/>
      <c r="S103" s="420"/>
      <c r="T103" s="420"/>
      <c r="U103" s="854"/>
      <c r="V103" s="6185" t="s">
        <v>3233</v>
      </c>
      <c r="W103" s="6186"/>
      <c r="X103" s="437" t="e">
        <f>IF(V100=0,"",VLOOKUP(V100,'Tablas Magia'!$D$6:$Z$680,8,FALSE))</f>
        <v>#N/A</v>
      </c>
      <c r="Y103" s="437" t="e">
        <f>IF(V100=0,"",VLOOKUP(V100,'Tablas Magia'!$D$6:$Z$680,12,FALSE))</f>
        <v>#N/A</v>
      </c>
      <c r="Z103" s="438" t="e">
        <f>IF(V100=0,"",VLOOKUP(V100,'Tablas Magia'!$D$6:$Z$680,16,FALSE))</f>
        <v>#N/A</v>
      </c>
      <c r="AA103" s="6187" t="e">
        <f>IF(V100=0,"",VLOOKUP(V100,'Tablas Magia'!$D$6:$Z$680,20,FALSE))</f>
        <v>#N/A</v>
      </c>
      <c r="AB103" s="6188"/>
      <c r="AC103" s="6188"/>
      <c r="AD103" s="6188"/>
      <c r="AE103" s="6188"/>
      <c r="AF103" s="6188"/>
      <c r="AG103" s="6188"/>
      <c r="AH103" s="6188"/>
      <c r="AI103" s="6188"/>
      <c r="AJ103" s="6189"/>
      <c r="AK103" s="426"/>
      <c r="AL103" s="420"/>
    </row>
    <row r="104" spans="1:38" ht="12" customHeight="1" x14ac:dyDescent="0.2">
      <c r="A104" s="420"/>
      <c r="B104" s="854"/>
      <c r="C104" s="6190" t="s">
        <v>3234</v>
      </c>
      <c r="D104" s="6191"/>
      <c r="E104" s="2763" t="e">
        <f>IF(C100=0,"",VLOOKUP(C100,'Tablas Magia'!$D$6:$Z$680,9,FALSE))</f>
        <v>#N/A</v>
      </c>
      <c r="F104" s="2763" t="e">
        <f>IF(C100=0,"",VLOOKUP(C100,'Tablas Magia'!$D$6:$Z$680,13,FALSE))</f>
        <v>#N/A</v>
      </c>
      <c r="G104" s="436" t="e">
        <f>IF(C100=0,"",VLOOKUP(C100,'Tablas Magia'!$D$6:$Z$680,17,FALSE))</f>
        <v>#N/A</v>
      </c>
      <c r="H104" s="6192" t="e">
        <f>IF(C100=0,"",VLOOKUP(C100,'Tablas Magia'!$D$6:$Z$680,21,FALSE))</f>
        <v>#N/A</v>
      </c>
      <c r="I104" s="6216"/>
      <c r="J104" s="6216"/>
      <c r="K104" s="6216"/>
      <c r="L104" s="6216"/>
      <c r="M104" s="6216"/>
      <c r="N104" s="6216"/>
      <c r="O104" s="6216"/>
      <c r="P104" s="6216"/>
      <c r="Q104" s="6194"/>
      <c r="R104" s="426"/>
      <c r="S104" s="420"/>
      <c r="T104" s="420"/>
      <c r="U104" s="854"/>
      <c r="V104" s="6190" t="s">
        <v>3234</v>
      </c>
      <c r="W104" s="6191"/>
      <c r="X104" s="435" t="e">
        <f>IF(V100=0,"",VLOOKUP(V100,'Tablas Magia'!$D$6:$Z$680,9,FALSE))</f>
        <v>#N/A</v>
      </c>
      <c r="Y104" s="435" t="e">
        <f>IF(V100=0,"",VLOOKUP(V100,'Tablas Magia'!$D$6:$Z$680,13,FALSE))</f>
        <v>#N/A</v>
      </c>
      <c r="Z104" s="436" t="e">
        <f>IF(V100=0,"",VLOOKUP(V100,'Tablas Magia'!$D$6:$Z$680,17,FALSE))</f>
        <v>#N/A</v>
      </c>
      <c r="AA104" s="6192" t="e">
        <f>IF(V100=0,"",VLOOKUP(V100,'Tablas Magia'!$D$6:$Z$680,21,FALSE))</f>
        <v>#N/A</v>
      </c>
      <c r="AB104" s="6193"/>
      <c r="AC104" s="6193"/>
      <c r="AD104" s="6193"/>
      <c r="AE104" s="6193"/>
      <c r="AF104" s="6193"/>
      <c r="AG104" s="6193"/>
      <c r="AH104" s="6193"/>
      <c r="AI104" s="6193"/>
      <c r="AJ104" s="6194"/>
      <c r="AK104" s="426"/>
      <c r="AL104" s="420"/>
    </row>
    <row r="105" spans="1:38" ht="12" customHeight="1" thickBot="1" x14ac:dyDescent="0.25">
      <c r="A105" s="420"/>
      <c r="B105" s="854"/>
      <c r="C105" s="6200" t="s">
        <v>3235</v>
      </c>
      <c r="D105" s="6201"/>
      <c r="E105" s="439" t="e">
        <f>IF(C100=0,"",VLOOKUP(C100,'Tablas Magia'!$D$6:$Z$680,10,FALSE))</f>
        <v>#N/A</v>
      </c>
      <c r="F105" s="439" t="e">
        <f>IF(C100=0,"",VLOOKUP(C100,'Tablas Magia'!$D$6:$Z$680,14,FALSE))</f>
        <v>#N/A</v>
      </c>
      <c r="G105" s="440" t="e">
        <f>IF(C100=0,"",VLOOKUP(C100,'Tablas Magia'!$D$6:$Z$680,18,FALSE))</f>
        <v>#N/A</v>
      </c>
      <c r="H105" s="6202" t="e">
        <f>IF(C100=0,"",VLOOKUP(C100,'Tablas Magia'!$D$6:$Z$680,22,FALSE))</f>
        <v>#N/A</v>
      </c>
      <c r="I105" s="6203"/>
      <c r="J105" s="6203"/>
      <c r="K105" s="6203"/>
      <c r="L105" s="6203"/>
      <c r="M105" s="6203"/>
      <c r="N105" s="6203"/>
      <c r="O105" s="6203"/>
      <c r="P105" s="6203"/>
      <c r="Q105" s="6204"/>
      <c r="R105" s="426"/>
      <c r="S105" s="420"/>
      <c r="T105" s="420"/>
      <c r="U105" s="854"/>
      <c r="V105" s="6200" t="s">
        <v>3235</v>
      </c>
      <c r="W105" s="6201"/>
      <c r="X105" s="439" t="e">
        <f>IF(V100=0,"",VLOOKUP(V100,'Tablas Magia'!$D$6:$Z$680,10,FALSE))</f>
        <v>#N/A</v>
      </c>
      <c r="Y105" s="439" t="e">
        <f>IF(V100=0,"",VLOOKUP(V100,'Tablas Magia'!$D$6:$Z$680,14,FALSE))</f>
        <v>#N/A</v>
      </c>
      <c r="Z105" s="440" t="e">
        <f>IF(V100=0,"",VLOOKUP(V100,'Tablas Magia'!$D$6:$Z$680,18,FALSE))</f>
        <v>#N/A</v>
      </c>
      <c r="AA105" s="6202" t="e">
        <f>IF(V100=0,"",VLOOKUP(V100,'Tablas Magia'!$D$6:$Z$680,22,FALSE))</f>
        <v>#N/A</v>
      </c>
      <c r="AB105" s="6203"/>
      <c r="AC105" s="6203"/>
      <c r="AD105" s="6203"/>
      <c r="AE105" s="6203"/>
      <c r="AF105" s="6203"/>
      <c r="AG105" s="6203"/>
      <c r="AH105" s="6203"/>
      <c r="AI105" s="6203"/>
      <c r="AJ105" s="6204"/>
      <c r="AK105" s="426"/>
      <c r="AL105" s="420"/>
    </row>
    <row r="106" spans="1:38" ht="12" customHeight="1" x14ac:dyDescent="0.2">
      <c r="A106" s="420"/>
      <c r="B106" s="854"/>
      <c r="C106" s="6205" t="e">
        <f>IF(C100=0,"",VLOOKUP(C100,'Tablas Magia'!$D$6:$Z$680,23,FALSE))</f>
        <v>#N/A</v>
      </c>
      <c r="D106" s="6206"/>
      <c r="E106" s="6206"/>
      <c r="F106" s="6206"/>
      <c r="G106" s="6206"/>
      <c r="H106" s="6206"/>
      <c r="I106" s="6206"/>
      <c r="J106" s="6206"/>
      <c r="K106" s="6206"/>
      <c r="L106" s="6206"/>
      <c r="M106" s="6206"/>
      <c r="N106" s="6206"/>
      <c r="O106" s="6206"/>
      <c r="P106" s="6206"/>
      <c r="Q106" s="6207"/>
      <c r="R106" s="426"/>
      <c r="S106" s="420"/>
      <c r="T106" s="420"/>
      <c r="U106" s="854"/>
      <c r="V106" s="6205" t="e">
        <f>IF(V100=0,"",VLOOKUP(V100,'Tablas Magia'!$D$6:$Z$680,23,FALSE))</f>
        <v>#N/A</v>
      </c>
      <c r="W106" s="6206"/>
      <c r="X106" s="6206"/>
      <c r="Y106" s="6206"/>
      <c r="Z106" s="6206"/>
      <c r="AA106" s="6206"/>
      <c r="AB106" s="6206"/>
      <c r="AC106" s="6206"/>
      <c r="AD106" s="6206"/>
      <c r="AE106" s="6206"/>
      <c r="AF106" s="6206"/>
      <c r="AG106" s="6206"/>
      <c r="AH106" s="6206"/>
      <c r="AI106" s="6206"/>
      <c r="AJ106" s="6207"/>
      <c r="AK106" s="426"/>
      <c r="AL106" s="420"/>
    </row>
    <row r="107" spans="1:38" ht="12" customHeight="1" x14ac:dyDescent="0.2">
      <c r="A107" s="420"/>
      <c r="B107" s="854"/>
      <c r="C107" s="6208"/>
      <c r="D107" s="6218"/>
      <c r="E107" s="6218"/>
      <c r="F107" s="6218"/>
      <c r="G107" s="6218"/>
      <c r="H107" s="6218"/>
      <c r="I107" s="6218"/>
      <c r="J107" s="6218"/>
      <c r="K107" s="6218"/>
      <c r="L107" s="6218"/>
      <c r="M107" s="6218"/>
      <c r="N107" s="6218"/>
      <c r="O107" s="6218"/>
      <c r="P107" s="6218"/>
      <c r="Q107" s="6210"/>
      <c r="R107" s="426"/>
      <c r="S107" s="420"/>
      <c r="T107" s="420"/>
      <c r="U107" s="854"/>
      <c r="V107" s="6208"/>
      <c r="W107" s="6209"/>
      <c r="X107" s="6209"/>
      <c r="Y107" s="6209"/>
      <c r="Z107" s="6209"/>
      <c r="AA107" s="6209"/>
      <c r="AB107" s="6209"/>
      <c r="AC107" s="6209"/>
      <c r="AD107" s="6209"/>
      <c r="AE107" s="6209"/>
      <c r="AF107" s="6209"/>
      <c r="AG107" s="6209"/>
      <c r="AH107" s="6209"/>
      <c r="AI107" s="6209"/>
      <c r="AJ107" s="6210"/>
      <c r="AK107" s="426"/>
      <c r="AL107" s="420"/>
    </row>
    <row r="108" spans="1:38" ht="12" customHeight="1" x14ac:dyDescent="0.2">
      <c r="A108" s="420"/>
      <c r="B108" s="854"/>
      <c r="C108" s="6208"/>
      <c r="D108" s="6218"/>
      <c r="E108" s="6218"/>
      <c r="F108" s="6218"/>
      <c r="G108" s="6218"/>
      <c r="H108" s="6218"/>
      <c r="I108" s="6218"/>
      <c r="J108" s="6218"/>
      <c r="K108" s="6218"/>
      <c r="L108" s="6218"/>
      <c r="M108" s="6218"/>
      <c r="N108" s="6218"/>
      <c r="O108" s="6218"/>
      <c r="P108" s="6218"/>
      <c r="Q108" s="6210"/>
      <c r="R108" s="426"/>
      <c r="S108" s="420"/>
      <c r="T108" s="420"/>
      <c r="U108" s="854"/>
      <c r="V108" s="6208"/>
      <c r="W108" s="6209"/>
      <c r="X108" s="6209"/>
      <c r="Y108" s="6209"/>
      <c r="Z108" s="6209"/>
      <c r="AA108" s="6209"/>
      <c r="AB108" s="6209"/>
      <c r="AC108" s="6209"/>
      <c r="AD108" s="6209"/>
      <c r="AE108" s="6209"/>
      <c r="AF108" s="6209"/>
      <c r="AG108" s="6209"/>
      <c r="AH108" s="6209"/>
      <c r="AI108" s="6209"/>
      <c r="AJ108" s="6210"/>
      <c r="AK108" s="426"/>
      <c r="AL108" s="420"/>
    </row>
    <row r="109" spans="1:38" ht="12" customHeight="1" thickBot="1" x14ac:dyDescent="0.25">
      <c r="A109" s="420"/>
      <c r="B109" s="854"/>
      <c r="C109" s="6211"/>
      <c r="D109" s="6212"/>
      <c r="E109" s="6212"/>
      <c r="F109" s="6212"/>
      <c r="G109" s="6212"/>
      <c r="H109" s="6212"/>
      <c r="I109" s="6212"/>
      <c r="J109" s="6212"/>
      <c r="K109" s="6212"/>
      <c r="L109" s="6212"/>
      <c r="M109" s="6212"/>
      <c r="N109" s="6212"/>
      <c r="O109" s="6212"/>
      <c r="P109" s="6212"/>
      <c r="Q109" s="6213"/>
      <c r="R109" s="426"/>
      <c r="S109" s="420"/>
      <c r="T109" s="420"/>
      <c r="U109" s="854"/>
      <c r="V109" s="6211"/>
      <c r="W109" s="6212"/>
      <c r="X109" s="6212"/>
      <c r="Y109" s="6212"/>
      <c r="Z109" s="6212"/>
      <c r="AA109" s="6212"/>
      <c r="AB109" s="6212"/>
      <c r="AC109" s="6212"/>
      <c r="AD109" s="6212"/>
      <c r="AE109" s="6212"/>
      <c r="AF109" s="6212"/>
      <c r="AG109" s="6212"/>
      <c r="AH109" s="6212"/>
      <c r="AI109" s="6212"/>
      <c r="AJ109" s="6213"/>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19"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20"/>
      <c r="E111" s="6220"/>
      <c r="F111" s="6220"/>
      <c r="G111" s="6221"/>
      <c r="H111" s="430" t="s">
        <v>1328</v>
      </c>
      <c r="I111" s="431">
        <f>B111</f>
        <v>28</v>
      </c>
      <c r="J111" s="6222" t="s">
        <v>6329</v>
      </c>
      <c r="K111" s="6222"/>
      <c r="L111" s="6222"/>
      <c r="M111" s="6183" t="e">
        <f>IF(C111=0,"",VLOOKUP(C111,'Tablas Magia'!$D$6:$Z$680,2,FALSE))</f>
        <v>#N/A</v>
      </c>
      <c r="N111" s="6183"/>
      <c r="O111" s="1853"/>
      <c r="P111" s="6214" t="str">
        <f>IFERROR(IF(M111="Libre Acceso","Aprendido",IF(IFERROR(VLOOKUP(M111,Místicos!$C$15:$H$25,6,0)&gt;=I111,FALSE),"Aprendido",IF(IFERROR(VLOOKUP(M111,Místicos!$E$15:$H$25,4,0)&gt;=I111,FALSE),"Aprendido",""))),"")</f>
        <v/>
      </c>
      <c r="Q111" s="6215"/>
      <c r="R111" s="426"/>
      <c r="S111" s="420"/>
      <c r="T111" s="420"/>
      <c r="U111" s="854">
        <f>U100+2</f>
        <v>38</v>
      </c>
      <c r="V111" s="6219"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30"/>
      <c r="X111" s="6230"/>
      <c r="Y111" s="6230"/>
      <c r="Z111" s="6230"/>
      <c r="AA111" s="430" t="s">
        <v>1328</v>
      </c>
      <c r="AB111" s="431">
        <f>U111</f>
        <v>38</v>
      </c>
      <c r="AC111" s="6222" t="s">
        <v>6329</v>
      </c>
      <c r="AD111" s="6222"/>
      <c r="AE111" s="6222"/>
      <c r="AF111" s="6183" t="e">
        <f>IF(V111=0,"",VLOOKUP(V111,'Tablas Magia'!$D$6:$Z$680,2,FALSE))</f>
        <v>#N/A</v>
      </c>
      <c r="AG111" s="6183"/>
      <c r="AH111" s="1853"/>
      <c r="AI111" s="6214" t="str">
        <f>IFERROR(IF(AF111="Libre Acceso","Aprendido",IF(IFERROR(VLOOKUP(AF111,Místicos!$C$15:$H$25,6,0)&gt;=AB111,FALSE),"Aprendido",IF(IFERROR(VLOOKUP(AF111,Místicos!$E$15:$H$25,4,0)&gt;=AB111,FALSE),"Aprendido",""))),"")</f>
        <v/>
      </c>
      <c r="AJ111" s="6215"/>
      <c r="AK111" s="426"/>
      <c r="AL111" s="420"/>
    </row>
    <row r="112" spans="1:38" ht="12" customHeight="1" x14ac:dyDescent="0.2">
      <c r="A112" s="420"/>
      <c r="B112" s="854"/>
      <c r="C112" s="6198" t="s">
        <v>6330</v>
      </c>
      <c r="D112" s="6228"/>
      <c r="E112" s="2760" t="s">
        <v>6331</v>
      </c>
      <c r="F112" s="2760" t="s">
        <v>1512</v>
      </c>
      <c r="G112" s="2760" t="s">
        <v>2862</v>
      </c>
      <c r="H112" s="2761" t="s">
        <v>1840</v>
      </c>
      <c r="I112" s="6226" t="e">
        <f>IF(C111=0,"",VLOOKUP(C111,'Tablas Magia'!$D$6:$Z$680,5,FALSE))</f>
        <v>#N/A</v>
      </c>
      <c r="J112" s="6226"/>
      <c r="K112" s="6229" t="s">
        <v>6332</v>
      </c>
      <c r="L112" s="6229"/>
      <c r="M112" s="6226" t="e">
        <f>IF(C111=0,"",VLOOKUP(C111,'Tablas Magia'!$D$6:$Z$680,6,FALSE))</f>
        <v>#N/A</v>
      </c>
      <c r="N112" s="6226"/>
      <c r="O112" s="6227" t="s">
        <v>6333</v>
      </c>
      <c r="P112" s="6227"/>
      <c r="Q112" s="2762" t="e">
        <f>IF(C111=0,"",VLOOKUP(C111,'Tablas Magia'!$D$6:$Z$680,4,FALSE))</f>
        <v>#N/A</v>
      </c>
      <c r="R112" s="426"/>
      <c r="S112" s="420"/>
      <c r="T112" s="420"/>
      <c r="U112" s="854"/>
      <c r="V112" s="6198" t="s">
        <v>6330</v>
      </c>
      <c r="W112" s="6231"/>
      <c r="X112" s="1862" t="s">
        <v>6331</v>
      </c>
      <c r="Y112" s="1862" t="s">
        <v>1512</v>
      </c>
      <c r="Z112" s="1862" t="s">
        <v>2862</v>
      </c>
      <c r="AA112" s="1863" t="s">
        <v>1840</v>
      </c>
      <c r="AB112" s="6232" t="e">
        <f>IF(V111=0,"",VLOOKUP(V111,'Tablas Magia'!$D$6:$Z$680,5,FALSE))</f>
        <v>#N/A</v>
      </c>
      <c r="AC112" s="6232"/>
      <c r="AD112" s="6233" t="s">
        <v>6332</v>
      </c>
      <c r="AE112" s="6233"/>
      <c r="AF112" s="6232" t="e">
        <f>IF(V111=0,"",VLOOKUP(V111,'Tablas Magia'!$D$6:$Z$680,6,FALSE))</f>
        <v>#N/A</v>
      </c>
      <c r="AG112" s="6232"/>
      <c r="AH112" s="6234" t="s">
        <v>6333</v>
      </c>
      <c r="AI112" s="6234"/>
      <c r="AJ112" s="1864" t="e">
        <f>IF(V111=0,"",VLOOKUP(V111,'Tablas Magia'!$D$6:$Z$680,4,FALSE))</f>
        <v>#N/A</v>
      </c>
      <c r="AK112" s="426"/>
      <c r="AL112" s="420"/>
    </row>
    <row r="113" spans="1:38" ht="12" customHeight="1" x14ac:dyDescent="0.2">
      <c r="A113" s="420"/>
      <c r="B113" s="854"/>
      <c r="C113" s="6238" t="s">
        <v>1368</v>
      </c>
      <c r="D113" s="6239"/>
      <c r="E113" s="2763" t="e">
        <f>IF(C111=0,"",VLOOKUP(C111,'Tablas Magia'!$D$6:$Z$680,7,FALSE))</f>
        <v>#N/A</v>
      </c>
      <c r="F113" s="2763" t="e">
        <f>IF(C111=0,"",VLOOKUP(C111,'Tablas Magia'!$D$6:$Z$680,11,FALSE))</f>
        <v>#N/A</v>
      </c>
      <c r="G113" s="436" t="e">
        <f>IF(C111=0,"",VLOOKUP(C111,'Tablas Magia'!$D$6:$Z$680,15,FALSE))</f>
        <v>#N/A</v>
      </c>
      <c r="H113" s="6223" t="e">
        <f>IF(C111=0,"",VLOOKUP(C111,'Tablas Magia'!$D$6:$Z$680,19,FALSE))</f>
        <v>#N/A</v>
      </c>
      <c r="I113" s="6224"/>
      <c r="J113" s="6224"/>
      <c r="K113" s="6224"/>
      <c r="L113" s="6224"/>
      <c r="M113" s="6224"/>
      <c r="N113" s="6224"/>
      <c r="O113" s="6224"/>
      <c r="P113" s="6224"/>
      <c r="Q113" s="6225"/>
      <c r="R113" s="426"/>
      <c r="S113" s="420"/>
      <c r="T113" s="420"/>
      <c r="U113" s="854"/>
      <c r="V113" s="6190" t="s">
        <v>1368</v>
      </c>
      <c r="W113" s="6191"/>
      <c r="X113" s="435" t="e">
        <f>IF(V111=0,"",VLOOKUP(V111,'Tablas Magia'!$D$6:$Z$680,7,FALSE))</f>
        <v>#N/A</v>
      </c>
      <c r="Y113" s="435" t="e">
        <f>IF(V111=0,"",VLOOKUP(V111,'Tablas Magia'!$D$6:$Z$680,11,FALSE))</f>
        <v>#N/A</v>
      </c>
      <c r="Z113" s="436" t="e">
        <f>IF(V111=0,"",VLOOKUP(V111,'Tablas Magia'!$D$6:$Z$680,15,FALSE))</f>
        <v>#N/A</v>
      </c>
      <c r="AA113" s="6192" t="e">
        <f>IF(V111=0,"",VLOOKUP(V111,'Tablas Magia'!$D$6:$Z$680,19,FALSE))</f>
        <v>#N/A</v>
      </c>
      <c r="AB113" s="6193"/>
      <c r="AC113" s="6193"/>
      <c r="AD113" s="6193"/>
      <c r="AE113" s="6193"/>
      <c r="AF113" s="6193"/>
      <c r="AG113" s="6193"/>
      <c r="AH113" s="6193"/>
      <c r="AI113" s="6193"/>
      <c r="AJ113" s="6194"/>
      <c r="AK113" s="426"/>
      <c r="AL113" s="420"/>
    </row>
    <row r="114" spans="1:38" ht="12" customHeight="1" x14ac:dyDescent="0.2">
      <c r="A114" s="420"/>
      <c r="B114" s="854"/>
      <c r="C114" s="6185" t="s">
        <v>3233</v>
      </c>
      <c r="D114" s="6186"/>
      <c r="E114" s="2764" t="e">
        <f>IF(C111=0,"",VLOOKUP(C111,'Tablas Magia'!$D$6:$Z$680,8,FALSE))</f>
        <v>#N/A</v>
      </c>
      <c r="F114" s="2764" t="e">
        <f>IF(C111=0,"",VLOOKUP(C111,'Tablas Magia'!$D$6:$Z$680,12,FALSE))</f>
        <v>#N/A</v>
      </c>
      <c r="G114" s="438" t="e">
        <f>IF(C111=0,"",VLOOKUP(C111,'Tablas Magia'!$D$6:$Z$680,16,FALSE))</f>
        <v>#N/A</v>
      </c>
      <c r="H114" s="6187" t="e">
        <f>IF(C111=0,"",VLOOKUP(C111,'Tablas Magia'!$D$6:$Z$680,20,FALSE))</f>
        <v>#N/A</v>
      </c>
      <c r="I114" s="6217"/>
      <c r="J114" s="6217"/>
      <c r="K114" s="6217"/>
      <c r="L114" s="6217"/>
      <c r="M114" s="6217"/>
      <c r="N114" s="6217"/>
      <c r="O114" s="6217"/>
      <c r="P114" s="6217"/>
      <c r="Q114" s="6189"/>
      <c r="R114" s="426"/>
      <c r="S114" s="420"/>
      <c r="T114" s="420"/>
      <c r="U114" s="854"/>
      <c r="V114" s="6185" t="s">
        <v>3233</v>
      </c>
      <c r="W114" s="6186"/>
      <c r="X114" s="437" t="e">
        <f>IF(V111=0,"",VLOOKUP(V111,'Tablas Magia'!$D$6:$Z$680,8,FALSE))</f>
        <v>#N/A</v>
      </c>
      <c r="Y114" s="437" t="e">
        <f>IF(V111=0,"",VLOOKUP(V111,'Tablas Magia'!$D$6:$Z$680,12,FALSE))</f>
        <v>#N/A</v>
      </c>
      <c r="Z114" s="438" t="e">
        <f>IF(V111=0,"",VLOOKUP(V111,'Tablas Magia'!$D$6:$Z$680,16,FALSE))</f>
        <v>#N/A</v>
      </c>
      <c r="AA114" s="6187" t="e">
        <f>IF(V111=0,"",VLOOKUP(V111,'Tablas Magia'!$D$6:$Z$680,20,FALSE))</f>
        <v>#N/A</v>
      </c>
      <c r="AB114" s="6188"/>
      <c r="AC114" s="6188"/>
      <c r="AD114" s="6188"/>
      <c r="AE114" s="6188"/>
      <c r="AF114" s="6188"/>
      <c r="AG114" s="6188"/>
      <c r="AH114" s="6188"/>
      <c r="AI114" s="6188"/>
      <c r="AJ114" s="6189"/>
      <c r="AK114" s="426"/>
      <c r="AL114" s="420"/>
    </row>
    <row r="115" spans="1:38" ht="12" customHeight="1" x14ac:dyDescent="0.2">
      <c r="A115" s="420"/>
      <c r="B115" s="854"/>
      <c r="C115" s="6190" t="s">
        <v>3234</v>
      </c>
      <c r="D115" s="6191"/>
      <c r="E115" s="2763" t="e">
        <f>IF(C111=0,"",VLOOKUP(C111,'Tablas Magia'!$D$6:$Z$680,9,FALSE))</f>
        <v>#N/A</v>
      </c>
      <c r="F115" s="2763" t="e">
        <f>IF(C111=0,"",VLOOKUP(C111,'Tablas Magia'!$D$6:$Z$680,13,FALSE))</f>
        <v>#N/A</v>
      </c>
      <c r="G115" s="436" t="e">
        <f>IF(C111=0,"",VLOOKUP(C111,'Tablas Magia'!$D$6:$Z$680,17,FALSE))</f>
        <v>#N/A</v>
      </c>
      <c r="H115" s="6192" t="e">
        <f>IF(C111=0,"",VLOOKUP(C111,'Tablas Magia'!$D$6:$Z$680,21,FALSE))</f>
        <v>#N/A</v>
      </c>
      <c r="I115" s="6216"/>
      <c r="J115" s="6216"/>
      <c r="K115" s="6216"/>
      <c r="L115" s="6216"/>
      <c r="M115" s="6216"/>
      <c r="N115" s="6216"/>
      <c r="O115" s="6216"/>
      <c r="P115" s="6216"/>
      <c r="Q115" s="6194"/>
      <c r="R115" s="426"/>
      <c r="S115" s="420"/>
      <c r="T115" s="420"/>
      <c r="U115" s="854"/>
      <c r="V115" s="6190" t="s">
        <v>3234</v>
      </c>
      <c r="W115" s="6191"/>
      <c r="X115" s="435" t="e">
        <f>IF(V111=0,"",VLOOKUP(V111,'Tablas Magia'!$D$6:$Z$680,9,FALSE))</f>
        <v>#N/A</v>
      </c>
      <c r="Y115" s="435" t="e">
        <f>IF(V111=0,"",VLOOKUP(V111,'Tablas Magia'!$D$6:$Z$680,13,FALSE))</f>
        <v>#N/A</v>
      </c>
      <c r="Z115" s="436" t="e">
        <f>IF(V111=0,"",VLOOKUP(V111,'Tablas Magia'!$D$6:$Z$680,17,FALSE))</f>
        <v>#N/A</v>
      </c>
      <c r="AA115" s="6192" t="e">
        <f>IF(V111=0,"",VLOOKUP(V111,'Tablas Magia'!$D$6:$Z$680,21,FALSE))</f>
        <v>#N/A</v>
      </c>
      <c r="AB115" s="6193"/>
      <c r="AC115" s="6193"/>
      <c r="AD115" s="6193"/>
      <c r="AE115" s="6193"/>
      <c r="AF115" s="6193"/>
      <c r="AG115" s="6193"/>
      <c r="AH115" s="6193"/>
      <c r="AI115" s="6193"/>
      <c r="AJ115" s="6194"/>
      <c r="AK115" s="426"/>
      <c r="AL115" s="420"/>
    </row>
    <row r="116" spans="1:38" ht="12" customHeight="1" thickBot="1" x14ac:dyDescent="0.25">
      <c r="A116" s="420"/>
      <c r="B116" s="854"/>
      <c r="C116" s="6200" t="s">
        <v>3235</v>
      </c>
      <c r="D116" s="6201"/>
      <c r="E116" s="439" t="e">
        <f>IF(C111=0,"",VLOOKUP(C111,'Tablas Magia'!$D$6:$Z$680,10,FALSE))</f>
        <v>#N/A</v>
      </c>
      <c r="F116" s="439" t="e">
        <f>IF(C111=0,"",VLOOKUP(C111,'Tablas Magia'!$D$6:$Z$680,14,FALSE))</f>
        <v>#N/A</v>
      </c>
      <c r="G116" s="440" t="e">
        <f>IF(C111=0,"",VLOOKUP(C111,'Tablas Magia'!$D$6:$Z$680,18,FALSE))</f>
        <v>#N/A</v>
      </c>
      <c r="H116" s="6202" t="e">
        <f>IF(C111=0,"",VLOOKUP(C111,'Tablas Magia'!$D$6:$Z$680,22,FALSE))</f>
        <v>#N/A</v>
      </c>
      <c r="I116" s="6203"/>
      <c r="J116" s="6203"/>
      <c r="K116" s="6203"/>
      <c r="L116" s="6203"/>
      <c r="M116" s="6203"/>
      <c r="N116" s="6203"/>
      <c r="O116" s="6203"/>
      <c r="P116" s="6203"/>
      <c r="Q116" s="6204"/>
      <c r="R116" s="426"/>
      <c r="S116" s="420"/>
      <c r="T116" s="420"/>
      <c r="U116" s="854"/>
      <c r="V116" s="6200" t="s">
        <v>3235</v>
      </c>
      <c r="W116" s="6201"/>
      <c r="X116" s="439" t="e">
        <f>IF(V111=0,"",VLOOKUP(V111,'Tablas Magia'!$D$6:$Z$680,10,FALSE))</f>
        <v>#N/A</v>
      </c>
      <c r="Y116" s="439" t="e">
        <f>IF(V111=0,"",VLOOKUP(V111,'Tablas Magia'!$D$6:$Z$680,14,FALSE))</f>
        <v>#N/A</v>
      </c>
      <c r="Z116" s="440" t="e">
        <f>IF(V111=0,"",VLOOKUP(V111,'Tablas Magia'!$D$6:$Z$680,18,FALSE))</f>
        <v>#N/A</v>
      </c>
      <c r="AA116" s="6202" t="e">
        <f>IF(V111=0,"",VLOOKUP(V111,'Tablas Magia'!$D$6:$Z$680,22,FALSE))</f>
        <v>#N/A</v>
      </c>
      <c r="AB116" s="6203"/>
      <c r="AC116" s="6203"/>
      <c r="AD116" s="6203"/>
      <c r="AE116" s="6203"/>
      <c r="AF116" s="6203"/>
      <c r="AG116" s="6203"/>
      <c r="AH116" s="6203"/>
      <c r="AI116" s="6203"/>
      <c r="AJ116" s="6204"/>
      <c r="AK116" s="426"/>
      <c r="AL116" s="420"/>
    </row>
    <row r="117" spans="1:38" ht="12" customHeight="1" x14ac:dyDescent="0.2">
      <c r="A117" s="420"/>
      <c r="B117" s="854"/>
      <c r="C117" s="6205" t="e">
        <f>IF(C111=0,"",VLOOKUP(C111,'Tablas Magia'!$D$6:$Z$680,23,FALSE))</f>
        <v>#N/A</v>
      </c>
      <c r="D117" s="6206"/>
      <c r="E117" s="6206"/>
      <c r="F117" s="6206"/>
      <c r="G117" s="6206"/>
      <c r="H117" s="6206"/>
      <c r="I117" s="6206"/>
      <c r="J117" s="6206"/>
      <c r="K117" s="6206"/>
      <c r="L117" s="6206"/>
      <c r="M117" s="6206"/>
      <c r="N117" s="6206"/>
      <c r="O117" s="6206"/>
      <c r="P117" s="6206"/>
      <c r="Q117" s="6207"/>
      <c r="R117" s="426"/>
      <c r="S117" s="420"/>
      <c r="T117" s="420"/>
      <c r="U117" s="854"/>
      <c r="V117" s="6205" t="e">
        <f>IF(V111=0,"",VLOOKUP(V111,'Tablas Magia'!$D$6:$Z$680,23,FALSE))</f>
        <v>#N/A</v>
      </c>
      <c r="W117" s="6206"/>
      <c r="X117" s="6206"/>
      <c r="Y117" s="6206"/>
      <c r="Z117" s="6206"/>
      <c r="AA117" s="6206"/>
      <c r="AB117" s="6206"/>
      <c r="AC117" s="6206"/>
      <c r="AD117" s="6206"/>
      <c r="AE117" s="6206"/>
      <c r="AF117" s="6206"/>
      <c r="AG117" s="6206"/>
      <c r="AH117" s="6206"/>
      <c r="AI117" s="6206"/>
      <c r="AJ117" s="6207"/>
      <c r="AK117" s="426"/>
      <c r="AL117" s="420"/>
    </row>
    <row r="118" spans="1:38" ht="12" customHeight="1" x14ac:dyDescent="0.2">
      <c r="A118" s="420"/>
      <c r="B118" s="854"/>
      <c r="C118" s="6208"/>
      <c r="D118" s="6218"/>
      <c r="E118" s="6218"/>
      <c r="F118" s="6218"/>
      <c r="G118" s="6218"/>
      <c r="H118" s="6218"/>
      <c r="I118" s="6218"/>
      <c r="J118" s="6218"/>
      <c r="K118" s="6218"/>
      <c r="L118" s="6218"/>
      <c r="M118" s="6218"/>
      <c r="N118" s="6218"/>
      <c r="O118" s="6218"/>
      <c r="P118" s="6218"/>
      <c r="Q118" s="6210"/>
      <c r="R118" s="426"/>
      <c r="S118" s="420"/>
      <c r="T118" s="420"/>
      <c r="U118" s="854"/>
      <c r="V118" s="6208"/>
      <c r="W118" s="6209"/>
      <c r="X118" s="6209"/>
      <c r="Y118" s="6209"/>
      <c r="Z118" s="6209"/>
      <c r="AA118" s="6209"/>
      <c r="AB118" s="6209"/>
      <c r="AC118" s="6209"/>
      <c r="AD118" s="6209"/>
      <c r="AE118" s="6209"/>
      <c r="AF118" s="6209"/>
      <c r="AG118" s="6209"/>
      <c r="AH118" s="6209"/>
      <c r="AI118" s="6209"/>
      <c r="AJ118" s="6210"/>
      <c r="AK118" s="426"/>
      <c r="AL118" s="420"/>
    </row>
    <row r="119" spans="1:38" ht="12" customHeight="1" x14ac:dyDescent="0.2">
      <c r="A119" s="420"/>
      <c r="B119" s="854"/>
      <c r="C119" s="6208"/>
      <c r="D119" s="6218"/>
      <c r="E119" s="6218"/>
      <c r="F119" s="6218"/>
      <c r="G119" s="6218"/>
      <c r="H119" s="6218"/>
      <c r="I119" s="6218"/>
      <c r="J119" s="6218"/>
      <c r="K119" s="6218"/>
      <c r="L119" s="6218"/>
      <c r="M119" s="6218"/>
      <c r="N119" s="6218"/>
      <c r="O119" s="6218"/>
      <c r="P119" s="6218"/>
      <c r="Q119" s="6210"/>
      <c r="R119" s="426"/>
      <c r="S119" s="420"/>
      <c r="T119" s="420"/>
      <c r="U119" s="854"/>
      <c r="V119" s="6208"/>
      <c r="W119" s="6209"/>
      <c r="X119" s="6209"/>
      <c r="Y119" s="6209"/>
      <c r="Z119" s="6209"/>
      <c r="AA119" s="6209"/>
      <c r="AB119" s="6209"/>
      <c r="AC119" s="6209"/>
      <c r="AD119" s="6209"/>
      <c r="AE119" s="6209"/>
      <c r="AF119" s="6209"/>
      <c r="AG119" s="6209"/>
      <c r="AH119" s="6209"/>
      <c r="AI119" s="6209"/>
      <c r="AJ119" s="6210"/>
      <c r="AK119" s="426"/>
      <c r="AL119" s="420"/>
    </row>
    <row r="120" spans="1:38" ht="12" customHeight="1" thickBot="1" x14ac:dyDescent="0.25">
      <c r="A120" s="420"/>
      <c r="B120" s="854"/>
      <c r="C120" s="6211"/>
      <c r="D120" s="6212"/>
      <c r="E120" s="6212"/>
      <c r="F120" s="6212"/>
      <c r="G120" s="6212"/>
      <c r="H120" s="6212"/>
      <c r="I120" s="6212"/>
      <c r="J120" s="6212"/>
      <c r="K120" s="6212"/>
      <c r="L120" s="6212"/>
      <c r="M120" s="6212"/>
      <c r="N120" s="6212"/>
      <c r="O120" s="6212"/>
      <c r="P120" s="6212"/>
      <c r="Q120" s="6213"/>
      <c r="R120" s="426"/>
      <c r="S120" s="420"/>
      <c r="T120" s="420"/>
      <c r="U120" s="854"/>
      <c r="V120" s="6211"/>
      <c r="W120" s="6212"/>
      <c r="X120" s="6212"/>
      <c r="Y120" s="6212"/>
      <c r="Z120" s="6212"/>
      <c r="AA120" s="6212"/>
      <c r="AB120" s="6212"/>
      <c r="AC120" s="6212"/>
      <c r="AD120" s="6212"/>
      <c r="AE120" s="6212"/>
      <c r="AF120" s="6212"/>
      <c r="AG120" s="6212"/>
      <c r="AH120" s="6212"/>
      <c r="AI120" s="6212"/>
      <c r="AJ120" s="6213"/>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19"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20"/>
      <c r="E122" s="6220"/>
      <c r="F122" s="6220"/>
      <c r="G122" s="6221"/>
      <c r="H122" s="430" t="s">
        <v>1328</v>
      </c>
      <c r="I122" s="431">
        <f>B122</f>
        <v>30</v>
      </c>
      <c r="J122" s="6222" t="s">
        <v>6329</v>
      </c>
      <c r="K122" s="6222"/>
      <c r="L122" s="6222"/>
      <c r="M122" s="6183" t="e">
        <f>IF(C122=0,"",VLOOKUP(C122,'Tablas Magia'!$D$6:$Z$680,2,FALSE))</f>
        <v>#N/A</v>
      </c>
      <c r="N122" s="6183"/>
      <c r="O122" s="1853"/>
      <c r="P122" s="6214" t="str">
        <f>IFERROR(IF(M122="Libre Acceso","Aprendido",IF(IFERROR(VLOOKUP(M122,Místicos!$C$15:$H$25,6,0)&gt;=I122,FALSE),"Aprendido",IF(IFERROR(VLOOKUP(M122,Místicos!$E$15:$H$25,4,0)&gt;=I122,FALSE),"Aprendido",""))),"")</f>
        <v/>
      </c>
      <c r="Q122" s="6215"/>
      <c r="R122" s="426"/>
      <c r="S122" s="420"/>
      <c r="T122" s="420"/>
      <c r="U122" s="854">
        <f>U111+2</f>
        <v>40</v>
      </c>
      <c r="V122" s="6219"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30"/>
      <c r="X122" s="6230"/>
      <c r="Y122" s="6230"/>
      <c r="Z122" s="6230"/>
      <c r="AA122" s="430" t="s">
        <v>1328</v>
      </c>
      <c r="AB122" s="431">
        <f>U122</f>
        <v>40</v>
      </c>
      <c r="AC122" s="6222" t="s">
        <v>6329</v>
      </c>
      <c r="AD122" s="6222"/>
      <c r="AE122" s="6222"/>
      <c r="AF122" s="6183" t="e">
        <f>IF(V122=0,"",VLOOKUP(V122,'Tablas Magia'!$D$6:$Z$680,2,FALSE))</f>
        <v>#N/A</v>
      </c>
      <c r="AG122" s="6183"/>
      <c r="AH122" s="1853"/>
      <c r="AI122" s="6214" t="str">
        <f>IFERROR(IF(AF122="Libre Acceso","Aprendido",IF(IFERROR(VLOOKUP(AF122,Místicos!$C$15:$H$25,6,0)&gt;=AB122,FALSE),"Aprendido",IF(IFERROR(VLOOKUP(AF122,Místicos!$E$15:$H$25,4,0)&gt;=AB122,FALSE),"Aprendido",""))),"")</f>
        <v/>
      </c>
      <c r="AJ122" s="6215"/>
      <c r="AK122" s="426"/>
      <c r="AL122" s="420"/>
    </row>
    <row r="123" spans="1:38" ht="12" customHeight="1" x14ac:dyDescent="0.2">
      <c r="A123" s="420"/>
      <c r="B123" s="854"/>
      <c r="C123" s="6198" t="s">
        <v>6330</v>
      </c>
      <c r="D123" s="6228"/>
      <c r="E123" s="2760" t="s">
        <v>6331</v>
      </c>
      <c r="F123" s="2760" t="s">
        <v>1512</v>
      </c>
      <c r="G123" s="2760" t="s">
        <v>2862</v>
      </c>
      <c r="H123" s="2761" t="s">
        <v>1840</v>
      </c>
      <c r="I123" s="6226" t="e">
        <f>IF(C122=0,"",VLOOKUP(C122,'Tablas Magia'!$D$6:$Z$680,5,FALSE))</f>
        <v>#N/A</v>
      </c>
      <c r="J123" s="6226"/>
      <c r="K123" s="6229" t="s">
        <v>6332</v>
      </c>
      <c r="L123" s="6229"/>
      <c r="M123" s="6226" t="e">
        <f>IF(C122=0,"",VLOOKUP(C122,'Tablas Magia'!$D$6:$Z$680,6,FALSE))</f>
        <v>#N/A</v>
      </c>
      <c r="N123" s="6226"/>
      <c r="O123" s="6227" t="s">
        <v>6333</v>
      </c>
      <c r="P123" s="6227"/>
      <c r="Q123" s="2762" t="e">
        <f>IF(C122=0,"",VLOOKUP(C122,'Tablas Magia'!$D$6:$Z$680,4,FALSE))</f>
        <v>#N/A</v>
      </c>
      <c r="R123" s="426"/>
      <c r="S123" s="420"/>
      <c r="T123" s="420"/>
      <c r="U123" s="854"/>
      <c r="V123" s="6198" t="s">
        <v>6330</v>
      </c>
      <c r="W123" s="6231"/>
      <c r="X123" s="1862" t="s">
        <v>6331</v>
      </c>
      <c r="Y123" s="1862" t="s">
        <v>1512</v>
      </c>
      <c r="Z123" s="1862" t="s">
        <v>2862</v>
      </c>
      <c r="AA123" s="1863" t="s">
        <v>1840</v>
      </c>
      <c r="AB123" s="6232" t="e">
        <f>IF(V122=0,"",VLOOKUP(V122,'Tablas Magia'!$D$6:$Z$680,5,FALSE))</f>
        <v>#N/A</v>
      </c>
      <c r="AC123" s="6232"/>
      <c r="AD123" s="6233" t="s">
        <v>6332</v>
      </c>
      <c r="AE123" s="6233"/>
      <c r="AF123" s="6232" t="e">
        <f>IF(V122=0,"",VLOOKUP(V122,'Tablas Magia'!$D$6:$Z$680,6,FALSE))</f>
        <v>#N/A</v>
      </c>
      <c r="AG123" s="6232"/>
      <c r="AH123" s="6234" t="s">
        <v>6333</v>
      </c>
      <c r="AI123" s="6234"/>
      <c r="AJ123" s="1864" t="e">
        <f>IF(V122=0,"",VLOOKUP(V122,'Tablas Magia'!$D$6:$Z$680,4,FALSE))</f>
        <v>#N/A</v>
      </c>
      <c r="AK123" s="426"/>
      <c r="AL123" s="420"/>
    </row>
    <row r="124" spans="1:38" ht="12" customHeight="1" x14ac:dyDescent="0.2">
      <c r="A124" s="420"/>
      <c r="B124" s="854"/>
      <c r="C124" s="6238" t="s">
        <v>1368</v>
      </c>
      <c r="D124" s="6239"/>
      <c r="E124" s="2763" t="e">
        <f>IF(C122=0,"",VLOOKUP(C122,'Tablas Magia'!$D$6:$Z$680,7,FALSE))</f>
        <v>#N/A</v>
      </c>
      <c r="F124" s="2763" t="e">
        <f>IF(C122=0,"",VLOOKUP(C122,'Tablas Magia'!$D$6:$Z$680,11,FALSE))</f>
        <v>#N/A</v>
      </c>
      <c r="G124" s="436" t="e">
        <f>IF(C122=0,"",VLOOKUP(C122,'Tablas Magia'!$D$6:$Z$680,15,FALSE))</f>
        <v>#N/A</v>
      </c>
      <c r="H124" s="6223" t="e">
        <f>IF(C122=0,"",VLOOKUP(C122,'Tablas Magia'!$D$6:$Z$680,19,FALSE))</f>
        <v>#N/A</v>
      </c>
      <c r="I124" s="6224"/>
      <c r="J124" s="6224"/>
      <c r="K124" s="6224"/>
      <c r="L124" s="6224"/>
      <c r="M124" s="6224"/>
      <c r="N124" s="6224"/>
      <c r="O124" s="6224"/>
      <c r="P124" s="6224"/>
      <c r="Q124" s="6225"/>
      <c r="R124" s="426"/>
      <c r="S124" s="420"/>
      <c r="T124" s="420"/>
      <c r="U124" s="854"/>
      <c r="V124" s="6190" t="s">
        <v>1368</v>
      </c>
      <c r="W124" s="6191"/>
      <c r="X124" s="435" t="e">
        <f>IF(V122=0,"",VLOOKUP(V122,'Tablas Magia'!$D$6:$Z$680,7,FALSE))</f>
        <v>#N/A</v>
      </c>
      <c r="Y124" s="435" t="e">
        <f>IF(V122=0,"",VLOOKUP(V122,'Tablas Magia'!$D$6:$Z$680,11,FALSE))</f>
        <v>#N/A</v>
      </c>
      <c r="Z124" s="436" t="e">
        <f>IF(V122=0,"",VLOOKUP(V122,'Tablas Magia'!$D$6:$Z$680,15,FALSE))</f>
        <v>#N/A</v>
      </c>
      <c r="AA124" s="6192" t="e">
        <f>IF(V122=0,"",VLOOKUP(V122,'Tablas Magia'!$D$6:$Z$680,19,FALSE))</f>
        <v>#N/A</v>
      </c>
      <c r="AB124" s="6193"/>
      <c r="AC124" s="6193"/>
      <c r="AD124" s="6193"/>
      <c r="AE124" s="6193"/>
      <c r="AF124" s="6193"/>
      <c r="AG124" s="6193"/>
      <c r="AH124" s="6193"/>
      <c r="AI124" s="6193"/>
      <c r="AJ124" s="6194"/>
      <c r="AK124" s="426"/>
      <c r="AL124" s="420"/>
    </row>
    <row r="125" spans="1:38" ht="12" customHeight="1" x14ac:dyDescent="0.2">
      <c r="A125" s="420"/>
      <c r="B125" s="854"/>
      <c r="C125" s="6185" t="s">
        <v>3233</v>
      </c>
      <c r="D125" s="6186"/>
      <c r="E125" s="2764" t="e">
        <f>IF(C122=0,"",VLOOKUP(C122,'Tablas Magia'!$D$6:$Z$680,8,FALSE))</f>
        <v>#N/A</v>
      </c>
      <c r="F125" s="2764" t="e">
        <f>IF(C122=0,"",VLOOKUP(C122,'Tablas Magia'!$D$6:$Z$680,12,FALSE))</f>
        <v>#N/A</v>
      </c>
      <c r="G125" s="438" t="e">
        <f>IF(C122=0,"",VLOOKUP(C122,'Tablas Magia'!$D$6:$Z$680,16,FALSE))</f>
        <v>#N/A</v>
      </c>
      <c r="H125" s="6187" t="e">
        <f>IF(C122=0,"",VLOOKUP(C122,'Tablas Magia'!$D$6:$Z$680,20,FALSE))</f>
        <v>#N/A</v>
      </c>
      <c r="I125" s="6217"/>
      <c r="J125" s="6217"/>
      <c r="K125" s="6217"/>
      <c r="L125" s="6217"/>
      <c r="M125" s="6217"/>
      <c r="N125" s="6217"/>
      <c r="O125" s="6217"/>
      <c r="P125" s="6217"/>
      <c r="Q125" s="6189"/>
      <c r="R125" s="426"/>
      <c r="S125" s="420"/>
      <c r="T125" s="420"/>
      <c r="U125" s="854"/>
      <c r="V125" s="6185" t="s">
        <v>3233</v>
      </c>
      <c r="W125" s="6186"/>
      <c r="X125" s="437" t="e">
        <f>IF(V122=0,"",VLOOKUP(V122,'Tablas Magia'!$D$6:$Z$680,8,FALSE))</f>
        <v>#N/A</v>
      </c>
      <c r="Y125" s="437" t="e">
        <f>IF(V122=0,"",VLOOKUP(V122,'Tablas Magia'!$D$6:$Z$680,12,FALSE))</f>
        <v>#N/A</v>
      </c>
      <c r="Z125" s="438" t="e">
        <f>IF(V122=0,"",VLOOKUP(V122,'Tablas Magia'!$D$6:$Z$680,16,FALSE))</f>
        <v>#N/A</v>
      </c>
      <c r="AA125" s="6187" t="e">
        <f>IF(V122=0,"",VLOOKUP(V122,'Tablas Magia'!$D$6:$Z$680,20,FALSE))</f>
        <v>#N/A</v>
      </c>
      <c r="AB125" s="6188"/>
      <c r="AC125" s="6188"/>
      <c r="AD125" s="6188"/>
      <c r="AE125" s="6188"/>
      <c r="AF125" s="6188"/>
      <c r="AG125" s="6188"/>
      <c r="AH125" s="6188"/>
      <c r="AI125" s="6188"/>
      <c r="AJ125" s="6189"/>
      <c r="AK125" s="426"/>
      <c r="AL125" s="420"/>
    </row>
    <row r="126" spans="1:38" ht="12" customHeight="1" x14ac:dyDescent="0.2">
      <c r="A126" s="420"/>
      <c r="B126" s="854"/>
      <c r="C126" s="6190" t="s">
        <v>3234</v>
      </c>
      <c r="D126" s="6191"/>
      <c r="E126" s="2763" t="e">
        <f>IF(C122=0,"",VLOOKUP(C122,'Tablas Magia'!$D$6:$Z$680,9,FALSE))</f>
        <v>#N/A</v>
      </c>
      <c r="F126" s="2763" t="e">
        <f>IF(C122=0,"",VLOOKUP(C122,'Tablas Magia'!$D$6:$Z$680,13,FALSE))</f>
        <v>#N/A</v>
      </c>
      <c r="G126" s="436" t="e">
        <f>IF(C122=0,"",VLOOKUP(C122,'Tablas Magia'!$D$6:$Z$680,17,FALSE))</f>
        <v>#N/A</v>
      </c>
      <c r="H126" s="6192" t="e">
        <f>IF(C122=0,"",VLOOKUP(C122,'Tablas Magia'!$D$6:$Z$680,21,FALSE))</f>
        <v>#N/A</v>
      </c>
      <c r="I126" s="6216"/>
      <c r="J126" s="6216"/>
      <c r="K126" s="6216"/>
      <c r="L126" s="6216"/>
      <c r="M126" s="6216"/>
      <c r="N126" s="6216"/>
      <c r="O126" s="6216"/>
      <c r="P126" s="6216"/>
      <c r="Q126" s="6194"/>
      <c r="R126" s="426"/>
      <c r="S126" s="420"/>
      <c r="T126" s="420"/>
      <c r="U126" s="854"/>
      <c r="V126" s="6190" t="s">
        <v>3234</v>
      </c>
      <c r="W126" s="6191"/>
      <c r="X126" s="435" t="e">
        <f>IF(V122=0,"",VLOOKUP(V122,'Tablas Magia'!$D$6:$Z$680,9,FALSE))</f>
        <v>#N/A</v>
      </c>
      <c r="Y126" s="435" t="e">
        <f>IF(V122=0,"",VLOOKUP(V122,'Tablas Magia'!$D$6:$Z$680,13,FALSE))</f>
        <v>#N/A</v>
      </c>
      <c r="Z126" s="436" t="e">
        <f>IF(V122=0,"",VLOOKUP(V122,'Tablas Magia'!$D$6:$Z$680,17,FALSE))</f>
        <v>#N/A</v>
      </c>
      <c r="AA126" s="6192" t="e">
        <f>IF(V122=0,"",VLOOKUP(V122,'Tablas Magia'!$D$6:$Z$680,21,FALSE))</f>
        <v>#N/A</v>
      </c>
      <c r="AB126" s="6193"/>
      <c r="AC126" s="6193"/>
      <c r="AD126" s="6193"/>
      <c r="AE126" s="6193"/>
      <c r="AF126" s="6193"/>
      <c r="AG126" s="6193"/>
      <c r="AH126" s="6193"/>
      <c r="AI126" s="6193"/>
      <c r="AJ126" s="6194"/>
      <c r="AK126" s="426"/>
      <c r="AL126" s="420"/>
    </row>
    <row r="127" spans="1:38" ht="12" customHeight="1" thickBot="1" x14ac:dyDescent="0.25">
      <c r="A127" s="420"/>
      <c r="B127" s="854"/>
      <c r="C127" s="6200" t="s">
        <v>3235</v>
      </c>
      <c r="D127" s="6201"/>
      <c r="E127" s="439" t="e">
        <f>IF(C122=0,"",VLOOKUP(C122,'Tablas Magia'!$D$6:$Z$680,10,FALSE))</f>
        <v>#N/A</v>
      </c>
      <c r="F127" s="439" t="e">
        <f>IF(C122=0,"",VLOOKUP(C122,'Tablas Magia'!$D$6:$Z$680,14,FALSE))</f>
        <v>#N/A</v>
      </c>
      <c r="G127" s="440" t="e">
        <f>IF(C122=0,"",VLOOKUP(C122,'Tablas Magia'!$D$6:$Z$680,18,FALSE))</f>
        <v>#N/A</v>
      </c>
      <c r="H127" s="6202" t="e">
        <f>IF(C122=0,"",VLOOKUP(C122,'Tablas Magia'!$D$6:$Z$680,22,FALSE))</f>
        <v>#N/A</v>
      </c>
      <c r="I127" s="6203"/>
      <c r="J127" s="6203"/>
      <c r="K127" s="6203"/>
      <c r="L127" s="6203"/>
      <c r="M127" s="6203"/>
      <c r="N127" s="6203"/>
      <c r="O127" s="6203"/>
      <c r="P127" s="6203"/>
      <c r="Q127" s="6204"/>
      <c r="R127" s="426"/>
      <c r="S127" s="420"/>
      <c r="T127" s="420"/>
      <c r="U127" s="854"/>
      <c r="V127" s="6200" t="s">
        <v>3235</v>
      </c>
      <c r="W127" s="6201"/>
      <c r="X127" s="439" t="e">
        <f>IF(V122=0,"",VLOOKUP(V122,'Tablas Magia'!$D$6:$Z$680,10,FALSE))</f>
        <v>#N/A</v>
      </c>
      <c r="Y127" s="439" t="e">
        <f>IF(V122=0,"",VLOOKUP(V122,'Tablas Magia'!$D$6:$Z$680,14,FALSE))</f>
        <v>#N/A</v>
      </c>
      <c r="Z127" s="440" t="e">
        <f>IF(V122=0,"",VLOOKUP(V122,'Tablas Magia'!$D$6:$Z$680,18,FALSE))</f>
        <v>#N/A</v>
      </c>
      <c r="AA127" s="6202" t="e">
        <f>IF(V122=0,"",VLOOKUP(V122,'Tablas Magia'!$D$6:$Z$680,22,FALSE))</f>
        <v>#N/A</v>
      </c>
      <c r="AB127" s="6203"/>
      <c r="AC127" s="6203"/>
      <c r="AD127" s="6203"/>
      <c r="AE127" s="6203"/>
      <c r="AF127" s="6203"/>
      <c r="AG127" s="6203"/>
      <c r="AH127" s="6203"/>
      <c r="AI127" s="6203"/>
      <c r="AJ127" s="6204"/>
      <c r="AK127" s="426"/>
      <c r="AL127" s="420"/>
    </row>
    <row r="128" spans="1:38" ht="12" customHeight="1" x14ac:dyDescent="0.2">
      <c r="A128" s="420"/>
      <c r="B128" s="854"/>
      <c r="C128" s="6205" t="e">
        <f>IF(C122=0,"",VLOOKUP(C122,'Tablas Magia'!$D$6:$Z$680,23,FALSE))</f>
        <v>#N/A</v>
      </c>
      <c r="D128" s="6206"/>
      <c r="E128" s="6206"/>
      <c r="F128" s="6206"/>
      <c r="G128" s="6206"/>
      <c r="H128" s="6206"/>
      <c r="I128" s="6206"/>
      <c r="J128" s="6206"/>
      <c r="K128" s="6206"/>
      <c r="L128" s="6206"/>
      <c r="M128" s="6206"/>
      <c r="N128" s="6206"/>
      <c r="O128" s="6206"/>
      <c r="P128" s="6206"/>
      <c r="Q128" s="6207"/>
      <c r="R128" s="426"/>
      <c r="S128" s="420"/>
      <c r="T128" s="420"/>
      <c r="U128" s="854"/>
      <c r="V128" s="6205" t="e">
        <f>IF(V122=0,"",VLOOKUP(V122,'Tablas Magia'!$D$6:$Z$680,23,FALSE))</f>
        <v>#N/A</v>
      </c>
      <c r="W128" s="6206"/>
      <c r="X128" s="6206"/>
      <c r="Y128" s="6206"/>
      <c r="Z128" s="6206"/>
      <c r="AA128" s="6206"/>
      <c r="AB128" s="6206"/>
      <c r="AC128" s="6206"/>
      <c r="AD128" s="6206"/>
      <c r="AE128" s="6206"/>
      <c r="AF128" s="6206"/>
      <c r="AG128" s="6206"/>
      <c r="AH128" s="6206"/>
      <c r="AI128" s="6206"/>
      <c r="AJ128" s="6207"/>
      <c r="AK128" s="426"/>
      <c r="AL128" s="420"/>
    </row>
    <row r="129" spans="1:38" ht="12" customHeight="1" x14ac:dyDescent="0.2">
      <c r="A129" s="420"/>
      <c r="B129" s="854"/>
      <c r="C129" s="6208"/>
      <c r="D129" s="6218"/>
      <c r="E129" s="6218"/>
      <c r="F129" s="6218"/>
      <c r="G129" s="6218"/>
      <c r="H129" s="6218"/>
      <c r="I129" s="6218"/>
      <c r="J129" s="6218"/>
      <c r="K129" s="6218"/>
      <c r="L129" s="6218"/>
      <c r="M129" s="6218"/>
      <c r="N129" s="6218"/>
      <c r="O129" s="6218"/>
      <c r="P129" s="6218"/>
      <c r="Q129" s="6210"/>
      <c r="R129" s="426"/>
      <c r="S129" s="420"/>
      <c r="T129" s="420"/>
      <c r="U129" s="854"/>
      <c r="V129" s="6208"/>
      <c r="W129" s="6209"/>
      <c r="X129" s="6209"/>
      <c r="Y129" s="6209"/>
      <c r="Z129" s="6209"/>
      <c r="AA129" s="6209"/>
      <c r="AB129" s="6209"/>
      <c r="AC129" s="6209"/>
      <c r="AD129" s="6209"/>
      <c r="AE129" s="6209"/>
      <c r="AF129" s="6209"/>
      <c r="AG129" s="6209"/>
      <c r="AH129" s="6209"/>
      <c r="AI129" s="6209"/>
      <c r="AJ129" s="6210"/>
      <c r="AK129" s="426"/>
      <c r="AL129" s="420"/>
    </row>
    <row r="130" spans="1:38" ht="12" customHeight="1" x14ac:dyDescent="0.2">
      <c r="A130" s="420"/>
      <c r="B130" s="854"/>
      <c r="C130" s="6208"/>
      <c r="D130" s="6218"/>
      <c r="E130" s="6218"/>
      <c r="F130" s="6218"/>
      <c r="G130" s="6218"/>
      <c r="H130" s="6218"/>
      <c r="I130" s="6218"/>
      <c r="J130" s="6218"/>
      <c r="K130" s="6218"/>
      <c r="L130" s="6218"/>
      <c r="M130" s="6218"/>
      <c r="N130" s="6218"/>
      <c r="O130" s="6218"/>
      <c r="P130" s="6218"/>
      <c r="Q130" s="6210"/>
      <c r="R130" s="426"/>
      <c r="S130" s="420"/>
      <c r="T130" s="420"/>
      <c r="U130" s="854"/>
      <c r="V130" s="6208"/>
      <c r="W130" s="6209"/>
      <c r="X130" s="6209"/>
      <c r="Y130" s="6209"/>
      <c r="Z130" s="6209"/>
      <c r="AA130" s="6209"/>
      <c r="AB130" s="6209"/>
      <c r="AC130" s="6209"/>
      <c r="AD130" s="6209"/>
      <c r="AE130" s="6209"/>
      <c r="AF130" s="6209"/>
      <c r="AG130" s="6209"/>
      <c r="AH130" s="6209"/>
      <c r="AI130" s="6209"/>
      <c r="AJ130" s="6210"/>
      <c r="AK130" s="426"/>
      <c r="AL130" s="420"/>
    </row>
    <row r="131" spans="1:38" ht="12" customHeight="1" thickBot="1" x14ac:dyDescent="0.25">
      <c r="A131" s="420"/>
      <c r="B131" s="854"/>
      <c r="C131" s="6211"/>
      <c r="D131" s="6212"/>
      <c r="E131" s="6212"/>
      <c r="F131" s="6212"/>
      <c r="G131" s="6212"/>
      <c r="H131" s="6212"/>
      <c r="I131" s="6212"/>
      <c r="J131" s="6212"/>
      <c r="K131" s="6212"/>
      <c r="L131" s="6212"/>
      <c r="M131" s="6212"/>
      <c r="N131" s="6212"/>
      <c r="O131" s="6212"/>
      <c r="P131" s="6212"/>
      <c r="Q131" s="6213"/>
      <c r="R131" s="426"/>
      <c r="S131" s="420"/>
      <c r="T131" s="420"/>
      <c r="U131" s="854"/>
      <c r="V131" s="6211"/>
      <c r="W131" s="6212"/>
      <c r="X131" s="6212"/>
      <c r="Y131" s="6212"/>
      <c r="Z131" s="6212"/>
      <c r="AA131" s="6212"/>
      <c r="AB131" s="6212"/>
      <c r="AC131" s="6212"/>
      <c r="AD131" s="6212"/>
      <c r="AE131" s="6212"/>
      <c r="AF131" s="6212"/>
      <c r="AG131" s="6212"/>
      <c r="AH131" s="6212"/>
      <c r="AI131" s="6212"/>
      <c r="AJ131" s="6213"/>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208"/>
      <c r="D137" s="4209"/>
      <c r="E137" s="4209"/>
      <c r="F137" s="4209"/>
      <c r="G137" s="4209"/>
      <c r="H137" s="4209"/>
      <c r="I137" s="2738"/>
      <c r="J137" s="2738"/>
      <c r="K137" s="2738"/>
      <c r="L137" s="2738"/>
      <c r="M137" s="2738"/>
      <c r="N137" s="2738"/>
      <c r="O137" s="2738"/>
      <c r="P137" s="2738"/>
      <c r="Q137" s="425"/>
      <c r="R137" s="426"/>
      <c r="S137" s="1518"/>
      <c r="T137" s="2776"/>
      <c r="U137" s="1149"/>
      <c r="V137" s="4208"/>
      <c r="W137" s="4209"/>
      <c r="X137" s="4209"/>
      <c r="Y137" s="4209"/>
      <c r="Z137" s="4209"/>
      <c r="AA137" s="4209"/>
      <c r="AB137" s="2738"/>
      <c r="AC137" s="2738"/>
      <c r="AD137" s="2738"/>
      <c r="AE137" s="2738"/>
      <c r="AF137" s="2738"/>
      <c r="AG137" s="2738"/>
      <c r="AH137" s="2738"/>
      <c r="AI137" s="2738"/>
      <c r="AJ137" s="425"/>
      <c r="AK137" s="426"/>
      <c r="AL137" s="1518"/>
    </row>
    <row r="138" spans="1:38" ht="12" customHeight="1" x14ac:dyDescent="0.2">
      <c r="A138" s="2777"/>
      <c r="B138" s="1865"/>
      <c r="C138" s="4210"/>
      <c r="D138" s="4211"/>
      <c r="E138" s="4211"/>
      <c r="F138" s="4211"/>
      <c r="G138" s="4211"/>
      <c r="H138" s="4211"/>
      <c r="I138" s="2753"/>
      <c r="J138" s="6240" t="s">
        <v>10263</v>
      </c>
      <c r="K138" s="6241"/>
      <c r="L138" s="6241"/>
      <c r="M138" s="6241"/>
      <c r="N138" s="6241"/>
      <c r="O138" s="6241"/>
      <c r="P138" s="6241"/>
      <c r="Q138" s="375"/>
      <c r="R138" s="858"/>
      <c r="S138" s="1866"/>
      <c r="T138" s="2777"/>
      <c r="U138" s="1865"/>
      <c r="V138" s="4210"/>
      <c r="W138" s="4211"/>
      <c r="X138" s="4211"/>
      <c r="Y138" s="4211"/>
      <c r="Z138" s="4211"/>
      <c r="AA138" s="4211"/>
      <c r="AB138" s="2753"/>
      <c r="AC138" s="6240" t="s">
        <v>10263</v>
      </c>
      <c r="AD138" s="6241"/>
      <c r="AE138" s="6241"/>
      <c r="AF138" s="6241"/>
      <c r="AG138" s="6241"/>
      <c r="AH138" s="6241"/>
      <c r="AI138" s="6241"/>
      <c r="AJ138" s="375"/>
      <c r="AK138" s="858"/>
      <c r="AL138" s="1866"/>
    </row>
    <row r="139" spans="1:38" ht="12" customHeight="1" x14ac:dyDescent="0.2">
      <c r="A139" s="2776"/>
      <c r="B139" s="1149"/>
      <c r="C139" s="4210"/>
      <c r="D139" s="4211"/>
      <c r="E139" s="4211"/>
      <c r="F139" s="4211"/>
      <c r="G139" s="4211"/>
      <c r="H139" s="4211"/>
      <c r="I139" s="2753"/>
      <c r="J139" s="6241"/>
      <c r="K139" s="6241"/>
      <c r="L139" s="6241"/>
      <c r="M139" s="6241"/>
      <c r="N139" s="6241"/>
      <c r="O139" s="6241"/>
      <c r="P139" s="6241"/>
      <c r="Q139" s="427"/>
      <c r="R139" s="426"/>
      <c r="S139" s="1518"/>
      <c r="T139" s="2776"/>
      <c r="U139" s="1149"/>
      <c r="V139" s="4210"/>
      <c r="W139" s="4211"/>
      <c r="X139" s="4211"/>
      <c r="Y139" s="4211"/>
      <c r="Z139" s="4211"/>
      <c r="AA139" s="4211"/>
      <c r="AB139" s="2753"/>
      <c r="AC139" s="6241"/>
      <c r="AD139" s="6241"/>
      <c r="AE139" s="6241"/>
      <c r="AF139" s="6241"/>
      <c r="AG139" s="6241"/>
      <c r="AH139" s="6241"/>
      <c r="AI139" s="6241"/>
      <c r="AJ139" s="427"/>
      <c r="AK139" s="426"/>
      <c r="AL139" s="1518"/>
    </row>
    <row r="140" spans="1:38" ht="12" customHeight="1" x14ac:dyDescent="0.2">
      <c r="A140" s="2776"/>
      <c r="B140" s="1149"/>
      <c r="C140" s="4210"/>
      <c r="D140" s="4211"/>
      <c r="E140" s="4211"/>
      <c r="F140" s="4211"/>
      <c r="G140" s="4211"/>
      <c r="H140" s="4211"/>
      <c r="I140" s="2754" t="s">
        <v>7233</v>
      </c>
      <c r="J140" s="6242" t="str">
        <f>IF($J$6="","",$J$6)</f>
        <v/>
      </c>
      <c r="K140" s="6242"/>
      <c r="L140" s="6242"/>
      <c r="M140" s="2755"/>
      <c r="N140" s="2755"/>
      <c r="O140" s="2756" t="str">
        <f>$O$6</f>
        <v>Nivel de vía aprendido</v>
      </c>
      <c r="P140" s="2757">
        <f>$P$6</f>
        <v>0</v>
      </c>
      <c r="Q140" s="427"/>
      <c r="R140" s="426"/>
      <c r="S140" s="1518"/>
      <c r="T140" s="2776"/>
      <c r="U140" s="1149"/>
      <c r="V140" s="4210"/>
      <c r="W140" s="4211"/>
      <c r="X140" s="4211"/>
      <c r="Y140" s="4211"/>
      <c r="Z140" s="4211"/>
      <c r="AA140" s="4211"/>
      <c r="AB140" s="2754" t="s">
        <v>7233</v>
      </c>
      <c r="AC140" s="6242" t="str">
        <f>IF($J$6="","",$J$6)</f>
        <v/>
      </c>
      <c r="AD140" s="6242"/>
      <c r="AE140" s="6242"/>
      <c r="AF140" s="2755"/>
      <c r="AG140" s="2755"/>
      <c r="AH140" s="2756" t="str">
        <f>$O$6</f>
        <v>Nivel de vía aprendido</v>
      </c>
      <c r="AI140" s="2757">
        <f>$P$6</f>
        <v>0</v>
      </c>
      <c r="AJ140" s="427"/>
      <c r="AK140" s="426"/>
      <c r="AL140" s="1518"/>
    </row>
    <row r="141" spans="1:38" ht="12" customHeight="1" x14ac:dyDescent="0.2">
      <c r="A141" s="2776"/>
      <c r="B141" s="1149"/>
      <c r="C141" s="4210"/>
      <c r="D141" s="4211"/>
      <c r="E141" s="4211"/>
      <c r="F141" s="4211"/>
      <c r="G141" s="4211"/>
      <c r="H141" s="4211"/>
      <c r="I141" s="2758" t="s">
        <v>7234</v>
      </c>
      <c r="J141" s="6242" t="str">
        <f>IF($J$8="","",$J$8)</f>
        <v/>
      </c>
      <c r="K141" s="6242"/>
      <c r="L141" s="6242"/>
      <c r="M141" s="2755"/>
      <c r="N141" s="2755"/>
      <c r="O141" s="2755"/>
      <c r="P141" s="2755"/>
      <c r="Q141" s="427"/>
      <c r="R141" s="426"/>
      <c r="S141" s="1518"/>
      <c r="T141" s="2776"/>
      <c r="U141" s="1149"/>
      <c r="V141" s="4210"/>
      <c r="W141" s="4211"/>
      <c r="X141" s="4211"/>
      <c r="Y141" s="4211"/>
      <c r="Z141" s="4211"/>
      <c r="AA141" s="4211"/>
      <c r="AB141" s="2758" t="s">
        <v>7234</v>
      </c>
      <c r="AC141" s="6242" t="str">
        <f>IF($J$8="","",$J$8)</f>
        <v/>
      </c>
      <c r="AD141" s="6242"/>
      <c r="AE141" s="6242"/>
      <c r="AF141" s="2755"/>
      <c r="AG141" s="2755"/>
      <c r="AH141" s="2755"/>
      <c r="AI141" s="2755"/>
      <c r="AJ141" s="427"/>
      <c r="AK141" s="426"/>
      <c r="AL141" s="1518"/>
    </row>
    <row r="142" spans="1:38" ht="12" customHeight="1" thickBot="1" x14ac:dyDescent="0.25">
      <c r="A142" s="2776"/>
      <c r="B142" s="1149"/>
      <c r="C142" s="4212"/>
      <c r="D142" s="4213"/>
      <c r="E142" s="4213"/>
      <c r="F142" s="4213"/>
      <c r="G142" s="4213"/>
      <c r="H142" s="4213"/>
      <c r="I142" s="2740"/>
      <c r="J142" s="2740"/>
      <c r="K142" s="2740"/>
      <c r="L142" s="2740"/>
      <c r="M142" s="2740"/>
      <c r="N142" s="2740"/>
      <c r="O142" s="2740"/>
      <c r="P142" s="2740"/>
      <c r="Q142" s="429"/>
      <c r="R142" s="426"/>
      <c r="S142" s="1518"/>
      <c r="T142" s="2776"/>
      <c r="U142" s="1149"/>
      <c r="V142" s="4212"/>
      <c r="W142" s="4213"/>
      <c r="X142" s="4213"/>
      <c r="Y142" s="4213"/>
      <c r="Z142" s="4213"/>
      <c r="AA142" s="4213"/>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44" t="str">
        <f>"Conjuros de nivel "&amp;B145&amp;"-"&amp;B189</f>
        <v>Conjuros de nivel 42-50</v>
      </c>
      <c r="D144" s="6244"/>
      <c r="E144" s="6244"/>
      <c r="F144" s="6244"/>
      <c r="G144" s="6244"/>
      <c r="H144" s="6244"/>
      <c r="I144" s="6244"/>
      <c r="J144" s="6244"/>
      <c r="K144" s="6244"/>
      <c r="L144" s="6244"/>
      <c r="M144" s="6244"/>
      <c r="N144" s="6244"/>
      <c r="O144" s="6244"/>
      <c r="P144" s="6244"/>
      <c r="Q144" s="6244"/>
      <c r="R144" s="860"/>
      <c r="S144" s="1518"/>
      <c r="T144" s="2774"/>
      <c r="U144" s="862"/>
      <c r="V144" s="6244" t="str">
        <f>"Conjuros de nivel "&amp;U145&amp;"-"&amp;U189</f>
        <v>Conjuros de nivel 52-60</v>
      </c>
      <c r="W144" s="6244"/>
      <c r="X144" s="6244"/>
      <c r="Y144" s="6244"/>
      <c r="Z144" s="6244"/>
      <c r="AA144" s="6244"/>
      <c r="AB144" s="6244"/>
      <c r="AC144" s="6244"/>
      <c r="AD144" s="6244"/>
      <c r="AE144" s="6244"/>
      <c r="AF144" s="6244"/>
      <c r="AG144" s="6244"/>
      <c r="AH144" s="6244"/>
      <c r="AI144" s="6244"/>
      <c r="AJ144" s="6244"/>
      <c r="AK144" s="861"/>
      <c r="AL144" s="420"/>
    </row>
    <row r="145" spans="1:38" ht="12" customHeight="1" x14ac:dyDescent="0.2">
      <c r="A145" s="2774"/>
      <c r="B145" s="854">
        <f>B78+20</f>
        <v>42</v>
      </c>
      <c r="C145" s="6219"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20"/>
      <c r="E145" s="6220"/>
      <c r="F145" s="6220"/>
      <c r="G145" s="6221"/>
      <c r="H145" s="430" t="s">
        <v>1328</v>
      </c>
      <c r="I145" s="431">
        <f>B145</f>
        <v>42</v>
      </c>
      <c r="J145" s="6222" t="s">
        <v>6329</v>
      </c>
      <c r="K145" s="6222"/>
      <c r="L145" s="6222"/>
      <c r="M145" s="6183" t="e">
        <f>IF(C145=0,"",VLOOKUP(C145,'Tablas Magia'!$D$6:$Z$680,2,FALSE))</f>
        <v>#N/A</v>
      </c>
      <c r="N145" s="6183"/>
      <c r="O145" s="1853"/>
      <c r="P145" s="6214" t="str">
        <f>IFERROR(IF(M145="Libre Acceso","Aprendido",IF(IFERROR(VLOOKUP(M145,Místicos!$C$15:$H$25,6,0)&gt;=I145,FALSE),"Aprendido",IF(IFERROR(VLOOKUP(M145,Místicos!$E$15:$H$25,4,0)&gt;=I145,FALSE),"Aprendido",""))),"")</f>
        <v/>
      </c>
      <c r="Q145" s="6215"/>
      <c r="R145" s="426"/>
      <c r="S145" s="420"/>
      <c r="T145" s="2774"/>
      <c r="U145" s="854">
        <f>B189+2</f>
        <v>52</v>
      </c>
      <c r="V145" s="6219"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20"/>
      <c r="X145" s="6220"/>
      <c r="Y145" s="6220"/>
      <c r="Z145" s="6221"/>
      <c r="AA145" s="430" t="s">
        <v>1328</v>
      </c>
      <c r="AB145" s="431">
        <f>U145</f>
        <v>52</v>
      </c>
      <c r="AC145" s="6222" t="s">
        <v>6329</v>
      </c>
      <c r="AD145" s="6222"/>
      <c r="AE145" s="6222"/>
      <c r="AF145" s="6183" t="e">
        <f>IF(V145=0,"",VLOOKUP(V145,'Tablas Magia'!$D$6:$Z$680,2,FALSE))</f>
        <v>#N/A</v>
      </c>
      <c r="AG145" s="6183"/>
      <c r="AH145" s="1853"/>
      <c r="AI145" s="6214" t="str">
        <f>IFERROR(IF(AF145="Libre Acceso","Aprendido",IF(IFERROR(VLOOKUP(AF145,Místicos!$C$15:$H$25,6,0)&gt;=AB145,FALSE),"Aprendido",IF(IFERROR(VLOOKUP(AF145,Místicos!$E$15:$H$25,4,0)&gt;=AB145,FALSE),"Aprendido",""))),"")</f>
        <v/>
      </c>
      <c r="AJ145" s="6215"/>
      <c r="AK145" s="426"/>
      <c r="AL145" s="420"/>
    </row>
    <row r="146" spans="1:38" ht="12" customHeight="1" x14ac:dyDescent="0.2">
      <c r="A146" s="2774"/>
      <c r="B146" s="854"/>
      <c r="C146" s="6198" t="s">
        <v>6330</v>
      </c>
      <c r="D146" s="6228"/>
      <c r="E146" s="2760" t="s">
        <v>6331</v>
      </c>
      <c r="F146" s="2760" t="s">
        <v>1512</v>
      </c>
      <c r="G146" s="2760" t="s">
        <v>2862</v>
      </c>
      <c r="H146" s="2761" t="s">
        <v>1840</v>
      </c>
      <c r="I146" s="6226" t="e">
        <f>IF(C145=0,"",VLOOKUP(C145,'Tablas Magia'!$D$6:$Z$680,5,FALSE))</f>
        <v>#N/A</v>
      </c>
      <c r="J146" s="6226"/>
      <c r="K146" s="6229" t="s">
        <v>6332</v>
      </c>
      <c r="L146" s="6229"/>
      <c r="M146" s="6226" t="e">
        <f>IF(C145=0,"",VLOOKUP(C145,'Tablas Magia'!$D$6:$Z$680,6,FALSE))</f>
        <v>#N/A</v>
      </c>
      <c r="N146" s="6226"/>
      <c r="O146" s="6227" t="s">
        <v>6333</v>
      </c>
      <c r="P146" s="6227"/>
      <c r="Q146" s="2762" t="e">
        <f>IF(C145=0,"",VLOOKUP(C145,'Tablas Magia'!$D$6:$Z$680,4,FALSE))</f>
        <v>#N/A</v>
      </c>
      <c r="R146" s="426"/>
      <c r="S146" s="420"/>
      <c r="T146" s="2774"/>
      <c r="U146" s="854"/>
      <c r="V146" s="6198" t="s">
        <v>6330</v>
      </c>
      <c r="W146" s="6228"/>
      <c r="X146" s="2760" t="s">
        <v>6331</v>
      </c>
      <c r="Y146" s="2760" t="s">
        <v>1512</v>
      </c>
      <c r="Z146" s="2760" t="s">
        <v>2862</v>
      </c>
      <c r="AA146" s="2761" t="s">
        <v>1840</v>
      </c>
      <c r="AB146" s="6226" t="e">
        <f>IF(V145=0,"",VLOOKUP(V145,'Tablas Magia'!$D$6:$Z$680,5,FALSE))</f>
        <v>#N/A</v>
      </c>
      <c r="AC146" s="6226"/>
      <c r="AD146" s="6229" t="s">
        <v>6332</v>
      </c>
      <c r="AE146" s="6229"/>
      <c r="AF146" s="6226" t="e">
        <f>IF(V145=0,"",VLOOKUP(V145,'Tablas Magia'!$D$6:$Z$680,6,FALSE))</f>
        <v>#N/A</v>
      </c>
      <c r="AG146" s="6226"/>
      <c r="AH146" s="6227" t="s">
        <v>6333</v>
      </c>
      <c r="AI146" s="6227"/>
      <c r="AJ146" s="2762" t="e">
        <f>IF(V145=0,"",VLOOKUP(V145,'Tablas Magia'!$D$6:$Z$680,4,FALSE))</f>
        <v>#N/A</v>
      </c>
      <c r="AK146" s="426"/>
      <c r="AL146" s="420"/>
    </row>
    <row r="147" spans="1:38" ht="12" customHeight="1" x14ac:dyDescent="0.2">
      <c r="A147" s="2774"/>
      <c r="B147" s="854"/>
      <c r="C147" s="6190" t="s">
        <v>1368</v>
      </c>
      <c r="D147" s="6191"/>
      <c r="E147" s="2763" t="e">
        <f>IF(C145=0,"",VLOOKUP(C145,'Tablas Magia'!$D$6:$Z$680,7,FALSE))</f>
        <v>#N/A</v>
      </c>
      <c r="F147" s="2763" t="e">
        <f>IF(C145=0,"",VLOOKUP(C145,'Tablas Magia'!$D$6:$Z$680,11,FALSE))</f>
        <v>#N/A</v>
      </c>
      <c r="G147" s="436" t="e">
        <f>IF(C145=0,"",VLOOKUP(C145,'Tablas Magia'!$D$6:$Z$680,15,FALSE))</f>
        <v>#N/A</v>
      </c>
      <c r="H147" s="6192" t="e">
        <f>IF(C145=0,"",VLOOKUP(C145,'Tablas Magia'!$D$6:$Z$680,19,FALSE))</f>
        <v>#N/A</v>
      </c>
      <c r="I147" s="6216"/>
      <c r="J147" s="6216"/>
      <c r="K147" s="6216"/>
      <c r="L147" s="6216"/>
      <c r="M147" s="6216"/>
      <c r="N147" s="6216"/>
      <c r="O147" s="6216"/>
      <c r="P147" s="6216"/>
      <c r="Q147" s="6194"/>
      <c r="R147" s="426"/>
      <c r="S147" s="420"/>
      <c r="T147" s="2774"/>
      <c r="U147" s="854"/>
      <c r="V147" s="6238" t="s">
        <v>1368</v>
      </c>
      <c r="W147" s="6239"/>
      <c r="X147" s="2763" t="e">
        <f>IF(V145=0,"",VLOOKUP(V145,'Tablas Magia'!$D$6:$Z$680,7,FALSE))</f>
        <v>#N/A</v>
      </c>
      <c r="Y147" s="2763" t="e">
        <f>IF(V145=0,"",VLOOKUP(V145,'Tablas Magia'!$D$6:$Z$680,11,FALSE))</f>
        <v>#N/A</v>
      </c>
      <c r="Z147" s="436" t="e">
        <f>IF(V145=0,"",VLOOKUP(V145,'Tablas Magia'!$D$6:$Z$680,15,FALSE))</f>
        <v>#N/A</v>
      </c>
      <c r="AA147" s="6223" t="e">
        <f>IF(V145=0,"",VLOOKUP(V145,'Tablas Magia'!$D$6:$Z$680,19,FALSE))</f>
        <v>#N/A</v>
      </c>
      <c r="AB147" s="6224"/>
      <c r="AC147" s="6224"/>
      <c r="AD147" s="6224"/>
      <c r="AE147" s="6224"/>
      <c r="AF147" s="6224"/>
      <c r="AG147" s="6224"/>
      <c r="AH147" s="6224"/>
      <c r="AI147" s="6224"/>
      <c r="AJ147" s="6225"/>
      <c r="AK147" s="426"/>
      <c r="AL147" s="420"/>
    </row>
    <row r="148" spans="1:38" ht="12" customHeight="1" x14ac:dyDescent="0.2">
      <c r="A148" s="2774"/>
      <c r="B148" s="854"/>
      <c r="C148" s="6185" t="s">
        <v>3233</v>
      </c>
      <c r="D148" s="6186"/>
      <c r="E148" s="2764" t="e">
        <f>IF(C145=0,"",VLOOKUP(C145,'Tablas Magia'!$D$6:$Z$680,8,FALSE))</f>
        <v>#N/A</v>
      </c>
      <c r="F148" s="2764" t="e">
        <f>IF(C145=0,"",VLOOKUP(C145,'Tablas Magia'!$D$6:$Z$680,12,FALSE))</f>
        <v>#N/A</v>
      </c>
      <c r="G148" s="438" t="e">
        <f>IF(C145=0,"",VLOOKUP(C145,'Tablas Magia'!$D$6:$Z$680,16,FALSE))</f>
        <v>#N/A</v>
      </c>
      <c r="H148" s="6187" t="e">
        <f>IF(C145=0,"",VLOOKUP(C145,'Tablas Magia'!$D$6:$Z$680,20,FALSE))</f>
        <v>#N/A</v>
      </c>
      <c r="I148" s="6217"/>
      <c r="J148" s="6217"/>
      <c r="K148" s="6217"/>
      <c r="L148" s="6217"/>
      <c r="M148" s="6217"/>
      <c r="N148" s="6217"/>
      <c r="O148" s="6217"/>
      <c r="P148" s="6217"/>
      <c r="Q148" s="6189"/>
      <c r="R148" s="426"/>
      <c r="S148" s="420"/>
      <c r="T148" s="2774"/>
      <c r="U148" s="854"/>
      <c r="V148" s="6185" t="s">
        <v>3233</v>
      </c>
      <c r="W148" s="6186"/>
      <c r="X148" s="2764" t="e">
        <f>IF(V145=0,"",VLOOKUP(V145,'Tablas Magia'!$D$6:$Z$680,8,FALSE))</f>
        <v>#N/A</v>
      </c>
      <c r="Y148" s="2764" t="e">
        <f>IF(V145=0,"",VLOOKUP(V145,'Tablas Magia'!$D$6:$Z$680,12,FALSE))</f>
        <v>#N/A</v>
      </c>
      <c r="Z148" s="438" t="e">
        <f>IF(V145=0,"",VLOOKUP(V145,'Tablas Magia'!$D$6:$Z$680,16,FALSE))</f>
        <v>#N/A</v>
      </c>
      <c r="AA148" s="6187" t="e">
        <f>IF(V145=0,"",VLOOKUP(V145,'Tablas Magia'!$D$6:$Z$680,20,FALSE))</f>
        <v>#N/A</v>
      </c>
      <c r="AB148" s="6217"/>
      <c r="AC148" s="6217"/>
      <c r="AD148" s="6217"/>
      <c r="AE148" s="6217"/>
      <c r="AF148" s="6217"/>
      <c r="AG148" s="6217"/>
      <c r="AH148" s="6217"/>
      <c r="AI148" s="6217"/>
      <c r="AJ148" s="6189"/>
      <c r="AK148" s="426"/>
      <c r="AL148" s="420"/>
    </row>
    <row r="149" spans="1:38" ht="12" customHeight="1" x14ac:dyDescent="0.2">
      <c r="A149" s="2774"/>
      <c r="B149" s="854"/>
      <c r="C149" s="6190" t="s">
        <v>3234</v>
      </c>
      <c r="D149" s="6191"/>
      <c r="E149" s="2763" t="e">
        <f>IF(C145=0,"",VLOOKUP(C145,'Tablas Magia'!$D$6:$Z$680,9,FALSE))</f>
        <v>#N/A</v>
      </c>
      <c r="F149" s="2763" t="e">
        <f>IF(C145=0,"",VLOOKUP(C145,'Tablas Magia'!$D$6:$Z$680,13,FALSE))</f>
        <v>#N/A</v>
      </c>
      <c r="G149" s="436" t="e">
        <f>IF(C145=0,"",VLOOKUP(C145,'Tablas Magia'!$D$6:$Z$680,17,FALSE))</f>
        <v>#N/A</v>
      </c>
      <c r="H149" s="6192" t="e">
        <f>IF(C145=0,"",VLOOKUP(C145,'Tablas Magia'!$D$6:$Z$680,21,FALSE))</f>
        <v>#N/A</v>
      </c>
      <c r="I149" s="6216"/>
      <c r="J149" s="6216"/>
      <c r="K149" s="6216"/>
      <c r="L149" s="6216"/>
      <c r="M149" s="6216"/>
      <c r="N149" s="6216"/>
      <c r="O149" s="6216"/>
      <c r="P149" s="6216"/>
      <c r="Q149" s="6194"/>
      <c r="R149" s="426"/>
      <c r="S149" s="420"/>
      <c r="T149" s="2774"/>
      <c r="U149" s="854"/>
      <c r="V149" s="6190" t="s">
        <v>3234</v>
      </c>
      <c r="W149" s="6191"/>
      <c r="X149" s="2763" t="e">
        <f>IF(V145=0,"",VLOOKUP(V145,'Tablas Magia'!$D$6:$Z$680,9,FALSE))</f>
        <v>#N/A</v>
      </c>
      <c r="Y149" s="2763" t="e">
        <f>IF(V145=0,"",VLOOKUP(V145,'Tablas Magia'!$D$6:$Z$680,13,FALSE))</f>
        <v>#N/A</v>
      </c>
      <c r="Z149" s="436" t="e">
        <f>IF(V145=0,"",VLOOKUP(V145,'Tablas Magia'!$D$6:$Z$680,17,FALSE))</f>
        <v>#N/A</v>
      </c>
      <c r="AA149" s="6192" t="e">
        <f>IF(V145=0,"",VLOOKUP(V145,'Tablas Magia'!$D$6:$Z$680,21,FALSE))</f>
        <v>#N/A</v>
      </c>
      <c r="AB149" s="6216"/>
      <c r="AC149" s="6216"/>
      <c r="AD149" s="6216"/>
      <c r="AE149" s="6216"/>
      <c r="AF149" s="6216"/>
      <c r="AG149" s="6216"/>
      <c r="AH149" s="6216"/>
      <c r="AI149" s="6216"/>
      <c r="AJ149" s="6194"/>
      <c r="AK149" s="426"/>
      <c r="AL149" s="420"/>
    </row>
    <row r="150" spans="1:38" ht="12" customHeight="1" thickBot="1" x14ac:dyDescent="0.25">
      <c r="A150" s="2774"/>
      <c r="B150" s="854"/>
      <c r="C150" s="6200" t="s">
        <v>3235</v>
      </c>
      <c r="D150" s="6201"/>
      <c r="E150" s="439" t="e">
        <f>IF(C145=0,"",VLOOKUP(C145,'Tablas Magia'!$D$6:$Z$680,10,FALSE))</f>
        <v>#N/A</v>
      </c>
      <c r="F150" s="439" t="e">
        <f>IF(C145=0,"",VLOOKUP(C145,'Tablas Magia'!$D$6:$Z$680,14,FALSE))</f>
        <v>#N/A</v>
      </c>
      <c r="G150" s="440" t="e">
        <f>IF(C145=0,"",VLOOKUP(C145,'Tablas Magia'!$D$6:$Z$680,18,FALSE))</f>
        <v>#N/A</v>
      </c>
      <c r="H150" s="6202" t="e">
        <f>IF(C145=0,"",VLOOKUP(C145,'Tablas Magia'!$D$6:$Z$680,22,FALSE))</f>
        <v>#N/A</v>
      </c>
      <c r="I150" s="6203"/>
      <c r="J150" s="6203"/>
      <c r="K150" s="6203"/>
      <c r="L150" s="6203"/>
      <c r="M150" s="6203"/>
      <c r="N150" s="6203"/>
      <c r="O150" s="6203"/>
      <c r="P150" s="6203"/>
      <c r="Q150" s="6204"/>
      <c r="R150" s="426"/>
      <c r="S150" s="420"/>
      <c r="T150" s="2774"/>
      <c r="U150" s="854"/>
      <c r="V150" s="6200" t="s">
        <v>3235</v>
      </c>
      <c r="W150" s="6201"/>
      <c r="X150" s="439" t="e">
        <f>IF(V145=0,"",VLOOKUP(V145,'Tablas Magia'!$D$6:$Z$680,10,FALSE))</f>
        <v>#N/A</v>
      </c>
      <c r="Y150" s="439" t="e">
        <f>IF(V145=0,"",VLOOKUP(V145,'Tablas Magia'!$D$6:$Z$680,14,FALSE))</f>
        <v>#N/A</v>
      </c>
      <c r="Z150" s="440" t="e">
        <f>IF(V145=0,"",VLOOKUP(V145,'Tablas Magia'!$D$6:$Z$680,18,FALSE))</f>
        <v>#N/A</v>
      </c>
      <c r="AA150" s="6202" t="e">
        <f>IF(V145=0,"",VLOOKUP(V145,'Tablas Magia'!$D$6:$Z$680,22,FALSE))</f>
        <v>#N/A</v>
      </c>
      <c r="AB150" s="6203"/>
      <c r="AC150" s="6203"/>
      <c r="AD150" s="6203"/>
      <c r="AE150" s="6203"/>
      <c r="AF150" s="6203"/>
      <c r="AG150" s="6203"/>
      <c r="AH150" s="6203"/>
      <c r="AI150" s="6203"/>
      <c r="AJ150" s="6204"/>
      <c r="AK150" s="426"/>
      <c r="AL150" s="420"/>
    </row>
    <row r="151" spans="1:38" ht="12" customHeight="1" x14ac:dyDescent="0.2">
      <c r="A151" s="2774"/>
      <c r="B151" s="854"/>
      <c r="C151" s="6205" t="e">
        <f>IF(C145=0,"",VLOOKUP(C145,'Tablas Magia'!$D$6:$Z$680,23,FALSE))</f>
        <v>#N/A</v>
      </c>
      <c r="D151" s="6206"/>
      <c r="E151" s="6206"/>
      <c r="F151" s="6206"/>
      <c r="G151" s="6206"/>
      <c r="H151" s="6206"/>
      <c r="I151" s="6206"/>
      <c r="J151" s="6206"/>
      <c r="K151" s="6206"/>
      <c r="L151" s="6206"/>
      <c r="M151" s="6206"/>
      <c r="N151" s="6206"/>
      <c r="O151" s="6206"/>
      <c r="P151" s="6206"/>
      <c r="Q151" s="6207"/>
      <c r="R151" s="426"/>
      <c r="S151" s="420"/>
      <c r="T151" s="2774"/>
      <c r="U151" s="854"/>
      <c r="V151" s="6205" t="e">
        <f>IF(V145=0,"",VLOOKUP(V145,'Tablas Magia'!$D$6:$Z$680,23,FALSE))</f>
        <v>#N/A</v>
      </c>
      <c r="W151" s="6206"/>
      <c r="X151" s="6206"/>
      <c r="Y151" s="6206"/>
      <c r="Z151" s="6206"/>
      <c r="AA151" s="6206"/>
      <c r="AB151" s="6206"/>
      <c r="AC151" s="6206"/>
      <c r="AD151" s="6206"/>
      <c r="AE151" s="6206"/>
      <c r="AF151" s="6206"/>
      <c r="AG151" s="6206"/>
      <c r="AH151" s="6206"/>
      <c r="AI151" s="6206"/>
      <c r="AJ151" s="6207"/>
      <c r="AK151" s="426"/>
      <c r="AL151" s="420"/>
    </row>
    <row r="152" spans="1:38" ht="12" customHeight="1" x14ac:dyDescent="0.2">
      <c r="A152" s="2774"/>
      <c r="B152" s="854"/>
      <c r="C152" s="6208"/>
      <c r="D152" s="6218"/>
      <c r="E152" s="6218"/>
      <c r="F152" s="6218"/>
      <c r="G152" s="6218"/>
      <c r="H152" s="6218"/>
      <c r="I152" s="6218"/>
      <c r="J152" s="6218"/>
      <c r="K152" s="6218"/>
      <c r="L152" s="6218"/>
      <c r="M152" s="6218"/>
      <c r="N152" s="6218"/>
      <c r="O152" s="6218"/>
      <c r="P152" s="6218"/>
      <c r="Q152" s="6210"/>
      <c r="R152" s="426"/>
      <c r="S152" s="420"/>
      <c r="T152" s="2774"/>
      <c r="U152" s="854"/>
      <c r="V152" s="6208"/>
      <c r="W152" s="6218"/>
      <c r="X152" s="6218"/>
      <c r="Y152" s="6218"/>
      <c r="Z152" s="6218"/>
      <c r="AA152" s="6218"/>
      <c r="AB152" s="6218"/>
      <c r="AC152" s="6218"/>
      <c r="AD152" s="6218"/>
      <c r="AE152" s="6218"/>
      <c r="AF152" s="6218"/>
      <c r="AG152" s="6218"/>
      <c r="AH152" s="6218"/>
      <c r="AI152" s="6218"/>
      <c r="AJ152" s="6210"/>
      <c r="AK152" s="426"/>
      <c r="AL152" s="420"/>
    </row>
    <row r="153" spans="1:38" ht="12" customHeight="1" x14ac:dyDescent="0.2">
      <c r="A153" s="2774"/>
      <c r="B153" s="854"/>
      <c r="C153" s="6208"/>
      <c r="D153" s="6218"/>
      <c r="E153" s="6218"/>
      <c r="F153" s="6218"/>
      <c r="G153" s="6218"/>
      <c r="H153" s="6218"/>
      <c r="I153" s="6218"/>
      <c r="J153" s="6218"/>
      <c r="K153" s="6218"/>
      <c r="L153" s="6218"/>
      <c r="M153" s="6218"/>
      <c r="N153" s="6218"/>
      <c r="O153" s="6218"/>
      <c r="P153" s="6218"/>
      <c r="Q153" s="6210"/>
      <c r="R153" s="426"/>
      <c r="S153" s="420"/>
      <c r="T153" s="2774"/>
      <c r="U153" s="854"/>
      <c r="V153" s="6208"/>
      <c r="W153" s="6218"/>
      <c r="X153" s="6218"/>
      <c r="Y153" s="6218"/>
      <c r="Z153" s="6218"/>
      <c r="AA153" s="6218"/>
      <c r="AB153" s="6218"/>
      <c r="AC153" s="6218"/>
      <c r="AD153" s="6218"/>
      <c r="AE153" s="6218"/>
      <c r="AF153" s="6218"/>
      <c r="AG153" s="6218"/>
      <c r="AH153" s="6218"/>
      <c r="AI153" s="6218"/>
      <c r="AJ153" s="6210"/>
      <c r="AK153" s="426"/>
      <c r="AL153" s="420"/>
    </row>
    <row r="154" spans="1:38" ht="12" customHeight="1" thickBot="1" x14ac:dyDescent="0.25">
      <c r="A154" s="2774"/>
      <c r="B154" s="854"/>
      <c r="C154" s="6211"/>
      <c r="D154" s="6212"/>
      <c r="E154" s="6212"/>
      <c r="F154" s="6212"/>
      <c r="G154" s="6212"/>
      <c r="H154" s="6212"/>
      <c r="I154" s="6212"/>
      <c r="J154" s="6212"/>
      <c r="K154" s="6212"/>
      <c r="L154" s="6212"/>
      <c r="M154" s="6212"/>
      <c r="N154" s="6212"/>
      <c r="O154" s="6212"/>
      <c r="P154" s="6212"/>
      <c r="Q154" s="6213"/>
      <c r="R154" s="426"/>
      <c r="S154" s="420"/>
      <c r="T154" s="2774"/>
      <c r="U154" s="854"/>
      <c r="V154" s="6211"/>
      <c r="W154" s="6212"/>
      <c r="X154" s="6212"/>
      <c r="Y154" s="6212"/>
      <c r="Z154" s="6212"/>
      <c r="AA154" s="6212"/>
      <c r="AB154" s="6212"/>
      <c r="AC154" s="6212"/>
      <c r="AD154" s="6212"/>
      <c r="AE154" s="6212"/>
      <c r="AF154" s="6212"/>
      <c r="AG154" s="6212"/>
      <c r="AH154" s="6212"/>
      <c r="AI154" s="6212"/>
      <c r="AJ154" s="6213"/>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19"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20"/>
      <c r="E156" s="6220"/>
      <c r="F156" s="6220"/>
      <c r="G156" s="6221"/>
      <c r="H156" s="430" t="s">
        <v>1328</v>
      </c>
      <c r="I156" s="431">
        <f>B156</f>
        <v>44</v>
      </c>
      <c r="J156" s="6222" t="s">
        <v>6329</v>
      </c>
      <c r="K156" s="6222"/>
      <c r="L156" s="6222"/>
      <c r="M156" s="6183" t="e">
        <f>IF(C156=0,"",VLOOKUP(C156,'Tablas Magia'!$D$6:$Z$680,2,FALSE))</f>
        <v>#N/A</v>
      </c>
      <c r="N156" s="6183"/>
      <c r="O156" s="1853"/>
      <c r="P156" s="6214" t="str">
        <f>IFERROR(IF(M156="Libre Acceso","Aprendido",IF(IFERROR(VLOOKUP(M156,Místicos!$C$15:$H$25,6,0)&gt;=I156,FALSE),"Aprendido",IF(IFERROR(VLOOKUP(M156,Místicos!$E$15:$H$25,4,0)&gt;=I156,FALSE),"Aprendido",""))),"")</f>
        <v/>
      </c>
      <c r="Q156" s="6215"/>
      <c r="R156" s="426"/>
      <c r="S156" s="420"/>
      <c r="T156" s="2774"/>
      <c r="U156" s="854">
        <f>U145+2</f>
        <v>54</v>
      </c>
      <c r="V156" s="6219"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20"/>
      <c r="X156" s="6220"/>
      <c r="Y156" s="6220"/>
      <c r="Z156" s="6220"/>
      <c r="AA156" s="430" t="s">
        <v>1328</v>
      </c>
      <c r="AB156" s="431">
        <f>U156</f>
        <v>54</v>
      </c>
      <c r="AC156" s="6222" t="s">
        <v>6329</v>
      </c>
      <c r="AD156" s="6222"/>
      <c r="AE156" s="6222"/>
      <c r="AF156" s="6183" t="e">
        <f>IF(V156=0,"",VLOOKUP(V156,'Tablas Magia'!$D$6:$Z$680,2,FALSE))</f>
        <v>#N/A</v>
      </c>
      <c r="AG156" s="6183"/>
      <c r="AH156" s="1853"/>
      <c r="AI156" s="6214" t="str">
        <f>IFERROR(IF(AF156="Libre Acceso","Aprendido",IF(IFERROR(VLOOKUP(AF156,Místicos!$C$15:$H$25,6,0)&gt;=AB156,FALSE),"Aprendido",IF(IFERROR(VLOOKUP(AF156,Místicos!$E$15:$H$25,4,0)&gt;=AB156,FALSE),"Aprendido",""))),"")</f>
        <v/>
      </c>
      <c r="AJ156" s="6215"/>
      <c r="AK156" s="426"/>
      <c r="AL156" s="420"/>
    </row>
    <row r="157" spans="1:38" ht="12" customHeight="1" x14ac:dyDescent="0.2">
      <c r="A157" s="2774"/>
      <c r="B157" s="854"/>
      <c r="C157" s="6198" t="s">
        <v>6330</v>
      </c>
      <c r="D157" s="6228"/>
      <c r="E157" s="2760" t="s">
        <v>6331</v>
      </c>
      <c r="F157" s="2760" t="s">
        <v>1512</v>
      </c>
      <c r="G157" s="2760" t="s">
        <v>2862</v>
      </c>
      <c r="H157" s="2761" t="s">
        <v>1840</v>
      </c>
      <c r="I157" s="6226" t="e">
        <f>IF(C156=0,"",VLOOKUP(C156,'Tablas Magia'!$D$6:$Z$680,5,FALSE))</f>
        <v>#N/A</v>
      </c>
      <c r="J157" s="6226"/>
      <c r="K157" s="6229" t="s">
        <v>6332</v>
      </c>
      <c r="L157" s="6229"/>
      <c r="M157" s="6226" t="e">
        <f>IF(C156=0,"",VLOOKUP(C156,'Tablas Magia'!$D$6:$Z$680,6,FALSE))</f>
        <v>#N/A</v>
      </c>
      <c r="N157" s="6226"/>
      <c r="O157" s="6227" t="s">
        <v>6333</v>
      </c>
      <c r="P157" s="6227"/>
      <c r="Q157" s="2762" t="e">
        <f>IF(C156=0,"",VLOOKUP(C156,'Tablas Magia'!$D$6:$Z$680,4,FALSE))</f>
        <v>#N/A</v>
      </c>
      <c r="R157" s="426"/>
      <c r="S157" s="420"/>
      <c r="T157" s="2774"/>
      <c r="U157" s="854"/>
      <c r="V157" s="6198" t="s">
        <v>6330</v>
      </c>
      <c r="W157" s="6228"/>
      <c r="X157" s="2760" t="s">
        <v>6331</v>
      </c>
      <c r="Y157" s="2760" t="s">
        <v>1512</v>
      </c>
      <c r="Z157" s="2760" t="s">
        <v>2862</v>
      </c>
      <c r="AA157" s="2761" t="s">
        <v>1840</v>
      </c>
      <c r="AB157" s="6226" t="e">
        <f>IF(V156=0,"",VLOOKUP(V156,'Tablas Magia'!$D$6:$Z$680,5,FALSE))</f>
        <v>#N/A</v>
      </c>
      <c r="AC157" s="6226"/>
      <c r="AD157" s="6229" t="s">
        <v>6332</v>
      </c>
      <c r="AE157" s="6229"/>
      <c r="AF157" s="6226" t="e">
        <f>IF(V156=0,"",VLOOKUP(V156,'Tablas Magia'!$D$6:$Z$680,6,FALSE))</f>
        <v>#N/A</v>
      </c>
      <c r="AG157" s="6226"/>
      <c r="AH157" s="6227" t="s">
        <v>6333</v>
      </c>
      <c r="AI157" s="6227"/>
      <c r="AJ157" s="2762" t="e">
        <f>IF(V156=0,"",VLOOKUP(V156,'Tablas Magia'!$D$6:$Z$680,4,FALSE))</f>
        <v>#N/A</v>
      </c>
      <c r="AK157" s="426"/>
      <c r="AL157" s="420"/>
    </row>
    <row r="158" spans="1:38" ht="12" customHeight="1" x14ac:dyDescent="0.2">
      <c r="A158" s="2774"/>
      <c r="B158" s="854"/>
      <c r="C158" s="6238" t="s">
        <v>1368</v>
      </c>
      <c r="D158" s="6239"/>
      <c r="E158" s="2763" t="e">
        <f>IF(C156=0,"",VLOOKUP(C156,'Tablas Magia'!$D$6:$Z$680,7,FALSE))</f>
        <v>#N/A</v>
      </c>
      <c r="F158" s="2763" t="e">
        <f>IF(C156=0,"",VLOOKUP(C156,'Tablas Magia'!$D$6:$Z$680,11,FALSE))</f>
        <v>#N/A</v>
      </c>
      <c r="G158" s="436" t="e">
        <f>IF(C156=0,"",VLOOKUP(C156,'Tablas Magia'!$D$6:$Z$680,15,FALSE))</f>
        <v>#N/A</v>
      </c>
      <c r="H158" s="6223" t="e">
        <f>IF(C156=0,"",VLOOKUP(C156,'Tablas Magia'!$D$6:$Z$680,19,FALSE))</f>
        <v>#N/A</v>
      </c>
      <c r="I158" s="6224"/>
      <c r="J158" s="6224"/>
      <c r="K158" s="6224"/>
      <c r="L158" s="6224"/>
      <c r="M158" s="6224"/>
      <c r="N158" s="6224"/>
      <c r="O158" s="6224"/>
      <c r="P158" s="6224"/>
      <c r="Q158" s="6225"/>
      <c r="R158" s="426"/>
      <c r="S158" s="420"/>
      <c r="T158" s="2774"/>
      <c r="U158" s="854"/>
      <c r="V158" s="6190" t="s">
        <v>1368</v>
      </c>
      <c r="W158" s="6191"/>
      <c r="X158" s="2763" t="e">
        <f>IF(V156=0,"",VLOOKUP(V156,'Tablas Magia'!$D$6:$Z$680,7,FALSE))</f>
        <v>#N/A</v>
      </c>
      <c r="Y158" s="2763" t="e">
        <f>IF(V156=0,"",VLOOKUP(V156,'Tablas Magia'!$D$6:$Z$680,11,FALSE))</f>
        <v>#N/A</v>
      </c>
      <c r="Z158" s="436" t="e">
        <f>IF(V156=0,"",VLOOKUP(V156,'Tablas Magia'!$D$6:$Z$680,15,FALSE))</f>
        <v>#N/A</v>
      </c>
      <c r="AA158" s="6192" t="e">
        <f>IF(V156=0,"",VLOOKUP(V156,'Tablas Magia'!$D$6:$Z$680,19,FALSE))</f>
        <v>#N/A</v>
      </c>
      <c r="AB158" s="6216"/>
      <c r="AC158" s="6216"/>
      <c r="AD158" s="6216"/>
      <c r="AE158" s="6216"/>
      <c r="AF158" s="6216"/>
      <c r="AG158" s="6216"/>
      <c r="AH158" s="6216"/>
      <c r="AI158" s="6216"/>
      <c r="AJ158" s="6194"/>
      <c r="AK158" s="426"/>
      <c r="AL158" s="420"/>
    </row>
    <row r="159" spans="1:38" ht="12" customHeight="1" x14ac:dyDescent="0.2">
      <c r="A159" s="2774"/>
      <c r="B159" s="854"/>
      <c r="C159" s="6185" t="s">
        <v>3233</v>
      </c>
      <c r="D159" s="6186"/>
      <c r="E159" s="2764" t="e">
        <f>IF(C156=0,"",VLOOKUP(C156,'Tablas Magia'!$D$6:$Z$680,8,FALSE))</f>
        <v>#N/A</v>
      </c>
      <c r="F159" s="2764" t="e">
        <f>IF(C156=0,"",VLOOKUP(C156,'Tablas Magia'!$D$6:$Z$680,12,FALSE))</f>
        <v>#N/A</v>
      </c>
      <c r="G159" s="438" t="e">
        <f>IF(C156=0,"",VLOOKUP(C156,'Tablas Magia'!$D$6:$Z$680,16,FALSE))</f>
        <v>#N/A</v>
      </c>
      <c r="H159" s="6187" t="e">
        <f>IF(C156=0,"",VLOOKUP(C156,'Tablas Magia'!$D$6:$Z$680,20,FALSE))</f>
        <v>#N/A</v>
      </c>
      <c r="I159" s="6217"/>
      <c r="J159" s="6217"/>
      <c r="K159" s="6217"/>
      <c r="L159" s="6217"/>
      <c r="M159" s="6217"/>
      <c r="N159" s="6217"/>
      <c r="O159" s="6217"/>
      <c r="P159" s="6217"/>
      <c r="Q159" s="6189"/>
      <c r="R159" s="426"/>
      <c r="S159" s="420"/>
      <c r="T159" s="2774"/>
      <c r="U159" s="854"/>
      <c r="V159" s="6185" t="s">
        <v>3233</v>
      </c>
      <c r="W159" s="6186"/>
      <c r="X159" s="2764" t="e">
        <f>IF(V156=0,"",VLOOKUP(V156,'Tablas Magia'!$D$6:$Z$680,8,FALSE))</f>
        <v>#N/A</v>
      </c>
      <c r="Y159" s="2764" t="e">
        <f>IF(V156=0,"",VLOOKUP(V156,'Tablas Magia'!$D$6:$Z$680,12,FALSE))</f>
        <v>#N/A</v>
      </c>
      <c r="Z159" s="438" t="e">
        <f>IF(V156=0,"",VLOOKUP(V156,'Tablas Magia'!$D$6:$Z$680,16,FALSE))</f>
        <v>#N/A</v>
      </c>
      <c r="AA159" s="6187" t="e">
        <f>IF(V156=0,"",VLOOKUP(V156,'Tablas Magia'!$D$6:$Z$680,20,FALSE))</f>
        <v>#N/A</v>
      </c>
      <c r="AB159" s="6217"/>
      <c r="AC159" s="6217"/>
      <c r="AD159" s="6217"/>
      <c r="AE159" s="6217"/>
      <c r="AF159" s="6217"/>
      <c r="AG159" s="6217"/>
      <c r="AH159" s="6217"/>
      <c r="AI159" s="6217"/>
      <c r="AJ159" s="6189"/>
      <c r="AK159" s="426"/>
      <c r="AL159" s="420"/>
    </row>
    <row r="160" spans="1:38" ht="12" customHeight="1" x14ac:dyDescent="0.2">
      <c r="A160" s="2774"/>
      <c r="B160" s="854"/>
      <c r="C160" s="6190" t="s">
        <v>3234</v>
      </c>
      <c r="D160" s="6191"/>
      <c r="E160" s="2763" t="e">
        <f>IF(C156=0,"",VLOOKUP(C156,'Tablas Magia'!$D$6:$Z$680,9,FALSE))</f>
        <v>#N/A</v>
      </c>
      <c r="F160" s="2763" t="e">
        <f>IF(C156=0,"",VLOOKUP(C156,'Tablas Magia'!$D$6:$Z$680,13,FALSE))</f>
        <v>#N/A</v>
      </c>
      <c r="G160" s="436" t="e">
        <f>IF(C156=0,"",VLOOKUP(C156,'Tablas Magia'!$D$6:$Z$680,17,FALSE))</f>
        <v>#N/A</v>
      </c>
      <c r="H160" s="6192" t="e">
        <f>IF(C156=0,"",VLOOKUP(C156,'Tablas Magia'!$D$6:$Z$680,21,FALSE))</f>
        <v>#N/A</v>
      </c>
      <c r="I160" s="6216"/>
      <c r="J160" s="6216"/>
      <c r="K160" s="6216"/>
      <c r="L160" s="6216"/>
      <c r="M160" s="6216"/>
      <c r="N160" s="6216"/>
      <c r="O160" s="6216"/>
      <c r="P160" s="6216"/>
      <c r="Q160" s="6194"/>
      <c r="R160" s="426"/>
      <c r="S160" s="420"/>
      <c r="T160" s="2774"/>
      <c r="U160" s="854"/>
      <c r="V160" s="6190" t="s">
        <v>3234</v>
      </c>
      <c r="W160" s="6191"/>
      <c r="X160" s="2763" t="e">
        <f>IF(V156=0,"",VLOOKUP(V156,'Tablas Magia'!$D$6:$Z$680,9,FALSE))</f>
        <v>#N/A</v>
      </c>
      <c r="Y160" s="2763" t="e">
        <f>IF(V156=0,"",VLOOKUP(V156,'Tablas Magia'!$D$6:$Z$680,13,FALSE))</f>
        <v>#N/A</v>
      </c>
      <c r="Z160" s="436" t="e">
        <f>IF(V156=0,"",VLOOKUP(V156,'Tablas Magia'!$D$6:$Z$680,17,FALSE))</f>
        <v>#N/A</v>
      </c>
      <c r="AA160" s="6192" t="e">
        <f>IF(V156=0,"",VLOOKUP(V156,'Tablas Magia'!$D$6:$Z$680,21,FALSE))</f>
        <v>#N/A</v>
      </c>
      <c r="AB160" s="6216"/>
      <c r="AC160" s="6216"/>
      <c r="AD160" s="6216"/>
      <c r="AE160" s="6216"/>
      <c r="AF160" s="6216"/>
      <c r="AG160" s="6216"/>
      <c r="AH160" s="6216"/>
      <c r="AI160" s="6216"/>
      <c r="AJ160" s="6194"/>
      <c r="AK160" s="426"/>
      <c r="AL160" s="420"/>
    </row>
    <row r="161" spans="1:38" ht="12" customHeight="1" thickBot="1" x14ac:dyDescent="0.25">
      <c r="A161" s="2774"/>
      <c r="B161" s="854"/>
      <c r="C161" s="6200" t="s">
        <v>3235</v>
      </c>
      <c r="D161" s="6201"/>
      <c r="E161" s="439" t="e">
        <f>IF(C156=0,"",VLOOKUP(C156,'Tablas Magia'!$D$6:$Z$680,10,FALSE))</f>
        <v>#N/A</v>
      </c>
      <c r="F161" s="439" t="e">
        <f>IF(C156=0,"",VLOOKUP(C156,'Tablas Magia'!$D$6:$Z$680,14,FALSE))</f>
        <v>#N/A</v>
      </c>
      <c r="G161" s="440" t="e">
        <f>IF(C156=0,"",VLOOKUP(C156,'Tablas Magia'!$D$6:$Z$680,18,FALSE))</f>
        <v>#N/A</v>
      </c>
      <c r="H161" s="6202" t="e">
        <f>IF(C156=0,"",VLOOKUP(C156,'Tablas Magia'!$D$6:$Z$680,22,FALSE))</f>
        <v>#N/A</v>
      </c>
      <c r="I161" s="6203"/>
      <c r="J161" s="6203"/>
      <c r="K161" s="6203"/>
      <c r="L161" s="6203"/>
      <c r="M161" s="6203"/>
      <c r="N161" s="6203"/>
      <c r="O161" s="6203"/>
      <c r="P161" s="6203"/>
      <c r="Q161" s="6204"/>
      <c r="R161" s="426"/>
      <c r="S161" s="420"/>
      <c r="T161" s="2774"/>
      <c r="U161" s="854"/>
      <c r="V161" s="6200" t="s">
        <v>3235</v>
      </c>
      <c r="W161" s="6201"/>
      <c r="X161" s="439" t="e">
        <f>IF(V156=0,"",VLOOKUP(V156,'Tablas Magia'!$D$6:$Z$680,10,FALSE))</f>
        <v>#N/A</v>
      </c>
      <c r="Y161" s="439" t="e">
        <f>IF(V156=0,"",VLOOKUP(V156,'Tablas Magia'!$D$6:$Z$680,14,FALSE))</f>
        <v>#N/A</v>
      </c>
      <c r="Z161" s="440" t="e">
        <f>IF(V156=0,"",VLOOKUP(V156,'Tablas Magia'!$D$6:$Z$680,18,FALSE))</f>
        <v>#N/A</v>
      </c>
      <c r="AA161" s="6202" t="e">
        <f>IF(V156=0,"",VLOOKUP(V156,'Tablas Magia'!$D$6:$Z$680,22,FALSE))</f>
        <v>#N/A</v>
      </c>
      <c r="AB161" s="6203"/>
      <c r="AC161" s="6203"/>
      <c r="AD161" s="6203"/>
      <c r="AE161" s="6203"/>
      <c r="AF161" s="6203"/>
      <c r="AG161" s="6203"/>
      <c r="AH161" s="6203"/>
      <c r="AI161" s="6203"/>
      <c r="AJ161" s="6204"/>
      <c r="AK161" s="426"/>
      <c r="AL161" s="420"/>
    </row>
    <row r="162" spans="1:38" ht="12" customHeight="1" x14ac:dyDescent="0.2">
      <c r="A162" s="2774"/>
      <c r="B162" s="854"/>
      <c r="C162" s="6205" t="e">
        <f>IF(C156=0,"",VLOOKUP(C156,'Tablas Magia'!$D$6:$Z$680,23,FALSE))</f>
        <v>#N/A</v>
      </c>
      <c r="D162" s="6206"/>
      <c r="E162" s="6206"/>
      <c r="F162" s="6206"/>
      <c r="G162" s="6206"/>
      <c r="H162" s="6206"/>
      <c r="I162" s="6206"/>
      <c r="J162" s="6206"/>
      <c r="K162" s="6206"/>
      <c r="L162" s="6206"/>
      <c r="M162" s="6206"/>
      <c r="N162" s="6206"/>
      <c r="O162" s="6206"/>
      <c r="P162" s="6206"/>
      <c r="Q162" s="6207"/>
      <c r="R162" s="426"/>
      <c r="S162" s="420"/>
      <c r="T162" s="2774"/>
      <c r="U162" s="854"/>
      <c r="V162" s="6205" t="e">
        <f>IF(V156=0,"",VLOOKUP(V156,'Tablas Magia'!$D$6:$Z$680,23,FALSE))</f>
        <v>#N/A</v>
      </c>
      <c r="W162" s="6206"/>
      <c r="X162" s="6206"/>
      <c r="Y162" s="6206"/>
      <c r="Z162" s="6206"/>
      <c r="AA162" s="6206"/>
      <c r="AB162" s="6206"/>
      <c r="AC162" s="6206"/>
      <c r="AD162" s="6206"/>
      <c r="AE162" s="6206"/>
      <c r="AF162" s="6206"/>
      <c r="AG162" s="6206"/>
      <c r="AH162" s="6206"/>
      <c r="AI162" s="6206"/>
      <c r="AJ162" s="6207"/>
      <c r="AK162" s="426"/>
      <c r="AL162" s="420"/>
    </row>
    <row r="163" spans="1:38" ht="12" customHeight="1" x14ac:dyDescent="0.2">
      <c r="A163" s="2774"/>
      <c r="B163" s="854"/>
      <c r="C163" s="6208"/>
      <c r="D163" s="6218"/>
      <c r="E163" s="6218"/>
      <c r="F163" s="6218"/>
      <c r="G163" s="6218"/>
      <c r="H163" s="6218"/>
      <c r="I163" s="6218"/>
      <c r="J163" s="6218"/>
      <c r="K163" s="6218"/>
      <c r="L163" s="6218"/>
      <c r="M163" s="6218"/>
      <c r="N163" s="6218"/>
      <c r="O163" s="6218"/>
      <c r="P163" s="6218"/>
      <c r="Q163" s="6210"/>
      <c r="R163" s="426"/>
      <c r="S163" s="420"/>
      <c r="T163" s="2774"/>
      <c r="U163" s="854"/>
      <c r="V163" s="6208"/>
      <c r="W163" s="6218"/>
      <c r="X163" s="6218"/>
      <c r="Y163" s="6218"/>
      <c r="Z163" s="6218"/>
      <c r="AA163" s="6218"/>
      <c r="AB163" s="6218"/>
      <c r="AC163" s="6218"/>
      <c r="AD163" s="6218"/>
      <c r="AE163" s="6218"/>
      <c r="AF163" s="6218"/>
      <c r="AG163" s="6218"/>
      <c r="AH163" s="6218"/>
      <c r="AI163" s="6218"/>
      <c r="AJ163" s="6210"/>
      <c r="AK163" s="426"/>
      <c r="AL163" s="420"/>
    </row>
    <row r="164" spans="1:38" ht="12" customHeight="1" x14ac:dyDescent="0.2">
      <c r="A164" s="2774"/>
      <c r="B164" s="854"/>
      <c r="C164" s="6208"/>
      <c r="D164" s="6218"/>
      <c r="E164" s="6218"/>
      <c r="F164" s="6218"/>
      <c r="G164" s="6218"/>
      <c r="H164" s="6218"/>
      <c r="I164" s="6218"/>
      <c r="J164" s="6218"/>
      <c r="K164" s="6218"/>
      <c r="L164" s="6218"/>
      <c r="M164" s="6218"/>
      <c r="N164" s="6218"/>
      <c r="O164" s="6218"/>
      <c r="P164" s="6218"/>
      <c r="Q164" s="6210"/>
      <c r="R164" s="426"/>
      <c r="S164" s="420"/>
      <c r="T164" s="2774"/>
      <c r="U164" s="854"/>
      <c r="V164" s="6208"/>
      <c r="W164" s="6218"/>
      <c r="X164" s="6218"/>
      <c r="Y164" s="6218"/>
      <c r="Z164" s="6218"/>
      <c r="AA164" s="6218"/>
      <c r="AB164" s="6218"/>
      <c r="AC164" s="6218"/>
      <c r="AD164" s="6218"/>
      <c r="AE164" s="6218"/>
      <c r="AF164" s="6218"/>
      <c r="AG164" s="6218"/>
      <c r="AH164" s="6218"/>
      <c r="AI164" s="6218"/>
      <c r="AJ164" s="6210"/>
      <c r="AK164" s="426"/>
      <c r="AL164" s="420"/>
    </row>
    <row r="165" spans="1:38" ht="12" customHeight="1" thickBot="1" x14ac:dyDescent="0.25">
      <c r="A165" s="2774"/>
      <c r="B165" s="854"/>
      <c r="C165" s="6211"/>
      <c r="D165" s="6212"/>
      <c r="E165" s="6212"/>
      <c r="F165" s="6212"/>
      <c r="G165" s="6212"/>
      <c r="H165" s="6212"/>
      <c r="I165" s="6212"/>
      <c r="J165" s="6212"/>
      <c r="K165" s="6212"/>
      <c r="L165" s="6212"/>
      <c r="M165" s="6212"/>
      <c r="N165" s="6212"/>
      <c r="O165" s="6212"/>
      <c r="P165" s="6212"/>
      <c r="Q165" s="6213"/>
      <c r="R165" s="426"/>
      <c r="S165" s="420"/>
      <c r="T165" s="2774"/>
      <c r="U165" s="854"/>
      <c r="V165" s="6211"/>
      <c r="W165" s="6212"/>
      <c r="X165" s="6212"/>
      <c r="Y165" s="6212"/>
      <c r="Z165" s="6212"/>
      <c r="AA165" s="6212"/>
      <c r="AB165" s="6212"/>
      <c r="AC165" s="6212"/>
      <c r="AD165" s="6212"/>
      <c r="AE165" s="6212"/>
      <c r="AF165" s="6212"/>
      <c r="AG165" s="6212"/>
      <c r="AH165" s="6212"/>
      <c r="AI165" s="6212"/>
      <c r="AJ165" s="6213"/>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19"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20"/>
      <c r="E167" s="6220"/>
      <c r="F167" s="6220"/>
      <c r="G167" s="6221"/>
      <c r="H167" s="430" t="s">
        <v>1328</v>
      </c>
      <c r="I167" s="431">
        <f>B167</f>
        <v>46</v>
      </c>
      <c r="J167" s="6222" t="s">
        <v>6329</v>
      </c>
      <c r="K167" s="6222"/>
      <c r="L167" s="6222"/>
      <c r="M167" s="6183" t="e">
        <f>IF(C167=0,"",VLOOKUP(C167,'Tablas Magia'!$D$6:$Z$680,2,FALSE))</f>
        <v>#N/A</v>
      </c>
      <c r="N167" s="6183"/>
      <c r="O167" s="1853"/>
      <c r="P167" s="6214" t="str">
        <f>IFERROR(IF(M167="Libre Acceso","Aprendido",IF(IFERROR(VLOOKUP(M167,Místicos!$C$15:$H$25,6,0)&gt;=I167,FALSE),"Aprendido",IF(IFERROR(VLOOKUP(M167,Místicos!$E$15:$H$25,4,0)&gt;=I167,FALSE),"Aprendido",""))),"")</f>
        <v/>
      </c>
      <c r="Q167" s="6215"/>
      <c r="R167" s="426"/>
      <c r="S167" s="420"/>
      <c r="T167" s="2774"/>
      <c r="U167" s="854">
        <f>U156+2</f>
        <v>56</v>
      </c>
      <c r="V167" s="6219"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20"/>
      <c r="X167" s="6220"/>
      <c r="Y167" s="6220"/>
      <c r="Z167" s="6220"/>
      <c r="AA167" s="430" t="s">
        <v>1328</v>
      </c>
      <c r="AB167" s="431">
        <f>U167</f>
        <v>56</v>
      </c>
      <c r="AC167" s="6222" t="s">
        <v>6329</v>
      </c>
      <c r="AD167" s="6222"/>
      <c r="AE167" s="6222"/>
      <c r="AF167" s="6183" t="e">
        <f>IF(V167=0,"",VLOOKUP(V167,'Tablas Magia'!$D$6:$Z$680,2,FALSE))</f>
        <v>#N/A</v>
      </c>
      <c r="AG167" s="6183"/>
      <c r="AH167" s="1853"/>
      <c r="AI167" s="6214" t="str">
        <f>IFERROR(IF(AF167="Libre Acceso","Aprendido",IF(IFERROR(VLOOKUP(AF167,Místicos!$C$15:$H$25,6,0)&gt;=AB167,FALSE),"Aprendido",IF(IFERROR(VLOOKUP(AF167,Místicos!$E$15:$H$25,4,0)&gt;=AB167,FALSE),"Aprendido",""))),"")</f>
        <v/>
      </c>
      <c r="AJ167" s="6215"/>
      <c r="AK167" s="426"/>
      <c r="AL167" s="420"/>
    </row>
    <row r="168" spans="1:38" ht="12" customHeight="1" x14ac:dyDescent="0.2">
      <c r="A168" s="2774"/>
      <c r="B168" s="854"/>
      <c r="C168" s="6198" t="s">
        <v>6330</v>
      </c>
      <c r="D168" s="6228"/>
      <c r="E168" s="2760" t="s">
        <v>6331</v>
      </c>
      <c r="F168" s="2760" t="s">
        <v>1512</v>
      </c>
      <c r="G168" s="2760" t="s">
        <v>2862</v>
      </c>
      <c r="H168" s="2761" t="s">
        <v>1840</v>
      </c>
      <c r="I168" s="6226" t="e">
        <f>IF(C167=0,"",VLOOKUP(C167,'Tablas Magia'!$D$6:$Z$680,5,FALSE))</f>
        <v>#N/A</v>
      </c>
      <c r="J168" s="6226"/>
      <c r="K168" s="6229" t="s">
        <v>6332</v>
      </c>
      <c r="L168" s="6229"/>
      <c r="M168" s="6226" t="e">
        <f>IF(C167=0,"",VLOOKUP(C167,'Tablas Magia'!$D$6:$Z$680,6,FALSE))</f>
        <v>#N/A</v>
      </c>
      <c r="N168" s="6226"/>
      <c r="O168" s="6227" t="s">
        <v>6333</v>
      </c>
      <c r="P168" s="6227"/>
      <c r="Q168" s="2762" t="e">
        <f>IF(C167=0,"",VLOOKUP(C167,'Tablas Magia'!$D$6:$Z$680,4,FALSE))</f>
        <v>#N/A</v>
      </c>
      <c r="R168" s="426"/>
      <c r="S168" s="420"/>
      <c r="T168" s="2774"/>
      <c r="U168" s="854"/>
      <c r="V168" s="6198" t="s">
        <v>6330</v>
      </c>
      <c r="W168" s="6228"/>
      <c r="X168" s="2760" t="s">
        <v>6331</v>
      </c>
      <c r="Y168" s="2760" t="s">
        <v>1512</v>
      </c>
      <c r="Z168" s="2760" t="s">
        <v>2862</v>
      </c>
      <c r="AA168" s="2761" t="s">
        <v>1840</v>
      </c>
      <c r="AB168" s="6226" t="e">
        <f>IF(V167=0,"",VLOOKUP(V167,'Tablas Magia'!$D$6:$Z$680,5,FALSE))</f>
        <v>#N/A</v>
      </c>
      <c r="AC168" s="6226"/>
      <c r="AD168" s="6229" t="s">
        <v>6332</v>
      </c>
      <c r="AE168" s="6229"/>
      <c r="AF168" s="6226" t="e">
        <f>IF(V167=0,"",VLOOKUP(V167,'Tablas Magia'!$D$6:$Z$680,6,FALSE))</f>
        <v>#N/A</v>
      </c>
      <c r="AG168" s="6226"/>
      <c r="AH168" s="6227" t="s">
        <v>6333</v>
      </c>
      <c r="AI168" s="6227"/>
      <c r="AJ168" s="2762" t="e">
        <f>IF(V167=0,"",VLOOKUP(V167,'Tablas Magia'!$D$6:$Z$680,4,FALSE))</f>
        <v>#N/A</v>
      </c>
      <c r="AK168" s="426"/>
      <c r="AL168" s="420"/>
    </row>
    <row r="169" spans="1:38" ht="12" customHeight="1" x14ac:dyDescent="0.2">
      <c r="A169" s="2774"/>
      <c r="B169" s="854"/>
      <c r="C169" s="6238" t="s">
        <v>1368</v>
      </c>
      <c r="D169" s="6239"/>
      <c r="E169" s="2763" t="e">
        <f>IF(C167=0,"",VLOOKUP(C167,'Tablas Magia'!$D$6:$Z$680,7,FALSE))</f>
        <v>#N/A</v>
      </c>
      <c r="F169" s="2763" t="e">
        <f>IF(C167=0,"",VLOOKUP(C167,'Tablas Magia'!$D$6:$Z$680,11,FALSE))</f>
        <v>#N/A</v>
      </c>
      <c r="G169" s="436" t="e">
        <f>IF(C167=0,"",VLOOKUP(C167,'Tablas Magia'!$D$6:$Z$680,15,FALSE))</f>
        <v>#N/A</v>
      </c>
      <c r="H169" s="6223" t="e">
        <f>IF(C167=0,"",VLOOKUP(C167,'Tablas Magia'!$D$6:$Z$680,19,FALSE))</f>
        <v>#N/A</v>
      </c>
      <c r="I169" s="6224"/>
      <c r="J169" s="6224"/>
      <c r="K169" s="6224"/>
      <c r="L169" s="6224"/>
      <c r="M169" s="6224"/>
      <c r="N169" s="6224"/>
      <c r="O169" s="6224"/>
      <c r="P169" s="6224"/>
      <c r="Q169" s="6225"/>
      <c r="R169" s="426"/>
      <c r="S169" s="420"/>
      <c r="T169" s="2774"/>
      <c r="U169" s="854"/>
      <c r="V169" s="6190" t="s">
        <v>1368</v>
      </c>
      <c r="W169" s="6191"/>
      <c r="X169" s="2763" t="e">
        <f>IF(V167=0,"",VLOOKUP(V167,'Tablas Magia'!$D$6:$Z$680,7,FALSE))</f>
        <v>#N/A</v>
      </c>
      <c r="Y169" s="2763" t="e">
        <f>IF(V167=0,"",VLOOKUP(V167,'Tablas Magia'!$D$6:$Z$680,11,FALSE))</f>
        <v>#N/A</v>
      </c>
      <c r="Z169" s="436" t="e">
        <f>IF(V167=0,"",VLOOKUP(V167,'Tablas Magia'!$D$6:$Z$680,15,FALSE))</f>
        <v>#N/A</v>
      </c>
      <c r="AA169" s="6192" t="e">
        <f>IF(V167=0,"",VLOOKUP(V167,'Tablas Magia'!$D$6:$Z$680,19,FALSE))</f>
        <v>#N/A</v>
      </c>
      <c r="AB169" s="6216"/>
      <c r="AC169" s="6216"/>
      <c r="AD169" s="6216"/>
      <c r="AE169" s="6216"/>
      <c r="AF169" s="6216"/>
      <c r="AG169" s="6216"/>
      <c r="AH169" s="6216"/>
      <c r="AI169" s="6216"/>
      <c r="AJ169" s="6194"/>
      <c r="AK169" s="426"/>
      <c r="AL169" s="420"/>
    </row>
    <row r="170" spans="1:38" ht="12" customHeight="1" x14ac:dyDescent="0.2">
      <c r="A170" s="2774"/>
      <c r="B170" s="854"/>
      <c r="C170" s="6185" t="s">
        <v>3233</v>
      </c>
      <c r="D170" s="6186"/>
      <c r="E170" s="2764" t="e">
        <f>IF(C167=0,"",VLOOKUP(C167,'Tablas Magia'!$D$6:$Z$680,8,FALSE))</f>
        <v>#N/A</v>
      </c>
      <c r="F170" s="2764" t="e">
        <f>IF(C167=0,"",VLOOKUP(C167,'Tablas Magia'!$D$6:$Z$680,12,FALSE))</f>
        <v>#N/A</v>
      </c>
      <c r="G170" s="438" t="e">
        <f>IF(C167=0,"",VLOOKUP(C167,'Tablas Magia'!$D$6:$Z$680,16,FALSE))</f>
        <v>#N/A</v>
      </c>
      <c r="H170" s="6187" t="e">
        <f>IF(C167=0,"",VLOOKUP(C167,'Tablas Magia'!$D$6:$Z$680,20,FALSE))</f>
        <v>#N/A</v>
      </c>
      <c r="I170" s="6217"/>
      <c r="J170" s="6217"/>
      <c r="K170" s="6217"/>
      <c r="L170" s="6217"/>
      <c r="M170" s="6217"/>
      <c r="N170" s="6217"/>
      <c r="O170" s="6217"/>
      <c r="P170" s="6217"/>
      <c r="Q170" s="6189"/>
      <c r="R170" s="426"/>
      <c r="S170" s="420"/>
      <c r="T170" s="2774"/>
      <c r="U170" s="854"/>
      <c r="V170" s="6185" t="s">
        <v>3233</v>
      </c>
      <c r="W170" s="6186"/>
      <c r="X170" s="2764" t="e">
        <f>IF(V167=0,"",VLOOKUP(V167,'Tablas Magia'!$D$6:$Z$680,8,FALSE))</f>
        <v>#N/A</v>
      </c>
      <c r="Y170" s="2764" t="e">
        <f>IF(V167=0,"",VLOOKUP(V167,'Tablas Magia'!$D$6:$Z$680,12,FALSE))</f>
        <v>#N/A</v>
      </c>
      <c r="Z170" s="438" t="e">
        <f>IF(V167=0,"",VLOOKUP(V167,'Tablas Magia'!$D$6:$Z$680,16,FALSE))</f>
        <v>#N/A</v>
      </c>
      <c r="AA170" s="6187" t="e">
        <f>IF(V167=0,"",VLOOKUP(V167,'Tablas Magia'!$D$6:$Z$680,20,FALSE))</f>
        <v>#N/A</v>
      </c>
      <c r="AB170" s="6217"/>
      <c r="AC170" s="6217"/>
      <c r="AD170" s="6217"/>
      <c r="AE170" s="6217"/>
      <c r="AF170" s="6217"/>
      <c r="AG170" s="6217"/>
      <c r="AH170" s="6217"/>
      <c r="AI170" s="6217"/>
      <c r="AJ170" s="6189"/>
      <c r="AK170" s="426"/>
      <c r="AL170" s="420"/>
    </row>
    <row r="171" spans="1:38" ht="12" customHeight="1" x14ac:dyDescent="0.2">
      <c r="A171" s="2774"/>
      <c r="B171" s="854"/>
      <c r="C171" s="6190" t="s">
        <v>3234</v>
      </c>
      <c r="D171" s="6191"/>
      <c r="E171" s="2763" t="e">
        <f>IF(C167=0,"",VLOOKUP(C167,'Tablas Magia'!$D$6:$Z$680,9,FALSE))</f>
        <v>#N/A</v>
      </c>
      <c r="F171" s="2763" t="e">
        <f>IF(C167=0,"",VLOOKUP(C167,'Tablas Magia'!$D$6:$Z$680,13,FALSE))</f>
        <v>#N/A</v>
      </c>
      <c r="G171" s="436" t="e">
        <f>IF(C167=0,"",VLOOKUP(C167,'Tablas Magia'!$D$6:$Z$680,17,FALSE))</f>
        <v>#N/A</v>
      </c>
      <c r="H171" s="6192" t="e">
        <f>IF(C167=0,"",VLOOKUP(C167,'Tablas Magia'!$D$6:$Z$680,21,FALSE))</f>
        <v>#N/A</v>
      </c>
      <c r="I171" s="6216"/>
      <c r="J171" s="6216"/>
      <c r="K171" s="6216"/>
      <c r="L171" s="6216"/>
      <c r="M171" s="6216"/>
      <c r="N171" s="6216"/>
      <c r="O171" s="6216"/>
      <c r="P171" s="6216"/>
      <c r="Q171" s="6194"/>
      <c r="R171" s="426"/>
      <c r="S171" s="420"/>
      <c r="T171" s="2774"/>
      <c r="U171" s="854"/>
      <c r="V171" s="6190" t="s">
        <v>3234</v>
      </c>
      <c r="W171" s="6191"/>
      <c r="X171" s="2763" t="e">
        <f>IF(V167=0,"",VLOOKUP(V167,'Tablas Magia'!$D$6:$Z$680,9,FALSE))</f>
        <v>#N/A</v>
      </c>
      <c r="Y171" s="2763" t="e">
        <f>IF(V167=0,"",VLOOKUP(V167,'Tablas Magia'!$D$6:$Z$680,13,FALSE))</f>
        <v>#N/A</v>
      </c>
      <c r="Z171" s="436" t="e">
        <f>IF(V167=0,"",VLOOKUP(V167,'Tablas Magia'!$D$6:$Z$680,17,FALSE))</f>
        <v>#N/A</v>
      </c>
      <c r="AA171" s="6192" t="e">
        <f>IF(V167=0,"",VLOOKUP(V167,'Tablas Magia'!$D$6:$Z$680,21,FALSE))</f>
        <v>#N/A</v>
      </c>
      <c r="AB171" s="6216"/>
      <c r="AC171" s="6216"/>
      <c r="AD171" s="6216"/>
      <c r="AE171" s="6216"/>
      <c r="AF171" s="6216"/>
      <c r="AG171" s="6216"/>
      <c r="AH171" s="6216"/>
      <c r="AI171" s="6216"/>
      <c r="AJ171" s="6194"/>
      <c r="AK171" s="426"/>
      <c r="AL171" s="420"/>
    </row>
    <row r="172" spans="1:38" ht="12" customHeight="1" thickBot="1" x14ac:dyDescent="0.25">
      <c r="A172" s="2774"/>
      <c r="B172" s="854"/>
      <c r="C172" s="6200" t="s">
        <v>3235</v>
      </c>
      <c r="D172" s="6201"/>
      <c r="E172" s="439" t="e">
        <f>IF(C167=0,"",VLOOKUP(C167,'Tablas Magia'!$D$6:$Z$680,10,FALSE))</f>
        <v>#N/A</v>
      </c>
      <c r="F172" s="439" t="e">
        <f>IF(C167=0,"",VLOOKUP(C167,'Tablas Magia'!$D$6:$Z$680,14,FALSE))</f>
        <v>#N/A</v>
      </c>
      <c r="G172" s="440" t="e">
        <f>IF(C167=0,"",VLOOKUP(C167,'Tablas Magia'!$D$6:$Z$680,18,FALSE))</f>
        <v>#N/A</v>
      </c>
      <c r="H172" s="6202" t="e">
        <f>IF(C167=0,"",VLOOKUP(C167,'Tablas Magia'!$D$6:$Z$680,22,FALSE))</f>
        <v>#N/A</v>
      </c>
      <c r="I172" s="6203"/>
      <c r="J172" s="6203"/>
      <c r="K172" s="6203"/>
      <c r="L172" s="6203"/>
      <c r="M172" s="6203"/>
      <c r="N172" s="6203"/>
      <c r="O172" s="6203"/>
      <c r="P172" s="6203"/>
      <c r="Q172" s="6204"/>
      <c r="R172" s="426"/>
      <c r="S172" s="420"/>
      <c r="T172" s="2774"/>
      <c r="U172" s="854"/>
      <c r="V172" s="6200" t="s">
        <v>3235</v>
      </c>
      <c r="W172" s="6201"/>
      <c r="X172" s="439" t="e">
        <f>IF(V167=0,"",VLOOKUP(V167,'Tablas Magia'!$D$6:$Z$680,10,FALSE))</f>
        <v>#N/A</v>
      </c>
      <c r="Y172" s="439" t="e">
        <f>IF(V167=0,"",VLOOKUP(V167,'Tablas Magia'!$D$6:$Z$680,14,FALSE))</f>
        <v>#N/A</v>
      </c>
      <c r="Z172" s="440" t="e">
        <f>IF(V167=0,"",VLOOKUP(V167,'Tablas Magia'!$D$6:$Z$680,18,FALSE))</f>
        <v>#N/A</v>
      </c>
      <c r="AA172" s="6202" t="e">
        <f>IF(V167=0,"",VLOOKUP(V167,'Tablas Magia'!$D$6:$Z$680,22,FALSE))</f>
        <v>#N/A</v>
      </c>
      <c r="AB172" s="6203"/>
      <c r="AC172" s="6203"/>
      <c r="AD172" s="6203"/>
      <c r="AE172" s="6203"/>
      <c r="AF172" s="6203"/>
      <c r="AG172" s="6203"/>
      <c r="AH172" s="6203"/>
      <c r="AI172" s="6203"/>
      <c r="AJ172" s="6204"/>
      <c r="AK172" s="426"/>
      <c r="AL172" s="420"/>
    </row>
    <row r="173" spans="1:38" ht="12" customHeight="1" x14ac:dyDescent="0.2">
      <c r="A173" s="2774"/>
      <c r="B173" s="854"/>
      <c r="C173" s="6205" t="e">
        <f>IF(C167=0,"",VLOOKUP(C167,'Tablas Magia'!$D$6:$Z$680,23,FALSE))</f>
        <v>#N/A</v>
      </c>
      <c r="D173" s="6206"/>
      <c r="E173" s="6206"/>
      <c r="F173" s="6206"/>
      <c r="G173" s="6206"/>
      <c r="H173" s="6206"/>
      <c r="I173" s="6206"/>
      <c r="J173" s="6206"/>
      <c r="K173" s="6206"/>
      <c r="L173" s="6206"/>
      <c r="M173" s="6206"/>
      <c r="N173" s="6206"/>
      <c r="O173" s="6206"/>
      <c r="P173" s="6206"/>
      <c r="Q173" s="6207"/>
      <c r="R173" s="426"/>
      <c r="S173" s="420"/>
      <c r="T173" s="2774"/>
      <c r="U173" s="854"/>
      <c r="V173" s="6205" t="e">
        <f>IF(V167=0,"",VLOOKUP(V167,'Tablas Magia'!$D$6:$Z$680,23,FALSE))</f>
        <v>#N/A</v>
      </c>
      <c r="W173" s="6206"/>
      <c r="X173" s="6206"/>
      <c r="Y173" s="6206"/>
      <c r="Z173" s="6206"/>
      <c r="AA173" s="6206"/>
      <c r="AB173" s="6206"/>
      <c r="AC173" s="6206"/>
      <c r="AD173" s="6206"/>
      <c r="AE173" s="6206"/>
      <c r="AF173" s="6206"/>
      <c r="AG173" s="6206"/>
      <c r="AH173" s="6206"/>
      <c r="AI173" s="6206"/>
      <c r="AJ173" s="6207"/>
      <c r="AK173" s="426"/>
      <c r="AL173" s="420"/>
    </row>
    <row r="174" spans="1:38" ht="12" customHeight="1" x14ac:dyDescent="0.2">
      <c r="A174" s="2774"/>
      <c r="B174" s="854"/>
      <c r="C174" s="6208"/>
      <c r="D174" s="6218"/>
      <c r="E174" s="6218"/>
      <c r="F174" s="6218"/>
      <c r="G174" s="6218"/>
      <c r="H174" s="6218"/>
      <c r="I174" s="6218"/>
      <c r="J174" s="6218"/>
      <c r="K174" s="6218"/>
      <c r="L174" s="6218"/>
      <c r="M174" s="6218"/>
      <c r="N174" s="6218"/>
      <c r="O174" s="6218"/>
      <c r="P174" s="6218"/>
      <c r="Q174" s="6210"/>
      <c r="R174" s="426"/>
      <c r="S174" s="420"/>
      <c r="T174" s="2774"/>
      <c r="U174" s="854"/>
      <c r="V174" s="6208"/>
      <c r="W174" s="6218"/>
      <c r="X174" s="6218"/>
      <c r="Y174" s="6218"/>
      <c r="Z174" s="6218"/>
      <c r="AA174" s="6218"/>
      <c r="AB174" s="6218"/>
      <c r="AC174" s="6218"/>
      <c r="AD174" s="6218"/>
      <c r="AE174" s="6218"/>
      <c r="AF174" s="6218"/>
      <c r="AG174" s="6218"/>
      <c r="AH174" s="6218"/>
      <c r="AI174" s="6218"/>
      <c r="AJ174" s="6210"/>
      <c r="AK174" s="426"/>
      <c r="AL174" s="420"/>
    </row>
    <row r="175" spans="1:38" ht="12" customHeight="1" x14ac:dyDescent="0.2">
      <c r="A175" s="2774"/>
      <c r="B175" s="854"/>
      <c r="C175" s="6208"/>
      <c r="D175" s="6218"/>
      <c r="E175" s="6218"/>
      <c r="F175" s="6218"/>
      <c r="G175" s="6218"/>
      <c r="H175" s="6218"/>
      <c r="I175" s="6218"/>
      <c r="J175" s="6218"/>
      <c r="K175" s="6218"/>
      <c r="L175" s="6218"/>
      <c r="M175" s="6218"/>
      <c r="N175" s="6218"/>
      <c r="O175" s="6218"/>
      <c r="P175" s="6218"/>
      <c r="Q175" s="6210"/>
      <c r="R175" s="426"/>
      <c r="S175" s="420"/>
      <c r="T175" s="2774"/>
      <c r="U175" s="854"/>
      <c r="V175" s="6208"/>
      <c r="W175" s="6218"/>
      <c r="X175" s="6218"/>
      <c r="Y175" s="6218"/>
      <c r="Z175" s="6218"/>
      <c r="AA175" s="6218"/>
      <c r="AB175" s="6218"/>
      <c r="AC175" s="6218"/>
      <c r="AD175" s="6218"/>
      <c r="AE175" s="6218"/>
      <c r="AF175" s="6218"/>
      <c r="AG175" s="6218"/>
      <c r="AH175" s="6218"/>
      <c r="AI175" s="6218"/>
      <c r="AJ175" s="6210"/>
      <c r="AK175" s="426"/>
      <c r="AL175" s="420"/>
    </row>
    <row r="176" spans="1:38" ht="12" customHeight="1" thickBot="1" x14ac:dyDescent="0.25">
      <c r="A176" s="2774"/>
      <c r="B176" s="854"/>
      <c r="C176" s="6211"/>
      <c r="D176" s="6212"/>
      <c r="E176" s="6212"/>
      <c r="F176" s="6212"/>
      <c r="G176" s="6212"/>
      <c r="H176" s="6212"/>
      <c r="I176" s="6212"/>
      <c r="J176" s="6212"/>
      <c r="K176" s="6212"/>
      <c r="L176" s="6212"/>
      <c r="M176" s="6212"/>
      <c r="N176" s="6212"/>
      <c r="O176" s="6212"/>
      <c r="P176" s="6212"/>
      <c r="Q176" s="6213"/>
      <c r="R176" s="426"/>
      <c r="S176" s="420"/>
      <c r="T176" s="2774"/>
      <c r="U176" s="854"/>
      <c r="V176" s="6211"/>
      <c r="W176" s="6212"/>
      <c r="X176" s="6212"/>
      <c r="Y176" s="6212"/>
      <c r="Z176" s="6212"/>
      <c r="AA176" s="6212"/>
      <c r="AB176" s="6212"/>
      <c r="AC176" s="6212"/>
      <c r="AD176" s="6212"/>
      <c r="AE176" s="6212"/>
      <c r="AF176" s="6212"/>
      <c r="AG176" s="6212"/>
      <c r="AH176" s="6212"/>
      <c r="AI176" s="6212"/>
      <c r="AJ176" s="6213"/>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19"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20"/>
      <c r="E178" s="6220"/>
      <c r="F178" s="6220"/>
      <c r="G178" s="6221"/>
      <c r="H178" s="430" t="s">
        <v>1328</v>
      </c>
      <c r="I178" s="431">
        <f>B178</f>
        <v>48</v>
      </c>
      <c r="J178" s="6222" t="s">
        <v>6329</v>
      </c>
      <c r="K178" s="6222"/>
      <c r="L178" s="6222"/>
      <c r="M178" s="6183" t="e">
        <f>IF(C178=0,"",VLOOKUP(C178,'Tablas Magia'!$D$6:$Z$680,2,FALSE))</f>
        <v>#N/A</v>
      </c>
      <c r="N178" s="6183"/>
      <c r="O178" s="1853"/>
      <c r="P178" s="6214" t="str">
        <f>IFERROR(IF(M178="Libre Acceso","Aprendido",IF(IFERROR(VLOOKUP(M178,Místicos!$C$15:$H$25,6,0)&gt;=I178,FALSE),"Aprendido",IF(IFERROR(VLOOKUP(M178,Místicos!$E$15:$H$25,4,0)&gt;=I178,FALSE),"Aprendido",""))),"")</f>
        <v/>
      </c>
      <c r="Q178" s="6215"/>
      <c r="R178" s="426"/>
      <c r="S178" s="420"/>
      <c r="T178" s="2774"/>
      <c r="U178" s="854">
        <f>U167+2</f>
        <v>58</v>
      </c>
      <c r="V178" s="6219"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20"/>
      <c r="X178" s="6220"/>
      <c r="Y178" s="6220"/>
      <c r="Z178" s="6220"/>
      <c r="AA178" s="430" t="s">
        <v>1328</v>
      </c>
      <c r="AB178" s="431">
        <f>U178</f>
        <v>58</v>
      </c>
      <c r="AC178" s="6222" t="s">
        <v>6329</v>
      </c>
      <c r="AD178" s="6222"/>
      <c r="AE178" s="6222"/>
      <c r="AF178" s="6183" t="e">
        <f>IF(V178=0,"",VLOOKUP(V178,'Tablas Magia'!$D$6:$Z$680,2,FALSE))</f>
        <v>#N/A</v>
      </c>
      <c r="AG178" s="6183"/>
      <c r="AH178" s="1853"/>
      <c r="AI178" s="6214" t="str">
        <f>IFERROR(IF(AF178="Libre Acceso","Aprendido",IF(IFERROR(VLOOKUP(AF178,Místicos!$C$15:$H$25,6,0)&gt;=AB178,FALSE),"Aprendido",IF(IFERROR(VLOOKUP(AF178,Místicos!$E$15:$H$25,4,0)&gt;=AB178,FALSE),"Aprendido",""))),"")</f>
        <v/>
      </c>
      <c r="AJ178" s="6215"/>
      <c r="AK178" s="426"/>
      <c r="AL178" s="420"/>
    </row>
    <row r="179" spans="1:38" ht="12" customHeight="1" x14ac:dyDescent="0.2">
      <c r="A179" s="2774"/>
      <c r="B179" s="854"/>
      <c r="C179" s="6198" t="s">
        <v>6330</v>
      </c>
      <c r="D179" s="6228"/>
      <c r="E179" s="2760" t="s">
        <v>6331</v>
      </c>
      <c r="F179" s="2760" t="s">
        <v>1512</v>
      </c>
      <c r="G179" s="2760" t="s">
        <v>2862</v>
      </c>
      <c r="H179" s="2761" t="s">
        <v>1840</v>
      </c>
      <c r="I179" s="6226" t="e">
        <f>IF(C178=0,"",VLOOKUP(C178,'Tablas Magia'!$D$6:$Z$680,5,FALSE))</f>
        <v>#N/A</v>
      </c>
      <c r="J179" s="6226"/>
      <c r="K179" s="6229" t="s">
        <v>6332</v>
      </c>
      <c r="L179" s="6229"/>
      <c r="M179" s="6226" t="e">
        <f>IF(C178=0,"",VLOOKUP(C178,'Tablas Magia'!$D$6:$Z$680,6,FALSE))</f>
        <v>#N/A</v>
      </c>
      <c r="N179" s="6226"/>
      <c r="O179" s="6227" t="s">
        <v>6333</v>
      </c>
      <c r="P179" s="6227"/>
      <c r="Q179" s="2762" t="e">
        <f>IF(C178=0,"",VLOOKUP(C178,'Tablas Magia'!$D$6:$Z$680,4,FALSE))</f>
        <v>#N/A</v>
      </c>
      <c r="R179" s="426"/>
      <c r="S179" s="420"/>
      <c r="T179" s="2774"/>
      <c r="U179" s="854"/>
      <c r="V179" s="6198" t="s">
        <v>6330</v>
      </c>
      <c r="W179" s="6228"/>
      <c r="X179" s="2760" t="s">
        <v>6331</v>
      </c>
      <c r="Y179" s="2760" t="s">
        <v>1512</v>
      </c>
      <c r="Z179" s="2760" t="s">
        <v>2862</v>
      </c>
      <c r="AA179" s="2761" t="s">
        <v>1840</v>
      </c>
      <c r="AB179" s="6226" t="e">
        <f>IF(V178=0,"",VLOOKUP(V178,'Tablas Magia'!$D$6:$Z$680,5,FALSE))</f>
        <v>#N/A</v>
      </c>
      <c r="AC179" s="6226"/>
      <c r="AD179" s="6229" t="s">
        <v>6332</v>
      </c>
      <c r="AE179" s="6229"/>
      <c r="AF179" s="6226" t="e">
        <f>IF(V178=0,"",VLOOKUP(V178,'Tablas Magia'!$D$6:$Z$680,6,FALSE))</f>
        <v>#N/A</v>
      </c>
      <c r="AG179" s="6226"/>
      <c r="AH179" s="6227" t="s">
        <v>6333</v>
      </c>
      <c r="AI179" s="6227"/>
      <c r="AJ179" s="2762" t="e">
        <f>IF(V178=0,"",VLOOKUP(V178,'Tablas Magia'!$D$6:$Z$680,4,FALSE))</f>
        <v>#N/A</v>
      </c>
      <c r="AK179" s="426"/>
      <c r="AL179" s="420"/>
    </row>
    <row r="180" spans="1:38" ht="12" customHeight="1" x14ac:dyDescent="0.2">
      <c r="A180" s="2774"/>
      <c r="B180" s="854"/>
      <c r="C180" s="6238" t="s">
        <v>1368</v>
      </c>
      <c r="D180" s="6239"/>
      <c r="E180" s="2763" t="e">
        <f>IF(C178=0,"",VLOOKUP(C178,'Tablas Magia'!$D$6:$Z$680,7,FALSE))</f>
        <v>#N/A</v>
      </c>
      <c r="F180" s="2763" t="e">
        <f>IF(C178=0,"",VLOOKUP(C178,'Tablas Magia'!$D$6:$Z$680,11,FALSE))</f>
        <v>#N/A</v>
      </c>
      <c r="G180" s="436" t="e">
        <f>IF(C178=0,"",VLOOKUP(C178,'Tablas Magia'!$D$6:$Z$680,15,FALSE))</f>
        <v>#N/A</v>
      </c>
      <c r="H180" s="6223" t="e">
        <f>IF(C178=0,"",VLOOKUP(C178,'Tablas Magia'!$D$6:$Z$680,19,FALSE))</f>
        <v>#N/A</v>
      </c>
      <c r="I180" s="6224"/>
      <c r="J180" s="6224"/>
      <c r="K180" s="6224"/>
      <c r="L180" s="6224"/>
      <c r="M180" s="6224"/>
      <c r="N180" s="6224"/>
      <c r="O180" s="6224"/>
      <c r="P180" s="6224"/>
      <c r="Q180" s="6225"/>
      <c r="R180" s="426"/>
      <c r="S180" s="420"/>
      <c r="T180" s="2774"/>
      <c r="U180" s="854"/>
      <c r="V180" s="6190" t="s">
        <v>1368</v>
      </c>
      <c r="W180" s="6191"/>
      <c r="X180" s="2763" t="e">
        <f>IF(V178=0,"",VLOOKUP(V178,'Tablas Magia'!$D$6:$Z$680,7,FALSE))</f>
        <v>#N/A</v>
      </c>
      <c r="Y180" s="2763" t="e">
        <f>IF(V178=0,"",VLOOKUP(V178,'Tablas Magia'!$D$6:$Z$680,11,FALSE))</f>
        <v>#N/A</v>
      </c>
      <c r="Z180" s="436" t="e">
        <f>IF(V178=0,"",VLOOKUP(V178,'Tablas Magia'!$D$6:$Z$680,15,FALSE))</f>
        <v>#N/A</v>
      </c>
      <c r="AA180" s="6192" t="e">
        <f>IF(V178=0,"",VLOOKUP(V178,'Tablas Magia'!$D$6:$Z$680,19,FALSE))</f>
        <v>#N/A</v>
      </c>
      <c r="AB180" s="6216"/>
      <c r="AC180" s="6216"/>
      <c r="AD180" s="6216"/>
      <c r="AE180" s="6216"/>
      <c r="AF180" s="6216"/>
      <c r="AG180" s="6216"/>
      <c r="AH180" s="6216"/>
      <c r="AI180" s="6216"/>
      <c r="AJ180" s="6194"/>
      <c r="AK180" s="426"/>
      <c r="AL180" s="420"/>
    </row>
    <row r="181" spans="1:38" ht="12" customHeight="1" x14ac:dyDescent="0.2">
      <c r="A181" s="2774"/>
      <c r="B181" s="854"/>
      <c r="C181" s="6185" t="s">
        <v>3233</v>
      </c>
      <c r="D181" s="6186"/>
      <c r="E181" s="2764" t="e">
        <f>IF(C178=0,"",VLOOKUP(C178,'Tablas Magia'!$D$6:$Z$680,8,FALSE))</f>
        <v>#N/A</v>
      </c>
      <c r="F181" s="2764" t="e">
        <f>IF(C178=0,"",VLOOKUP(C178,'Tablas Magia'!$D$6:$Z$680,12,FALSE))</f>
        <v>#N/A</v>
      </c>
      <c r="G181" s="438" t="e">
        <f>IF(C178=0,"",VLOOKUP(C178,'Tablas Magia'!$D$6:$Z$680,16,FALSE))</f>
        <v>#N/A</v>
      </c>
      <c r="H181" s="6187" t="e">
        <f>IF(C178=0,"",VLOOKUP(C178,'Tablas Magia'!$D$6:$Z$680,20,FALSE))</f>
        <v>#N/A</v>
      </c>
      <c r="I181" s="6217"/>
      <c r="J181" s="6217"/>
      <c r="K181" s="6217"/>
      <c r="L181" s="6217"/>
      <c r="M181" s="6217"/>
      <c r="N181" s="6217"/>
      <c r="O181" s="6217"/>
      <c r="P181" s="6217"/>
      <c r="Q181" s="6189"/>
      <c r="R181" s="426"/>
      <c r="S181" s="420"/>
      <c r="T181" s="2774"/>
      <c r="U181" s="854"/>
      <c r="V181" s="6185" t="s">
        <v>3233</v>
      </c>
      <c r="W181" s="6186"/>
      <c r="X181" s="2764" t="e">
        <f>IF(V178=0,"",VLOOKUP(V178,'Tablas Magia'!$D$6:$Z$680,8,FALSE))</f>
        <v>#N/A</v>
      </c>
      <c r="Y181" s="2764" t="e">
        <f>IF(V178=0,"",VLOOKUP(V178,'Tablas Magia'!$D$6:$Z$680,12,FALSE))</f>
        <v>#N/A</v>
      </c>
      <c r="Z181" s="438" t="e">
        <f>IF(V178=0,"",VLOOKUP(V178,'Tablas Magia'!$D$6:$Z$680,16,FALSE))</f>
        <v>#N/A</v>
      </c>
      <c r="AA181" s="6187" t="e">
        <f>IF(V178=0,"",VLOOKUP(V178,'Tablas Magia'!$D$6:$Z$680,20,FALSE))</f>
        <v>#N/A</v>
      </c>
      <c r="AB181" s="6217"/>
      <c r="AC181" s="6217"/>
      <c r="AD181" s="6217"/>
      <c r="AE181" s="6217"/>
      <c r="AF181" s="6217"/>
      <c r="AG181" s="6217"/>
      <c r="AH181" s="6217"/>
      <c r="AI181" s="6217"/>
      <c r="AJ181" s="6189"/>
      <c r="AK181" s="426"/>
      <c r="AL181" s="420"/>
    </row>
    <row r="182" spans="1:38" ht="12" customHeight="1" x14ac:dyDescent="0.2">
      <c r="A182" s="2774"/>
      <c r="B182" s="854"/>
      <c r="C182" s="6190" t="s">
        <v>3234</v>
      </c>
      <c r="D182" s="6191"/>
      <c r="E182" s="2763" t="e">
        <f>IF(C178=0,"",VLOOKUP(C178,'Tablas Magia'!$D$6:$Z$680,9,FALSE))</f>
        <v>#N/A</v>
      </c>
      <c r="F182" s="2763" t="e">
        <f>IF(C178=0,"",VLOOKUP(C178,'Tablas Magia'!$D$6:$Z$680,13,FALSE))</f>
        <v>#N/A</v>
      </c>
      <c r="G182" s="436" t="e">
        <f>IF(C178=0,"",VLOOKUP(C178,'Tablas Magia'!$D$6:$Z$680,17,FALSE))</f>
        <v>#N/A</v>
      </c>
      <c r="H182" s="6192" t="e">
        <f>IF(C178=0,"",VLOOKUP(C178,'Tablas Magia'!$D$6:$Z$680,21,FALSE))</f>
        <v>#N/A</v>
      </c>
      <c r="I182" s="6216"/>
      <c r="J182" s="6216"/>
      <c r="K182" s="6216"/>
      <c r="L182" s="6216"/>
      <c r="M182" s="6216"/>
      <c r="N182" s="6216"/>
      <c r="O182" s="6216"/>
      <c r="P182" s="6216"/>
      <c r="Q182" s="6194"/>
      <c r="R182" s="426"/>
      <c r="S182" s="420"/>
      <c r="T182" s="2774"/>
      <c r="U182" s="854"/>
      <c r="V182" s="6190" t="s">
        <v>3234</v>
      </c>
      <c r="W182" s="6191"/>
      <c r="X182" s="2763" t="e">
        <f>IF(V178=0,"",VLOOKUP(V178,'Tablas Magia'!$D$6:$Z$680,9,FALSE))</f>
        <v>#N/A</v>
      </c>
      <c r="Y182" s="2763" t="e">
        <f>IF(V178=0,"",VLOOKUP(V178,'Tablas Magia'!$D$6:$Z$680,13,FALSE))</f>
        <v>#N/A</v>
      </c>
      <c r="Z182" s="436" t="e">
        <f>IF(V178=0,"",VLOOKUP(V178,'Tablas Magia'!$D$6:$Z$680,17,FALSE))</f>
        <v>#N/A</v>
      </c>
      <c r="AA182" s="6192" t="e">
        <f>IF(V178=0,"",VLOOKUP(V178,'Tablas Magia'!$D$6:$Z$680,21,FALSE))</f>
        <v>#N/A</v>
      </c>
      <c r="AB182" s="6216"/>
      <c r="AC182" s="6216"/>
      <c r="AD182" s="6216"/>
      <c r="AE182" s="6216"/>
      <c r="AF182" s="6216"/>
      <c r="AG182" s="6216"/>
      <c r="AH182" s="6216"/>
      <c r="AI182" s="6216"/>
      <c r="AJ182" s="6194"/>
      <c r="AK182" s="426"/>
      <c r="AL182" s="420"/>
    </row>
    <row r="183" spans="1:38" ht="12" customHeight="1" thickBot="1" x14ac:dyDescent="0.25">
      <c r="A183" s="2774"/>
      <c r="B183" s="854"/>
      <c r="C183" s="6200" t="s">
        <v>3235</v>
      </c>
      <c r="D183" s="6201"/>
      <c r="E183" s="439" t="e">
        <f>IF(C178=0,"",VLOOKUP(C178,'Tablas Magia'!$D$6:$Z$680,10,FALSE))</f>
        <v>#N/A</v>
      </c>
      <c r="F183" s="439" t="e">
        <f>IF(C178=0,"",VLOOKUP(C178,'Tablas Magia'!$D$6:$Z$680,14,FALSE))</f>
        <v>#N/A</v>
      </c>
      <c r="G183" s="440" t="e">
        <f>IF(C178=0,"",VLOOKUP(C178,'Tablas Magia'!$D$6:$Z$680,18,FALSE))</f>
        <v>#N/A</v>
      </c>
      <c r="H183" s="6202" t="e">
        <f>IF(C178=0,"",VLOOKUP(C178,'Tablas Magia'!$D$6:$Z$680,22,FALSE))</f>
        <v>#N/A</v>
      </c>
      <c r="I183" s="6203"/>
      <c r="J183" s="6203"/>
      <c r="K183" s="6203"/>
      <c r="L183" s="6203"/>
      <c r="M183" s="6203"/>
      <c r="N183" s="6203"/>
      <c r="O183" s="6203"/>
      <c r="P183" s="6203"/>
      <c r="Q183" s="6204"/>
      <c r="R183" s="426"/>
      <c r="S183" s="420"/>
      <c r="T183" s="2774"/>
      <c r="U183" s="854"/>
      <c r="V183" s="6200" t="s">
        <v>3235</v>
      </c>
      <c r="W183" s="6201"/>
      <c r="X183" s="439" t="e">
        <f>IF(V178=0,"",VLOOKUP(V178,'Tablas Magia'!$D$6:$Z$680,10,FALSE))</f>
        <v>#N/A</v>
      </c>
      <c r="Y183" s="439" t="e">
        <f>IF(V178=0,"",VLOOKUP(V178,'Tablas Magia'!$D$6:$Z$680,14,FALSE))</f>
        <v>#N/A</v>
      </c>
      <c r="Z183" s="440" t="e">
        <f>IF(V178=0,"",VLOOKUP(V178,'Tablas Magia'!$D$6:$Z$680,18,FALSE))</f>
        <v>#N/A</v>
      </c>
      <c r="AA183" s="6202" t="e">
        <f>IF(V178=0,"",VLOOKUP(V178,'Tablas Magia'!$D$6:$Z$680,22,FALSE))</f>
        <v>#N/A</v>
      </c>
      <c r="AB183" s="6203"/>
      <c r="AC183" s="6203"/>
      <c r="AD183" s="6203"/>
      <c r="AE183" s="6203"/>
      <c r="AF183" s="6203"/>
      <c r="AG183" s="6203"/>
      <c r="AH183" s="6203"/>
      <c r="AI183" s="6203"/>
      <c r="AJ183" s="6204"/>
      <c r="AK183" s="426"/>
      <c r="AL183" s="420"/>
    </row>
    <row r="184" spans="1:38" ht="12" customHeight="1" x14ac:dyDescent="0.2">
      <c r="A184" s="2774"/>
      <c r="B184" s="854"/>
      <c r="C184" s="6205" t="e">
        <f>IF(C178=0,"",VLOOKUP(C178,'Tablas Magia'!$D$6:$Z$680,23,FALSE))</f>
        <v>#N/A</v>
      </c>
      <c r="D184" s="6206"/>
      <c r="E184" s="6206"/>
      <c r="F184" s="6206"/>
      <c r="G184" s="6206"/>
      <c r="H184" s="6206"/>
      <c r="I184" s="6206"/>
      <c r="J184" s="6206"/>
      <c r="K184" s="6206"/>
      <c r="L184" s="6206"/>
      <c r="M184" s="6206"/>
      <c r="N184" s="6206"/>
      <c r="O184" s="6206"/>
      <c r="P184" s="6206"/>
      <c r="Q184" s="6207"/>
      <c r="R184" s="426"/>
      <c r="S184" s="420"/>
      <c r="T184" s="2774"/>
      <c r="U184" s="854"/>
      <c r="V184" s="6205" t="e">
        <f>IF(V178=0,"",VLOOKUP(V178,'Tablas Magia'!$D$6:$Z$680,23,FALSE))</f>
        <v>#N/A</v>
      </c>
      <c r="W184" s="6206"/>
      <c r="X184" s="6206"/>
      <c r="Y184" s="6206"/>
      <c r="Z184" s="6206"/>
      <c r="AA184" s="6206"/>
      <c r="AB184" s="6206"/>
      <c r="AC184" s="6206"/>
      <c r="AD184" s="6206"/>
      <c r="AE184" s="6206"/>
      <c r="AF184" s="6206"/>
      <c r="AG184" s="6206"/>
      <c r="AH184" s="6206"/>
      <c r="AI184" s="6206"/>
      <c r="AJ184" s="6207"/>
      <c r="AK184" s="426"/>
      <c r="AL184" s="420"/>
    </row>
    <row r="185" spans="1:38" ht="12" customHeight="1" x14ac:dyDescent="0.2">
      <c r="A185" s="2774"/>
      <c r="B185" s="854"/>
      <c r="C185" s="6208"/>
      <c r="D185" s="6218"/>
      <c r="E185" s="6218"/>
      <c r="F185" s="6218"/>
      <c r="G185" s="6218"/>
      <c r="H185" s="6218"/>
      <c r="I185" s="6218"/>
      <c r="J185" s="6218"/>
      <c r="K185" s="6218"/>
      <c r="L185" s="6218"/>
      <c r="M185" s="6218"/>
      <c r="N185" s="6218"/>
      <c r="O185" s="6218"/>
      <c r="P185" s="6218"/>
      <c r="Q185" s="6210"/>
      <c r="R185" s="426"/>
      <c r="S185" s="420"/>
      <c r="T185" s="2774"/>
      <c r="U185" s="854"/>
      <c r="V185" s="6208"/>
      <c r="W185" s="6218"/>
      <c r="X185" s="6218"/>
      <c r="Y185" s="6218"/>
      <c r="Z185" s="6218"/>
      <c r="AA185" s="6218"/>
      <c r="AB185" s="6218"/>
      <c r="AC185" s="6218"/>
      <c r="AD185" s="6218"/>
      <c r="AE185" s="6218"/>
      <c r="AF185" s="6218"/>
      <c r="AG185" s="6218"/>
      <c r="AH185" s="6218"/>
      <c r="AI185" s="6218"/>
      <c r="AJ185" s="6210"/>
      <c r="AK185" s="426"/>
      <c r="AL185" s="420"/>
    </row>
    <row r="186" spans="1:38" ht="12" customHeight="1" x14ac:dyDescent="0.2">
      <c r="A186" s="2774"/>
      <c r="B186" s="854"/>
      <c r="C186" s="6208"/>
      <c r="D186" s="6218"/>
      <c r="E186" s="6218"/>
      <c r="F186" s="6218"/>
      <c r="G186" s="6218"/>
      <c r="H186" s="6218"/>
      <c r="I186" s="6218"/>
      <c r="J186" s="6218"/>
      <c r="K186" s="6218"/>
      <c r="L186" s="6218"/>
      <c r="M186" s="6218"/>
      <c r="N186" s="6218"/>
      <c r="O186" s="6218"/>
      <c r="P186" s="6218"/>
      <c r="Q186" s="6210"/>
      <c r="R186" s="426"/>
      <c r="S186" s="420"/>
      <c r="T186" s="2774"/>
      <c r="U186" s="854"/>
      <c r="V186" s="6208"/>
      <c r="W186" s="6218"/>
      <c r="X186" s="6218"/>
      <c r="Y186" s="6218"/>
      <c r="Z186" s="6218"/>
      <c r="AA186" s="6218"/>
      <c r="AB186" s="6218"/>
      <c r="AC186" s="6218"/>
      <c r="AD186" s="6218"/>
      <c r="AE186" s="6218"/>
      <c r="AF186" s="6218"/>
      <c r="AG186" s="6218"/>
      <c r="AH186" s="6218"/>
      <c r="AI186" s="6218"/>
      <c r="AJ186" s="6210"/>
      <c r="AK186" s="426"/>
      <c r="AL186" s="420"/>
    </row>
    <row r="187" spans="1:38" ht="12" customHeight="1" thickBot="1" x14ac:dyDescent="0.25">
      <c r="A187" s="2774"/>
      <c r="B187" s="854"/>
      <c r="C187" s="6211"/>
      <c r="D187" s="6212"/>
      <c r="E187" s="6212"/>
      <c r="F187" s="6212"/>
      <c r="G187" s="6212"/>
      <c r="H187" s="6212"/>
      <c r="I187" s="6212"/>
      <c r="J187" s="6212"/>
      <c r="K187" s="6212"/>
      <c r="L187" s="6212"/>
      <c r="M187" s="6212"/>
      <c r="N187" s="6212"/>
      <c r="O187" s="6212"/>
      <c r="P187" s="6212"/>
      <c r="Q187" s="6213"/>
      <c r="R187" s="426"/>
      <c r="S187" s="420"/>
      <c r="T187" s="2774"/>
      <c r="U187" s="854"/>
      <c r="V187" s="6211"/>
      <c r="W187" s="6212"/>
      <c r="X187" s="6212"/>
      <c r="Y187" s="6212"/>
      <c r="Z187" s="6212"/>
      <c r="AA187" s="6212"/>
      <c r="AB187" s="6212"/>
      <c r="AC187" s="6212"/>
      <c r="AD187" s="6212"/>
      <c r="AE187" s="6212"/>
      <c r="AF187" s="6212"/>
      <c r="AG187" s="6212"/>
      <c r="AH187" s="6212"/>
      <c r="AI187" s="6212"/>
      <c r="AJ187" s="6213"/>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19"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20"/>
      <c r="E189" s="6220"/>
      <c r="F189" s="6220"/>
      <c r="G189" s="6221"/>
      <c r="H189" s="430" t="s">
        <v>1328</v>
      </c>
      <c r="I189" s="431">
        <f>B189</f>
        <v>50</v>
      </c>
      <c r="J189" s="6222" t="s">
        <v>6329</v>
      </c>
      <c r="K189" s="6222"/>
      <c r="L189" s="6222"/>
      <c r="M189" s="6183" t="e">
        <f>IF(C189=0,"",VLOOKUP(C189,'Tablas Magia'!$D$6:$Z$680,2,FALSE))</f>
        <v>#N/A</v>
      </c>
      <c r="N189" s="6183"/>
      <c r="O189" s="1853"/>
      <c r="P189" s="6214" t="str">
        <f>IFERROR(IF(M189="Libre Acceso","Aprendido",IF(IFERROR(VLOOKUP(M189,Místicos!$C$15:$H$25,6,0)&gt;=I189,FALSE),"Aprendido",IF(IFERROR(VLOOKUP(M189,Místicos!$E$15:$H$25,4,0)&gt;=I189,FALSE),"Aprendido",""))),"")</f>
        <v/>
      </c>
      <c r="Q189" s="6215"/>
      <c r="R189" s="426"/>
      <c r="S189" s="420"/>
      <c r="T189" s="2774"/>
      <c r="U189" s="854">
        <f>U178+2</f>
        <v>60</v>
      </c>
      <c r="V189" s="6219"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20"/>
      <c r="X189" s="6220"/>
      <c r="Y189" s="6220"/>
      <c r="Z189" s="6220"/>
      <c r="AA189" s="430" t="s">
        <v>1328</v>
      </c>
      <c r="AB189" s="431">
        <f>U189</f>
        <v>60</v>
      </c>
      <c r="AC189" s="6222" t="s">
        <v>6329</v>
      </c>
      <c r="AD189" s="6222"/>
      <c r="AE189" s="6222"/>
      <c r="AF189" s="6183" t="e">
        <f>IF(V189=0,"",VLOOKUP(V189,'Tablas Magia'!$D$6:$Z$680,2,FALSE))</f>
        <v>#N/A</v>
      </c>
      <c r="AG189" s="6183"/>
      <c r="AH189" s="1853"/>
      <c r="AI189" s="6214" t="str">
        <f>IFERROR(IF(AF189="Libre Acceso","Aprendido",IF(IFERROR(VLOOKUP(AF189,Místicos!$C$15:$H$25,6,0)&gt;=AB189,FALSE),"Aprendido",IF(IFERROR(VLOOKUP(AF189,Místicos!$E$15:$H$25,4,0)&gt;=AB189,FALSE),"Aprendido",""))),"")</f>
        <v/>
      </c>
      <c r="AJ189" s="6215"/>
      <c r="AK189" s="426"/>
      <c r="AL189" s="420"/>
    </row>
    <row r="190" spans="1:38" ht="12" customHeight="1" x14ac:dyDescent="0.2">
      <c r="A190" s="2774"/>
      <c r="B190" s="854"/>
      <c r="C190" s="6198" t="s">
        <v>6330</v>
      </c>
      <c r="D190" s="6228"/>
      <c r="E190" s="2760" t="s">
        <v>6331</v>
      </c>
      <c r="F190" s="2760" t="s">
        <v>1512</v>
      </c>
      <c r="G190" s="2760" t="s">
        <v>2862</v>
      </c>
      <c r="H190" s="2761" t="s">
        <v>1840</v>
      </c>
      <c r="I190" s="6226" t="e">
        <f>IF(C189=0,"",VLOOKUP(C189,'Tablas Magia'!$D$6:$Z$680,5,FALSE))</f>
        <v>#N/A</v>
      </c>
      <c r="J190" s="6226"/>
      <c r="K190" s="6229" t="s">
        <v>6332</v>
      </c>
      <c r="L190" s="6229"/>
      <c r="M190" s="6226" t="e">
        <f>IF(C189=0,"",VLOOKUP(C189,'Tablas Magia'!$D$6:$Z$680,6,FALSE))</f>
        <v>#N/A</v>
      </c>
      <c r="N190" s="6226"/>
      <c r="O190" s="6227" t="s">
        <v>6333</v>
      </c>
      <c r="P190" s="6227"/>
      <c r="Q190" s="2762" t="e">
        <f>IF(C189=0,"",VLOOKUP(C189,'Tablas Magia'!$D$6:$Z$680,4,FALSE))</f>
        <v>#N/A</v>
      </c>
      <c r="R190" s="426"/>
      <c r="S190" s="420"/>
      <c r="T190" s="2774"/>
      <c r="U190" s="854"/>
      <c r="V190" s="6198" t="s">
        <v>6330</v>
      </c>
      <c r="W190" s="6228"/>
      <c r="X190" s="2760" t="s">
        <v>6331</v>
      </c>
      <c r="Y190" s="2760" t="s">
        <v>1512</v>
      </c>
      <c r="Z190" s="2760" t="s">
        <v>2862</v>
      </c>
      <c r="AA190" s="2761" t="s">
        <v>1840</v>
      </c>
      <c r="AB190" s="6226" t="e">
        <f>IF(V189=0,"",VLOOKUP(V189,'Tablas Magia'!$D$6:$Z$680,5,FALSE))</f>
        <v>#N/A</v>
      </c>
      <c r="AC190" s="6226"/>
      <c r="AD190" s="6229" t="s">
        <v>6332</v>
      </c>
      <c r="AE190" s="6229"/>
      <c r="AF190" s="6226" t="e">
        <f>IF(V189=0,"",VLOOKUP(V189,'Tablas Magia'!$D$6:$Z$680,6,FALSE))</f>
        <v>#N/A</v>
      </c>
      <c r="AG190" s="6226"/>
      <c r="AH190" s="6227" t="s">
        <v>6333</v>
      </c>
      <c r="AI190" s="6227"/>
      <c r="AJ190" s="2762" t="e">
        <f>IF(V189=0,"",VLOOKUP(V189,'Tablas Magia'!$D$6:$Z$680,4,FALSE))</f>
        <v>#N/A</v>
      </c>
      <c r="AK190" s="426"/>
      <c r="AL190" s="420"/>
    </row>
    <row r="191" spans="1:38" ht="12" customHeight="1" x14ac:dyDescent="0.2">
      <c r="A191" s="2774"/>
      <c r="B191" s="854"/>
      <c r="C191" s="6238" t="s">
        <v>1368</v>
      </c>
      <c r="D191" s="6239"/>
      <c r="E191" s="2763" t="e">
        <f>IF(C189=0,"",VLOOKUP(C189,'Tablas Magia'!$D$6:$Z$680,7,FALSE))</f>
        <v>#N/A</v>
      </c>
      <c r="F191" s="2763" t="e">
        <f>IF(C189=0,"",VLOOKUP(C189,'Tablas Magia'!$D$6:$Z$680,11,FALSE))</f>
        <v>#N/A</v>
      </c>
      <c r="G191" s="436" t="e">
        <f>IF(C189=0,"",VLOOKUP(C189,'Tablas Magia'!$D$6:$Z$680,15,FALSE))</f>
        <v>#N/A</v>
      </c>
      <c r="H191" s="6223" t="e">
        <f>IF(C189=0,"",VLOOKUP(C189,'Tablas Magia'!$D$6:$Z$680,19,FALSE))</f>
        <v>#N/A</v>
      </c>
      <c r="I191" s="6224"/>
      <c r="J191" s="6224"/>
      <c r="K191" s="6224"/>
      <c r="L191" s="6224"/>
      <c r="M191" s="6224"/>
      <c r="N191" s="6224"/>
      <c r="O191" s="6224"/>
      <c r="P191" s="6224"/>
      <c r="Q191" s="6225"/>
      <c r="R191" s="426"/>
      <c r="S191" s="420"/>
      <c r="T191" s="2774"/>
      <c r="U191" s="854"/>
      <c r="V191" s="6190" t="s">
        <v>1368</v>
      </c>
      <c r="W191" s="6191"/>
      <c r="X191" s="2763" t="e">
        <f>IF(V189=0,"",VLOOKUP(V189,'Tablas Magia'!$D$6:$Z$680,7,FALSE))</f>
        <v>#N/A</v>
      </c>
      <c r="Y191" s="2763" t="e">
        <f>IF(V189=0,"",VLOOKUP(V189,'Tablas Magia'!$D$6:$Z$680,11,FALSE))</f>
        <v>#N/A</v>
      </c>
      <c r="Z191" s="436" t="e">
        <f>IF(V189=0,"",VLOOKUP(V189,'Tablas Magia'!$D$6:$Z$680,15,FALSE))</f>
        <v>#N/A</v>
      </c>
      <c r="AA191" s="6192" t="e">
        <f>IF(V189=0,"",VLOOKUP(V189,'Tablas Magia'!$D$6:$Z$680,19,FALSE))</f>
        <v>#N/A</v>
      </c>
      <c r="AB191" s="6216"/>
      <c r="AC191" s="6216"/>
      <c r="AD191" s="6216"/>
      <c r="AE191" s="6216"/>
      <c r="AF191" s="6216"/>
      <c r="AG191" s="6216"/>
      <c r="AH191" s="6216"/>
      <c r="AI191" s="6216"/>
      <c r="AJ191" s="6194"/>
      <c r="AK191" s="426"/>
      <c r="AL191" s="420"/>
    </row>
    <row r="192" spans="1:38" ht="12" customHeight="1" x14ac:dyDescent="0.2">
      <c r="A192" s="2774"/>
      <c r="B192" s="854"/>
      <c r="C192" s="6185" t="s">
        <v>3233</v>
      </c>
      <c r="D192" s="6186"/>
      <c r="E192" s="2764" t="e">
        <f>IF(C189=0,"",VLOOKUP(C189,'Tablas Magia'!$D$6:$Z$680,8,FALSE))</f>
        <v>#N/A</v>
      </c>
      <c r="F192" s="2764" t="e">
        <f>IF(C189=0,"",VLOOKUP(C189,'Tablas Magia'!$D$6:$Z$680,12,FALSE))</f>
        <v>#N/A</v>
      </c>
      <c r="G192" s="438" t="e">
        <f>IF(C189=0,"",VLOOKUP(C189,'Tablas Magia'!$D$6:$Z$680,16,FALSE))</f>
        <v>#N/A</v>
      </c>
      <c r="H192" s="6187" t="e">
        <f>IF(C189=0,"",VLOOKUP(C189,'Tablas Magia'!$D$6:$Z$680,20,FALSE))</f>
        <v>#N/A</v>
      </c>
      <c r="I192" s="6217"/>
      <c r="J192" s="6217"/>
      <c r="K192" s="6217"/>
      <c r="L192" s="6217"/>
      <c r="M192" s="6217"/>
      <c r="N192" s="6217"/>
      <c r="O192" s="6217"/>
      <c r="P192" s="6217"/>
      <c r="Q192" s="6189"/>
      <c r="R192" s="426"/>
      <c r="S192" s="420"/>
      <c r="T192" s="2774"/>
      <c r="U192" s="854"/>
      <c r="V192" s="6185" t="s">
        <v>3233</v>
      </c>
      <c r="W192" s="6186"/>
      <c r="X192" s="2764" t="e">
        <f>IF(V189=0,"",VLOOKUP(V189,'Tablas Magia'!$D$6:$Z$680,8,FALSE))</f>
        <v>#N/A</v>
      </c>
      <c r="Y192" s="2764" t="e">
        <f>IF(V189=0,"",VLOOKUP(V189,'Tablas Magia'!$D$6:$Z$680,12,FALSE))</f>
        <v>#N/A</v>
      </c>
      <c r="Z192" s="438" t="e">
        <f>IF(V189=0,"",VLOOKUP(V189,'Tablas Magia'!$D$6:$Z$680,16,FALSE))</f>
        <v>#N/A</v>
      </c>
      <c r="AA192" s="6187" t="e">
        <f>IF(V189=0,"",VLOOKUP(V189,'Tablas Magia'!$D$6:$Z$680,20,FALSE))</f>
        <v>#N/A</v>
      </c>
      <c r="AB192" s="6217"/>
      <c r="AC192" s="6217"/>
      <c r="AD192" s="6217"/>
      <c r="AE192" s="6217"/>
      <c r="AF192" s="6217"/>
      <c r="AG192" s="6217"/>
      <c r="AH192" s="6217"/>
      <c r="AI192" s="6217"/>
      <c r="AJ192" s="6189"/>
      <c r="AK192" s="426"/>
      <c r="AL192" s="420"/>
    </row>
    <row r="193" spans="1:38" ht="12" customHeight="1" x14ac:dyDescent="0.2">
      <c r="A193" s="2774"/>
      <c r="B193" s="854"/>
      <c r="C193" s="6190" t="s">
        <v>3234</v>
      </c>
      <c r="D193" s="6191"/>
      <c r="E193" s="2763" t="e">
        <f>IF(C189=0,"",VLOOKUP(C189,'Tablas Magia'!$D$6:$Z$680,9,FALSE))</f>
        <v>#N/A</v>
      </c>
      <c r="F193" s="2763" t="e">
        <f>IF(C189=0,"",VLOOKUP(C189,'Tablas Magia'!$D$6:$Z$680,13,FALSE))</f>
        <v>#N/A</v>
      </c>
      <c r="G193" s="436" t="e">
        <f>IF(C189=0,"",VLOOKUP(C189,'Tablas Magia'!$D$6:$Z$680,17,FALSE))</f>
        <v>#N/A</v>
      </c>
      <c r="H193" s="6192" t="e">
        <f>IF(C189=0,"",VLOOKUP(C189,'Tablas Magia'!$D$6:$Z$680,21,FALSE))</f>
        <v>#N/A</v>
      </c>
      <c r="I193" s="6216"/>
      <c r="J193" s="6216"/>
      <c r="K193" s="6216"/>
      <c r="L193" s="6216"/>
      <c r="M193" s="6216"/>
      <c r="N193" s="6216"/>
      <c r="O193" s="6216"/>
      <c r="P193" s="6216"/>
      <c r="Q193" s="6194"/>
      <c r="R193" s="426"/>
      <c r="S193" s="420"/>
      <c r="T193" s="2774"/>
      <c r="U193" s="854"/>
      <c r="V193" s="6190" t="s">
        <v>3234</v>
      </c>
      <c r="W193" s="6191"/>
      <c r="X193" s="2763" t="e">
        <f>IF(V189=0,"",VLOOKUP(V189,'Tablas Magia'!$D$6:$Z$680,9,FALSE))</f>
        <v>#N/A</v>
      </c>
      <c r="Y193" s="2763" t="e">
        <f>IF(V189=0,"",VLOOKUP(V189,'Tablas Magia'!$D$6:$Z$680,13,FALSE))</f>
        <v>#N/A</v>
      </c>
      <c r="Z193" s="436" t="e">
        <f>IF(V189=0,"",VLOOKUP(V189,'Tablas Magia'!$D$6:$Z$680,17,FALSE))</f>
        <v>#N/A</v>
      </c>
      <c r="AA193" s="6192" t="e">
        <f>IF(V189=0,"",VLOOKUP(V189,'Tablas Magia'!$D$6:$Z$680,21,FALSE))</f>
        <v>#N/A</v>
      </c>
      <c r="AB193" s="6216"/>
      <c r="AC193" s="6216"/>
      <c r="AD193" s="6216"/>
      <c r="AE193" s="6216"/>
      <c r="AF193" s="6216"/>
      <c r="AG193" s="6216"/>
      <c r="AH193" s="6216"/>
      <c r="AI193" s="6216"/>
      <c r="AJ193" s="6194"/>
      <c r="AK193" s="426"/>
      <c r="AL193" s="420"/>
    </row>
    <row r="194" spans="1:38" ht="12" customHeight="1" thickBot="1" x14ac:dyDescent="0.25">
      <c r="A194" s="2774"/>
      <c r="B194" s="854"/>
      <c r="C194" s="6200" t="s">
        <v>3235</v>
      </c>
      <c r="D194" s="6201"/>
      <c r="E194" s="439" t="e">
        <f>IF(C189=0,"",VLOOKUP(C189,'Tablas Magia'!$D$6:$Z$680,10,FALSE))</f>
        <v>#N/A</v>
      </c>
      <c r="F194" s="439" t="e">
        <f>IF(C189=0,"",VLOOKUP(C189,'Tablas Magia'!$D$6:$Z$680,14,FALSE))</f>
        <v>#N/A</v>
      </c>
      <c r="G194" s="440" t="e">
        <f>IF(C189=0,"",VLOOKUP(C189,'Tablas Magia'!$D$6:$Z$680,18,FALSE))</f>
        <v>#N/A</v>
      </c>
      <c r="H194" s="6202" t="e">
        <f>IF(C189=0,"",VLOOKUP(C189,'Tablas Magia'!$D$6:$Z$680,22,FALSE))</f>
        <v>#N/A</v>
      </c>
      <c r="I194" s="6203"/>
      <c r="J194" s="6203"/>
      <c r="K194" s="6203"/>
      <c r="L194" s="6203"/>
      <c r="M194" s="6203"/>
      <c r="N194" s="6203"/>
      <c r="O194" s="6203"/>
      <c r="P194" s="6203"/>
      <c r="Q194" s="6204"/>
      <c r="R194" s="426"/>
      <c r="S194" s="420"/>
      <c r="T194" s="2774"/>
      <c r="U194" s="854"/>
      <c r="V194" s="6200" t="s">
        <v>3235</v>
      </c>
      <c r="W194" s="6201"/>
      <c r="X194" s="439" t="e">
        <f>IF(V189=0,"",VLOOKUP(V189,'Tablas Magia'!$D$6:$Z$680,10,FALSE))</f>
        <v>#N/A</v>
      </c>
      <c r="Y194" s="439" t="e">
        <f>IF(V189=0,"",VLOOKUP(V189,'Tablas Magia'!$D$6:$Z$680,14,FALSE))</f>
        <v>#N/A</v>
      </c>
      <c r="Z194" s="440" t="e">
        <f>IF(V189=0,"",VLOOKUP(V189,'Tablas Magia'!$D$6:$Z$680,18,FALSE))</f>
        <v>#N/A</v>
      </c>
      <c r="AA194" s="6202" t="e">
        <f>IF(V189=0,"",VLOOKUP(V189,'Tablas Magia'!$D$6:$Z$680,22,FALSE))</f>
        <v>#N/A</v>
      </c>
      <c r="AB194" s="6203"/>
      <c r="AC194" s="6203"/>
      <c r="AD194" s="6203"/>
      <c r="AE194" s="6203"/>
      <c r="AF194" s="6203"/>
      <c r="AG194" s="6203"/>
      <c r="AH194" s="6203"/>
      <c r="AI194" s="6203"/>
      <c r="AJ194" s="6204"/>
      <c r="AK194" s="426"/>
      <c r="AL194" s="420"/>
    </row>
    <row r="195" spans="1:38" ht="12" customHeight="1" x14ac:dyDescent="0.2">
      <c r="A195" s="2774"/>
      <c r="B195" s="854"/>
      <c r="C195" s="6205" t="e">
        <f>IF(C189=0,"",VLOOKUP(C189,'Tablas Magia'!$D$6:$Z$680,23,FALSE))</f>
        <v>#N/A</v>
      </c>
      <c r="D195" s="6206"/>
      <c r="E195" s="6206"/>
      <c r="F195" s="6206"/>
      <c r="G195" s="6206"/>
      <c r="H195" s="6206"/>
      <c r="I195" s="6206"/>
      <c r="J195" s="6206"/>
      <c r="K195" s="6206"/>
      <c r="L195" s="6206"/>
      <c r="M195" s="6206"/>
      <c r="N195" s="6206"/>
      <c r="O195" s="6206"/>
      <c r="P195" s="6206"/>
      <c r="Q195" s="6207"/>
      <c r="R195" s="426"/>
      <c r="S195" s="420"/>
      <c r="T195" s="2774"/>
      <c r="U195" s="854"/>
      <c r="V195" s="6205" t="e">
        <f>IF(V189=0,"",VLOOKUP(V189,'Tablas Magia'!$D$6:$Z$680,23,FALSE))</f>
        <v>#N/A</v>
      </c>
      <c r="W195" s="6206"/>
      <c r="X195" s="6206"/>
      <c r="Y195" s="6206"/>
      <c r="Z195" s="6206"/>
      <c r="AA195" s="6206"/>
      <c r="AB195" s="6206"/>
      <c r="AC195" s="6206"/>
      <c r="AD195" s="6206"/>
      <c r="AE195" s="6206"/>
      <c r="AF195" s="6206"/>
      <c r="AG195" s="6206"/>
      <c r="AH195" s="6206"/>
      <c r="AI195" s="6206"/>
      <c r="AJ195" s="6207"/>
      <c r="AK195" s="426"/>
      <c r="AL195" s="420"/>
    </row>
    <row r="196" spans="1:38" ht="12" customHeight="1" x14ac:dyDescent="0.2">
      <c r="A196" s="2774"/>
      <c r="B196" s="854"/>
      <c r="C196" s="6208"/>
      <c r="D196" s="6218"/>
      <c r="E196" s="6218"/>
      <c r="F196" s="6218"/>
      <c r="G196" s="6218"/>
      <c r="H196" s="6218"/>
      <c r="I196" s="6218"/>
      <c r="J196" s="6218"/>
      <c r="K196" s="6218"/>
      <c r="L196" s="6218"/>
      <c r="M196" s="6218"/>
      <c r="N196" s="6218"/>
      <c r="O196" s="6218"/>
      <c r="P196" s="6218"/>
      <c r="Q196" s="6210"/>
      <c r="R196" s="426"/>
      <c r="S196" s="420"/>
      <c r="T196" s="2774"/>
      <c r="U196" s="854"/>
      <c r="V196" s="6208"/>
      <c r="W196" s="6218"/>
      <c r="X196" s="6218"/>
      <c r="Y196" s="6218"/>
      <c r="Z196" s="6218"/>
      <c r="AA196" s="6218"/>
      <c r="AB196" s="6218"/>
      <c r="AC196" s="6218"/>
      <c r="AD196" s="6218"/>
      <c r="AE196" s="6218"/>
      <c r="AF196" s="6218"/>
      <c r="AG196" s="6218"/>
      <c r="AH196" s="6218"/>
      <c r="AI196" s="6218"/>
      <c r="AJ196" s="6210"/>
      <c r="AK196" s="426"/>
      <c r="AL196" s="420"/>
    </row>
    <row r="197" spans="1:38" ht="12" customHeight="1" x14ac:dyDescent="0.2">
      <c r="A197" s="2774"/>
      <c r="B197" s="854"/>
      <c r="C197" s="6208"/>
      <c r="D197" s="6218"/>
      <c r="E197" s="6218"/>
      <c r="F197" s="6218"/>
      <c r="G197" s="6218"/>
      <c r="H197" s="6218"/>
      <c r="I197" s="6218"/>
      <c r="J197" s="6218"/>
      <c r="K197" s="6218"/>
      <c r="L197" s="6218"/>
      <c r="M197" s="6218"/>
      <c r="N197" s="6218"/>
      <c r="O197" s="6218"/>
      <c r="P197" s="6218"/>
      <c r="Q197" s="6210"/>
      <c r="R197" s="426"/>
      <c r="S197" s="420"/>
      <c r="T197" s="2774"/>
      <c r="U197" s="854"/>
      <c r="V197" s="6208"/>
      <c r="W197" s="6218"/>
      <c r="X197" s="6218"/>
      <c r="Y197" s="6218"/>
      <c r="Z197" s="6218"/>
      <c r="AA197" s="6218"/>
      <c r="AB197" s="6218"/>
      <c r="AC197" s="6218"/>
      <c r="AD197" s="6218"/>
      <c r="AE197" s="6218"/>
      <c r="AF197" s="6218"/>
      <c r="AG197" s="6218"/>
      <c r="AH197" s="6218"/>
      <c r="AI197" s="6218"/>
      <c r="AJ197" s="6210"/>
      <c r="AK197" s="426"/>
      <c r="AL197" s="420"/>
    </row>
    <row r="198" spans="1:38" ht="12" customHeight="1" thickBot="1" x14ac:dyDescent="0.25">
      <c r="A198" s="2774"/>
      <c r="B198" s="854"/>
      <c r="C198" s="6211"/>
      <c r="D198" s="6212"/>
      <c r="E198" s="6212"/>
      <c r="F198" s="6212"/>
      <c r="G198" s="6212"/>
      <c r="H198" s="6212"/>
      <c r="I198" s="6212"/>
      <c r="J198" s="6212"/>
      <c r="K198" s="6212"/>
      <c r="L198" s="6212"/>
      <c r="M198" s="6212"/>
      <c r="N198" s="6212"/>
      <c r="O198" s="6212"/>
      <c r="P198" s="6212"/>
      <c r="Q198" s="6213"/>
      <c r="R198" s="426"/>
      <c r="S198" s="420"/>
      <c r="T198" s="2774"/>
      <c r="U198" s="854"/>
      <c r="V198" s="6211"/>
      <c r="W198" s="6212"/>
      <c r="X198" s="6212"/>
      <c r="Y198" s="6212"/>
      <c r="Z198" s="6212"/>
      <c r="AA198" s="6212"/>
      <c r="AB198" s="6212"/>
      <c r="AC198" s="6212"/>
      <c r="AD198" s="6212"/>
      <c r="AE198" s="6212"/>
      <c r="AF198" s="6212"/>
      <c r="AG198" s="6212"/>
      <c r="AH198" s="6212"/>
      <c r="AI198" s="6212"/>
      <c r="AJ198" s="6213"/>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208"/>
      <c r="D204" s="4209"/>
      <c r="E204" s="4209"/>
      <c r="F204" s="4209"/>
      <c r="G204" s="4209"/>
      <c r="H204" s="4209"/>
      <c r="I204" s="2738"/>
      <c r="J204" s="2738"/>
      <c r="K204" s="2738"/>
      <c r="L204" s="2738"/>
      <c r="M204" s="2738"/>
      <c r="N204" s="2738"/>
      <c r="O204" s="2738"/>
      <c r="P204" s="2738"/>
      <c r="Q204" s="425"/>
      <c r="R204" s="426"/>
      <c r="S204" s="1518"/>
      <c r="T204" s="1518"/>
      <c r="U204" s="1149"/>
      <c r="V204" s="4208"/>
      <c r="W204" s="4209"/>
      <c r="X204" s="4209"/>
      <c r="Y204" s="4209"/>
      <c r="Z204" s="4209"/>
      <c r="AA204" s="4209"/>
      <c r="AB204" s="2738"/>
      <c r="AC204" s="2738"/>
      <c r="AD204" s="2738"/>
      <c r="AE204" s="2738"/>
      <c r="AF204" s="2738"/>
      <c r="AG204" s="2738"/>
      <c r="AH204" s="2738"/>
      <c r="AI204" s="2738"/>
      <c r="AJ204" s="425"/>
      <c r="AK204" s="426"/>
      <c r="AL204" s="1518"/>
    </row>
    <row r="205" spans="1:38" ht="12" customHeight="1" x14ac:dyDescent="0.2">
      <c r="A205" s="1866"/>
      <c r="B205" s="1865"/>
      <c r="C205" s="4210"/>
      <c r="D205" s="4211"/>
      <c r="E205" s="4211"/>
      <c r="F205" s="4211"/>
      <c r="G205" s="4211"/>
      <c r="H205" s="4211"/>
      <c r="I205" s="2753"/>
      <c r="J205" s="6240" t="s">
        <v>10263</v>
      </c>
      <c r="K205" s="6241"/>
      <c r="L205" s="6241"/>
      <c r="M205" s="6241"/>
      <c r="N205" s="6241"/>
      <c r="O205" s="6241"/>
      <c r="P205" s="6241"/>
      <c r="Q205" s="375"/>
      <c r="R205" s="858"/>
      <c r="S205" s="1866"/>
      <c r="T205" s="1866"/>
      <c r="U205" s="1865"/>
      <c r="V205" s="4210"/>
      <c r="W205" s="4211"/>
      <c r="X205" s="4211"/>
      <c r="Y205" s="4211"/>
      <c r="Z205" s="4211"/>
      <c r="AA205" s="4211"/>
      <c r="AB205" s="2739"/>
      <c r="AC205" s="6245" t="s">
        <v>10263</v>
      </c>
      <c r="AD205" s="6246"/>
      <c r="AE205" s="6246"/>
      <c r="AF205" s="6246"/>
      <c r="AG205" s="6246"/>
      <c r="AH205" s="6246"/>
      <c r="AI205" s="6246"/>
      <c r="AJ205" s="375"/>
      <c r="AK205" s="858"/>
      <c r="AL205" s="1866"/>
    </row>
    <row r="206" spans="1:38" ht="12" customHeight="1" x14ac:dyDescent="0.2">
      <c r="A206" s="1518"/>
      <c r="B206" s="1149"/>
      <c r="C206" s="4210"/>
      <c r="D206" s="4211"/>
      <c r="E206" s="4211"/>
      <c r="F206" s="4211"/>
      <c r="G206" s="4211"/>
      <c r="H206" s="4211"/>
      <c r="I206" s="2753"/>
      <c r="J206" s="6241"/>
      <c r="K206" s="6241"/>
      <c r="L206" s="6241"/>
      <c r="M206" s="6241"/>
      <c r="N206" s="6241"/>
      <c r="O206" s="6241"/>
      <c r="P206" s="6241"/>
      <c r="Q206" s="427"/>
      <c r="R206" s="426"/>
      <c r="S206" s="1518"/>
      <c r="T206" s="1518"/>
      <c r="U206" s="1149"/>
      <c r="V206" s="4210"/>
      <c r="W206" s="4211"/>
      <c r="X206" s="4211"/>
      <c r="Y206" s="4211"/>
      <c r="Z206" s="4211"/>
      <c r="AA206" s="4211"/>
      <c r="AB206" s="2739"/>
      <c r="AC206" s="6246"/>
      <c r="AD206" s="6246"/>
      <c r="AE206" s="6246"/>
      <c r="AF206" s="6246"/>
      <c r="AG206" s="6246"/>
      <c r="AH206" s="6246"/>
      <c r="AI206" s="6246"/>
      <c r="AJ206" s="427"/>
      <c r="AK206" s="426"/>
      <c r="AL206" s="1518"/>
    </row>
    <row r="207" spans="1:38" ht="12" customHeight="1" x14ac:dyDescent="0.2">
      <c r="A207" s="1518"/>
      <c r="B207" s="1149"/>
      <c r="C207" s="4210"/>
      <c r="D207" s="4211"/>
      <c r="E207" s="4211"/>
      <c r="F207" s="4211"/>
      <c r="G207" s="4211"/>
      <c r="H207" s="4211"/>
      <c r="I207" s="2754" t="s">
        <v>7233</v>
      </c>
      <c r="J207" s="6242" t="str">
        <f>IF($J$6="","",$J$6)</f>
        <v/>
      </c>
      <c r="K207" s="6242"/>
      <c r="L207" s="6242"/>
      <c r="M207" s="2755"/>
      <c r="N207" s="2755"/>
      <c r="O207" s="2756" t="str">
        <f>$O$6</f>
        <v>Nivel de vía aprendido</v>
      </c>
      <c r="P207" s="2757">
        <f>$P$6</f>
        <v>0</v>
      </c>
      <c r="Q207" s="427"/>
      <c r="R207" s="426"/>
      <c r="S207" s="1518"/>
      <c r="T207" s="1518"/>
      <c r="U207" s="1149"/>
      <c r="V207" s="4210"/>
      <c r="W207" s="4211"/>
      <c r="X207" s="4211"/>
      <c r="Y207" s="4211"/>
      <c r="Z207" s="4211"/>
      <c r="AA207" s="4211"/>
      <c r="AB207" s="2482" t="s">
        <v>7233</v>
      </c>
      <c r="AC207" s="6235" t="str">
        <f>IF($J$6="","",$J$6)</f>
        <v/>
      </c>
      <c r="AD207" s="6235"/>
      <c r="AE207" s="6235"/>
      <c r="AF207" s="2478"/>
      <c r="AG207" s="2478"/>
      <c r="AH207" s="2479" t="str">
        <f>$O$6</f>
        <v>Nivel de vía aprendido</v>
      </c>
      <c r="AI207" s="2480">
        <f>$P$6</f>
        <v>0</v>
      </c>
      <c r="AJ207" s="427"/>
      <c r="AK207" s="426"/>
      <c r="AL207" s="1518"/>
    </row>
    <row r="208" spans="1:38" ht="12" customHeight="1" x14ac:dyDescent="0.2">
      <c r="A208" s="1518"/>
      <c r="B208" s="1149"/>
      <c r="C208" s="4210"/>
      <c r="D208" s="4211"/>
      <c r="E208" s="4211"/>
      <c r="F208" s="4211"/>
      <c r="G208" s="4211"/>
      <c r="H208" s="4211"/>
      <c r="I208" s="2758" t="s">
        <v>7234</v>
      </c>
      <c r="J208" s="6242" t="str">
        <f>IF($J$8="","",$J$8)</f>
        <v/>
      </c>
      <c r="K208" s="6242"/>
      <c r="L208" s="6242"/>
      <c r="M208" s="2755"/>
      <c r="N208" s="2755"/>
      <c r="O208" s="2755"/>
      <c r="P208" s="2755"/>
      <c r="Q208" s="427"/>
      <c r="R208" s="426"/>
      <c r="S208" s="1518"/>
      <c r="T208" s="1518"/>
      <c r="U208" s="1149"/>
      <c r="V208" s="4210"/>
      <c r="W208" s="4211"/>
      <c r="X208" s="4211"/>
      <c r="Y208" s="4211"/>
      <c r="Z208" s="4211"/>
      <c r="AA208" s="4211"/>
      <c r="AB208" s="2483" t="s">
        <v>7234</v>
      </c>
      <c r="AC208" s="6235" t="str">
        <f>IF($J$8="","",$J$8)</f>
        <v/>
      </c>
      <c r="AD208" s="6235"/>
      <c r="AE208" s="6235"/>
      <c r="AF208" s="2478"/>
      <c r="AG208" s="2478"/>
      <c r="AH208" s="2478"/>
      <c r="AI208" s="2478"/>
      <c r="AJ208" s="427"/>
      <c r="AK208" s="426"/>
      <c r="AL208" s="1518"/>
    </row>
    <row r="209" spans="1:38" ht="12" customHeight="1" thickBot="1" x14ac:dyDescent="0.25">
      <c r="A209" s="1518"/>
      <c r="B209" s="1149"/>
      <c r="C209" s="4212"/>
      <c r="D209" s="4213"/>
      <c r="E209" s="4213"/>
      <c r="F209" s="4213"/>
      <c r="G209" s="4213"/>
      <c r="H209" s="4213"/>
      <c r="I209" s="2740"/>
      <c r="J209" s="2740"/>
      <c r="K209" s="2740"/>
      <c r="L209" s="2740"/>
      <c r="M209" s="2740"/>
      <c r="N209" s="2740"/>
      <c r="O209" s="2740"/>
      <c r="P209" s="2740"/>
      <c r="Q209" s="429"/>
      <c r="R209" s="426"/>
      <c r="S209" s="1518"/>
      <c r="T209" s="1518"/>
      <c r="U209" s="1149"/>
      <c r="V209" s="4212"/>
      <c r="W209" s="4213"/>
      <c r="X209" s="4213"/>
      <c r="Y209" s="4213"/>
      <c r="Z209" s="4213"/>
      <c r="AA209" s="4213"/>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44" t="str">
        <f>"Conjuros de nivel "&amp;B212&amp;"-"&amp;B256</f>
        <v>Conjuros de nivel 62-70</v>
      </c>
      <c r="D211" s="6244"/>
      <c r="E211" s="6244"/>
      <c r="F211" s="6244"/>
      <c r="G211" s="6244"/>
      <c r="H211" s="6244"/>
      <c r="I211" s="6244"/>
      <c r="J211" s="6244"/>
      <c r="K211" s="6244"/>
      <c r="L211" s="6244"/>
      <c r="M211" s="6244"/>
      <c r="N211" s="6244"/>
      <c r="O211" s="6244"/>
      <c r="P211" s="6244"/>
      <c r="Q211" s="6244"/>
      <c r="R211" s="860"/>
      <c r="S211" s="1518"/>
      <c r="T211" s="420"/>
      <c r="U211" s="862"/>
      <c r="V211" s="6244" t="str">
        <f>"Conjuros de nivel "&amp;U212&amp;"-"&amp;U256</f>
        <v>Conjuros de nivel 72-80</v>
      </c>
      <c r="W211" s="6244"/>
      <c r="X211" s="6244"/>
      <c r="Y211" s="6244"/>
      <c r="Z211" s="6244"/>
      <c r="AA211" s="6244"/>
      <c r="AB211" s="6244"/>
      <c r="AC211" s="6244"/>
      <c r="AD211" s="6244"/>
      <c r="AE211" s="6244"/>
      <c r="AF211" s="6244"/>
      <c r="AG211" s="6244"/>
      <c r="AH211" s="6244"/>
      <c r="AI211" s="6244"/>
      <c r="AJ211" s="6244"/>
      <c r="AK211" s="861"/>
      <c r="AL211" s="420"/>
    </row>
    <row r="212" spans="1:38" ht="12" customHeight="1" x14ac:dyDescent="0.2">
      <c r="A212" s="420"/>
      <c r="B212" s="854">
        <f>B145+20</f>
        <v>62</v>
      </c>
      <c r="C212" s="6219"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20"/>
      <c r="E212" s="6220"/>
      <c r="F212" s="6220"/>
      <c r="G212" s="6221"/>
      <c r="H212" s="430" t="s">
        <v>1328</v>
      </c>
      <c r="I212" s="431">
        <f>B212</f>
        <v>62</v>
      </c>
      <c r="J212" s="6222" t="s">
        <v>6329</v>
      </c>
      <c r="K212" s="6222"/>
      <c r="L212" s="6222"/>
      <c r="M212" s="6183" t="e">
        <f>IF(C212=0,"",VLOOKUP(C212,'Tablas Magia'!$D$6:$Z$680,2,FALSE))</f>
        <v>#N/A</v>
      </c>
      <c r="N212" s="6183"/>
      <c r="O212" s="1853"/>
      <c r="P212" s="6214" t="str">
        <f>IFERROR(IF(M212="Libre Acceso","Aprendido",IF(IFERROR(VLOOKUP(M212,Místicos!$C$15:$H$25,6,0)&gt;=I212,FALSE),"Aprendido",IF(IFERROR(VLOOKUP(M212,Místicos!$E$15:$H$25,4,0)&gt;=I212,FALSE),"Aprendido",""))),"")</f>
        <v/>
      </c>
      <c r="Q212" s="6215"/>
      <c r="R212" s="426"/>
      <c r="S212" s="420"/>
      <c r="T212" s="420"/>
      <c r="U212" s="854">
        <f>B256+2</f>
        <v>72</v>
      </c>
      <c r="V212" s="6219"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30"/>
      <c r="X212" s="6230"/>
      <c r="Y212" s="6230"/>
      <c r="Z212" s="6237"/>
      <c r="AA212" s="430" t="s">
        <v>1328</v>
      </c>
      <c r="AB212" s="431">
        <f>U212</f>
        <v>72</v>
      </c>
      <c r="AC212" s="6222" t="s">
        <v>6329</v>
      </c>
      <c r="AD212" s="6222"/>
      <c r="AE212" s="6222"/>
      <c r="AF212" s="6183" t="e">
        <f>IF(V212=0,"",VLOOKUP(V212,'Tablas Magia'!$D$6:$Z$680,2,FALSE))</f>
        <v>#N/A</v>
      </c>
      <c r="AG212" s="6183"/>
      <c r="AH212" s="1853"/>
      <c r="AI212" s="6214" t="str">
        <f>IFERROR(IF(AF212="Libre Acceso","Aprendido",IF(IFERROR(VLOOKUP(AF212,Místicos!$C$15:$H$25,6,0)&gt;=AB212,FALSE),"Aprendido",IF(IFERROR(VLOOKUP(AF212,Místicos!$E$15:$H$25,4,0)&gt;=AB212,FALSE),"Aprendido",""))),"")</f>
        <v/>
      </c>
      <c r="AJ212" s="6215"/>
      <c r="AK212" s="426"/>
      <c r="AL212" s="420"/>
    </row>
    <row r="213" spans="1:38" ht="12" customHeight="1" x14ac:dyDescent="0.2">
      <c r="A213" s="420"/>
      <c r="B213" s="854"/>
      <c r="C213" s="6198" t="s">
        <v>6330</v>
      </c>
      <c r="D213" s="6228"/>
      <c r="E213" s="2760" t="s">
        <v>6331</v>
      </c>
      <c r="F213" s="2760" t="s">
        <v>1512</v>
      </c>
      <c r="G213" s="2760" t="s">
        <v>2862</v>
      </c>
      <c r="H213" s="2761" t="s">
        <v>1840</v>
      </c>
      <c r="I213" s="6226" t="e">
        <f>IF(C212=0,"",VLOOKUP(C212,'Tablas Magia'!$D$6:$Z$680,5,FALSE))</f>
        <v>#N/A</v>
      </c>
      <c r="J213" s="6226"/>
      <c r="K213" s="6229" t="s">
        <v>6332</v>
      </c>
      <c r="L213" s="6229"/>
      <c r="M213" s="6226" t="e">
        <f>IF(C212=0,"",VLOOKUP(C212,'Tablas Magia'!$D$6:$Z$680,6,FALSE))</f>
        <v>#N/A</v>
      </c>
      <c r="N213" s="6226"/>
      <c r="O213" s="6227" t="s">
        <v>6333</v>
      </c>
      <c r="P213" s="6227"/>
      <c r="Q213" s="2762" t="e">
        <f>IF(C212=0,"",VLOOKUP(C212,'Tablas Magia'!$D$6:$Z$680,4,FALSE))</f>
        <v>#N/A</v>
      </c>
      <c r="R213" s="426"/>
      <c r="S213" s="420"/>
      <c r="T213" s="420"/>
      <c r="U213" s="854"/>
      <c r="V213" s="6198" t="s">
        <v>6330</v>
      </c>
      <c r="W213" s="6231"/>
      <c r="X213" s="1862" t="s">
        <v>6331</v>
      </c>
      <c r="Y213" s="1862" t="s">
        <v>1512</v>
      </c>
      <c r="Z213" s="1862" t="s">
        <v>2862</v>
      </c>
      <c r="AA213" s="1863" t="s">
        <v>1840</v>
      </c>
      <c r="AB213" s="6232" t="e">
        <f>IF(V212=0,"",VLOOKUP(V212,'Tablas Magia'!$D$6:$Z$680,5,FALSE))</f>
        <v>#N/A</v>
      </c>
      <c r="AC213" s="6232"/>
      <c r="AD213" s="6233" t="s">
        <v>6332</v>
      </c>
      <c r="AE213" s="6233"/>
      <c r="AF213" s="6232" t="e">
        <f>IF(V212=0,"",VLOOKUP(V212,'Tablas Magia'!$D$6:$Z$680,6,FALSE))</f>
        <v>#N/A</v>
      </c>
      <c r="AG213" s="6232"/>
      <c r="AH213" s="6234" t="s">
        <v>6333</v>
      </c>
      <c r="AI213" s="6234"/>
      <c r="AJ213" s="1864" t="e">
        <f>IF(V212=0,"",VLOOKUP(V212,'Tablas Magia'!$D$6:$Z$680,4,FALSE))</f>
        <v>#N/A</v>
      </c>
      <c r="AK213" s="426"/>
      <c r="AL213" s="420"/>
    </row>
    <row r="214" spans="1:38" ht="12" customHeight="1" x14ac:dyDescent="0.2">
      <c r="A214" s="420"/>
      <c r="B214" s="854"/>
      <c r="C214" s="6190" t="s">
        <v>1368</v>
      </c>
      <c r="D214" s="6191"/>
      <c r="E214" s="2763" t="e">
        <f>IF(C212=0,"",VLOOKUP(C212,'Tablas Magia'!$D$6:$Z$680,7,FALSE))</f>
        <v>#N/A</v>
      </c>
      <c r="F214" s="2763" t="e">
        <f>IF(C212=0,"",VLOOKUP(C212,'Tablas Magia'!$D$6:$Z$680,11,FALSE))</f>
        <v>#N/A</v>
      </c>
      <c r="G214" s="436" t="e">
        <f>IF(C212=0,"",VLOOKUP(C212,'Tablas Magia'!$D$6:$Z$680,15,FALSE))</f>
        <v>#N/A</v>
      </c>
      <c r="H214" s="6192" t="e">
        <f>IF(C212=0,"",VLOOKUP(C212,'Tablas Magia'!$D$6:$Z$680,19,FALSE))</f>
        <v>#N/A</v>
      </c>
      <c r="I214" s="6216"/>
      <c r="J214" s="6216"/>
      <c r="K214" s="6216"/>
      <c r="L214" s="6216"/>
      <c r="M214" s="6216"/>
      <c r="N214" s="6216"/>
      <c r="O214" s="6216"/>
      <c r="P214" s="6216"/>
      <c r="Q214" s="6194"/>
      <c r="R214" s="426"/>
      <c r="S214" s="420"/>
      <c r="T214" s="420"/>
      <c r="U214" s="854"/>
      <c r="V214" s="6238" t="s">
        <v>1368</v>
      </c>
      <c r="W214" s="6239"/>
      <c r="X214" s="435" t="e">
        <f>IF(V212=0,"",VLOOKUP(V212,'Tablas Magia'!$D$6:$Z$680,7,FALSE))</f>
        <v>#N/A</v>
      </c>
      <c r="Y214" s="435" t="e">
        <f>IF(V212=0,"",VLOOKUP(V212,'Tablas Magia'!$D$6:$Z$680,11,FALSE))</f>
        <v>#N/A</v>
      </c>
      <c r="Z214" s="436" t="e">
        <f>IF(V212=0,"",VLOOKUP(V212,'Tablas Magia'!$D$6:$Z$680,15,FALSE))</f>
        <v>#N/A</v>
      </c>
      <c r="AA214" s="6223" t="e">
        <f>IF(V212=0,"",VLOOKUP(V212,'Tablas Magia'!$D$6:$Z$680,19,FALSE))</f>
        <v>#N/A</v>
      </c>
      <c r="AB214" s="6224"/>
      <c r="AC214" s="6224"/>
      <c r="AD214" s="6224"/>
      <c r="AE214" s="6224"/>
      <c r="AF214" s="6224"/>
      <c r="AG214" s="6224"/>
      <c r="AH214" s="6224"/>
      <c r="AI214" s="6224"/>
      <c r="AJ214" s="6225"/>
      <c r="AK214" s="426"/>
      <c r="AL214" s="420"/>
    </row>
    <row r="215" spans="1:38" ht="12" customHeight="1" x14ac:dyDescent="0.2">
      <c r="A215" s="420"/>
      <c r="B215" s="854"/>
      <c r="C215" s="6185" t="s">
        <v>3233</v>
      </c>
      <c r="D215" s="6186"/>
      <c r="E215" s="2764" t="e">
        <f>IF(C212=0,"",VLOOKUP(C212,'Tablas Magia'!$D$6:$Z$680,8,FALSE))</f>
        <v>#N/A</v>
      </c>
      <c r="F215" s="2764" t="e">
        <f>IF(C212=0,"",VLOOKUP(C212,'Tablas Magia'!$D$6:$Z$680,12,FALSE))</f>
        <v>#N/A</v>
      </c>
      <c r="G215" s="438" t="e">
        <f>IF(C212=0,"",VLOOKUP(C212,'Tablas Magia'!$D$6:$Z$680,16,FALSE))</f>
        <v>#N/A</v>
      </c>
      <c r="H215" s="6187" t="e">
        <f>IF(C212=0,"",VLOOKUP(C212,'Tablas Magia'!$D$6:$Z$680,20,FALSE))</f>
        <v>#N/A</v>
      </c>
      <c r="I215" s="6217"/>
      <c r="J215" s="6217"/>
      <c r="K215" s="6217"/>
      <c r="L215" s="6217"/>
      <c r="M215" s="6217"/>
      <c r="N215" s="6217"/>
      <c r="O215" s="6217"/>
      <c r="P215" s="6217"/>
      <c r="Q215" s="6189"/>
      <c r="R215" s="426"/>
      <c r="S215" s="420"/>
      <c r="T215" s="420"/>
      <c r="U215" s="854"/>
      <c r="V215" s="6185" t="s">
        <v>3233</v>
      </c>
      <c r="W215" s="6186"/>
      <c r="X215" s="437" t="e">
        <f>IF(V212=0,"",VLOOKUP(V212,'Tablas Magia'!$D$6:$Z$680,8,FALSE))</f>
        <v>#N/A</v>
      </c>
      <c r="Y215" s="437" t="e">
        <f>IF(V212=0,"",VLOOKUP(V212,'Tablas Magia'!$D$6:$Z$680,12,FALSE))</f>
        <v>#N/A</v>
      </c>
      <c r="Z215" s="438" t="e">
        <f>IF(V212=0,"",VLOOKUP(V212,'Tablas Magia'!$D$6:$Z$680,16,FALSE))</f>
        <v>#N/A</v>
      </c>
      <c r="AA215" s="6187" t="e">
        <f>IF(V212=0,"",VLOOKUP(V212,'Tablas Magia'!$D$6:$Z$680,20,FALSE))</f>
        <v>#N/A</v>
      </c>
      <c r="AB215" s="6188"/>
      <c r="AC215" s="6188"/>
      <c r="AD215" s="6188"/>
      <c r="AE215" s="6188"/>
      <c r="AF215" s="6188"/>
      <c r="AG215" s="6188"/>
      <c r="AH215" s="6188"/>
      <c r="AI215" s="6188"/>
      <c r="AJ215" s="6189"/>
      <c r="AK215" s="426"/>
      <c r="AL215" s="420"/>
    </row>
    <row r="216" spans="1:38" ht="12" customHeight="1" x14ac:dyDescent="0.2">
      <c r="A216" s="420"/>
      <c r="B216" s="854"/>
      <c r="C216" s="6190" t="s">
        <v>3234</v>
      </c>
      <c r="D216" s="6191"/>
      <c r="E216" s="2763" t="e">
        <f>IF(C212=0,"",VLOOKUP(C212,'Tablas Magia'!$D$6:$Z$680,9,FALSE))</f>
        <v>#N/A</v>
      </c>
      <c r="F216" s="2763" t="e">
        <f>IF(C212=0,"",VLOOKUP(C212,'Tablas Magia'!$D$6:$Z$680,13,FALSE))</f>
        <v>#N/A</v>
      </c>
      <c r="G216" s="436" t="e">
        <f>IF(C212=0,"",VLOOKUP(C212,'Tablas Magia'!$D$6:$Z$680,17,FALSE))</f>
        <v>#N/A</v>
      </c>
      <c r="H216" s="6192" t="e">
        <f>IF(C212=0,"",VLOOKUP(C212,'Tablas Magia'!$D$6:$Z$680,21,FALSE))</f>
        <v>#N/A</v>
      </c>
      <c r="I216" s="6216"/>
      <c r="J216" s="6216"/>
      <c r="K216" s="6216"/>
      <c r="L216" s="6216"/>
      <c r="M216" s="6216"/>
      <c r="N216" s="6216"/>
      <c r="O216" s="6216"/>
      <c r="P216" s="6216"/>
      <c r="Q216" s="6194"/>
      <c r="R216" s="426"/>
      <c r="S216" s="420"/>
      <c r="T216" s="420"/>
      <c r="U216" s="854"/>
      <c r="V216" s="6190" t="s">
        <v>3234</v>
      </c>
      <c r="W216" s="6191"/>
      <c r="X216" s="435" t="e">
        <f>IF(V212=0,"",VLOOKUP(V212,'Tablas Magia'!$D$6:$Z$680,9,FALSE))</f>
        <v>#N/A</v>
      </c>
      <c r="Y216" s="435" t="e">
        <f>IF(V212=0,"",VLOOKUP(V212,'Tablas Magia'!$D$6:$Z$680,13,FALSE))</f>
        <v>#N/A</v>
      </c>
      <c r="Z216" s="436" t="e">
        <f>IF(V212=0,"",VLOOKUP(V212,'Tablas Magia'!$D$6:$Z$680,17,FALSE))</f>
        <v>#N/A</v>
      </c>
      <c r="AA216" s="6192" t="e">
        <f>IF(V212=0,"",VLOOKUP(V212,'Tablas Magia'!$D$6:$Z$680,21,FALSE))</f>
        <v>#N/A</v>
      </c>
      <c r="AB216" s="6193"/>
      <c r="AC216" s="6193"/>
      <c r="AD216" s="6193"/>
      <c r="AE216" s="6193"/>
      <c r="AF216" s="6193"/>
      <c r="AG216" s="6193"/>
      <c r="AH216" s="6193"/>
      <c r="AI216" s="6193"/>
      <c r="AJ216" s="6194"/>
      <c r="AK216" s="426"/>
      <c r="AL216" s="420"/>
    </row>
    <row r="217" spans="1:38" ht="12" customHeight="1" thickBot="1" x14ac:dyDescent="0.25">
      <c r="A217" s="420"/>
      <c r="B217" s="854"/>
      <c r="C217" s="6200" t="s">
        <v>3235</v>
      </c>
      <c r="D217" s="6201"/>
      <c r="E217" s="439" t="e">
        <f>IF(C212=0,"",VLOOKUP(C212,'Tablas Magia'!$D$6:$Z$680,10,FALSE))</f>
        <v>#N/A</v>
      </c>
      <c r="F217" s="439" t="e">
        <f>IF(C212=0,"",VLOOKUP(C212,'Tablas Magia'!$D$6:$Z$680,14,FALSE))</f>
        <v>#N/A</v>
      </c>
      <c r="G217" s="440" t="e">
        <f>IF(C212=0,"",VLOOKUP(C212,'Tablas Magia'!$D$6:$Z$680,18,FALSE))</f>
        <v>#N/A</v>
      </c>
      <c r="H217" s="6202" t="e">
        <f>IF(C212=0,"",VLOOKUP(C212,'Tablas Magia'!$D$6:$Z$680,22,FALSE))</f>
        <v>#N/A</v>
      </c>
      <c r="I217" s="6203"/>
      <c r="J217" s="6203"/>
      <c r="K217" s="6203"/>
      <c r="L217" s="6203"/>
      <c r="M217" s="6203"/>
      <c r="N217" s="6203"/>
      <c r="O217" s="6203"/>
      <c r="P217" s="6203"/>
      <c r="Q217" s="6204"/>
      <c r="R217" s="426"/>
      <c r="S217" s="420"/>
      <c r="T217" s="420"/>
      <c r="U217" s="854"/>
      <c r="V217" s="6200" t="s">
        <v>3235</v>
      </c>
      <c r="W217" s="6201"/>
      <c r="X217" s="439" t="e">
        <f>IF(V212=0,"",VLOOKUP(V212,'Tablas Magia'!$D$6:$Z$680,10,FALSE))</f>
        <v>#N/A</v>
      </c>
      <c r="Y217" s="439" t="e">
        <f>IF(V212=0,"",VLOOKUP(V212,'Tablas Magia'!$D$6:$Z$680,14,FALSE))</f>
        <v>#N/A</v>
      </c>
      <c r="Z217" s="440" t="e">
        <f>IF(V212=0,"",VLOOKUP(V212,'Tablas Magia'!$D$6:$Z$680,18,FALSE))</f>
        <v>#N/A</v>
      </c>
      <c r="AA217" s="6202" t="e">
        <f>IF(V212=0,"",VLOOKUP(V212,'Tablas Magia'!$D$6:$Z$680,22,FALSE))</f>
        <v>#N/A</v>
      </c>
      <c r="AB217" s="6203"/>
      <c r="AC217" s="6203"/>
      <c r="AD217" s="6203"/>
      <c r="AE217" s="6203"/>
      <c r="AF217" s="6203"/>
      <c r="AG217" s="6203"/>
      <c r="AH217" s="6203"/>
      <c r="AI217" s="6203"/>
      <c r="AJ217" s="6204"/>
      <c r="AK217" s="426"/>
      <c r="AL217" s="420"/>
    </row>
    <row r="218" spans="1:38" ht="12" customHeight="1" x14ac:dyDescent="0.2">
      <c r="A218" s="420"/>
      <c r="B218" s="854"/>
      <c r="C218" s="6205" t="e">
        <f>IF(C212=0,"",VLOOKUP(C212,'Tablas Magia'!$D$6:$Z$680,23,FALSE))</f>
        <v>#N/A</v>
      </c>
      <c r="D218" s="6206"/>
      <c r="E218" s="6206"/>
      <c r="F218" s="6206"/>
      <c r="G218" s="6206"/>
      <c r="H218" s="6206"/>
      <c r="I218" s="6206"/>
      <c r="J218" s="6206"/>
      <c r="K218" s="6206"/>
      <c r="L218" s="6206"/>
      <c r="M218" s="6206"/>
      <c r="N218" s="6206"/>
      <c r="O218" s="6206"/>
      <c r="P218" s="6206"/>
      <c r="Q218" s="6207"/>
      <c r="R218" s="426"/>
      <c r="S218" s="420"/>
      <c r="T218" s="420"/>
      <c r="U218" s="854"/>
      <c r="V218" s="6205" t="e">
        <f>IF(V212=0,"",VLOOKUP(V212,'Tablas Magia'!$D$6:$Z$680,23,FALSE))</f>
        <v>#N/A</v>
      </c>
      <c r="W218" s="6206"/>
      <c r="X218" s="6206"/>
      <c r="Y218" s="6206"/>
      <c r="Z218" s="6206"/>
      <c r="AA218" s="6206"/>
      <c r="AB218" s="6206"/>
      <c r="AC218" s="6206"/>
      <c r="AD218" s="6206"/>
      <c r="AE218" s="6206"/>
      <c r="AF218" s="6206"/>
      <c r="AG218" s="6206"/>
      <c r="AH218" s="6206"/>
      <c r="AI218" s="6206"/>
      <c r="AJ218" s="6207"/>
      <c r="AK218" s="426"/>
      <c r="AL218" s="420"/>
    </row>
    <row r="219" spans="1:38" ht="12" customHeight="1" x14ac:dyDescent="0.2">
      <c r="A219" s="420"/>
      <c r="B219" s="854"/>
      <c r="C219" s="6208"/>
      <c r="D219" s="6218"/>
      <c r="E219" s="6218"/>
      <c r="F219" s="6218"/>
      <c r="G219" s="6218"/>
      <c r="H219" s="6218"/>
      <c r="I219" s="6218"/>
      <c r="J219" s="6218"/>
      <c r="K219" s="6218"/>
      <c r="L219" s="6218"/>
      <c r="M219" s="6218"/>
      <c r="N219" s="6218"/>
      <c r="O219" s="6218"/>
      <c r="P219" s="6218"/>
      <c r="Q219" s="6210"/>
      <c r="R219" s="426"/>
      <c r="S219" s="420"/>
      <c r="T219" s="420"/>
      <c r="U219" s="854"/>
      <c r="V219" s="6208"/>
      <c r="W219" s="6209"/>
      <c r="X219" s="6209"/>
      <c r="Y219" s="6209"/>
      <c r="Z219" s="6209"/>
      <c r="AA219" s="6209"/>
      <c r="AB219" s="6209"/>
      <c r="AC219" s="6209"/>
      <c r="AD219" s="6209"/>
      <c r="AE219" s="6209"/>
      <c r="AF219" s="6209"/>
      <c r="AG219" s="6209"/>
      <c r="AH219" s="6209"/>
      <c r="AI219" s="6209"/>
      <c r="AJ219" s="6210"/>
      <c r="AK219" s="426"/>
      <c r="AL219" s="420"/>
    </row>
    <row r="220" spans="1:38" ht="12" customHeight="1" x14ac:dyDescent="0.2">
      <c r="A220" s="420"/>
      <c r="B220" s="854"/>
      <c r="C220" s="6208"/>
      <c r="D220" s="6218"/>
      <c r="E220" s="6218"/>
      <c r="F220" s="6218"/>
      <c r="G220" s="6218"/>
      <c r="H220" s="6218"/>
      <c r="I220" s="6218"/>
      <c r="J220" s="6218"/>
      <c r="K220" s="6218"/>
      <c r="L220" s="6218"/>
      <c r="M220" s="6218"/>
      <c r="N220" s="6218"/>
      <c r="O220" s="6218"/>
      <c r="P220" s="6218"/>
      <c r="Q220" s="6210"/>
      <c r="R220" s="426"/>
      <c r="S220" s="420"/>
      <c r="T220" s="420"/>
      <c r="U220" s="854"/>
      <c r="V220" s="6208"/>
      <c r="W220" s="6209"/>
      <c r="X220" s="6209"/>
      <c r="Y220" s="6209"/>
      <c r="Z220" s="6209"/>
      <c r="AA220" s="6209"/>
      <c r="AB220" s="6209"/>
      <c r="AC220" s="6209"/>
      <c r="AD220" s="6209"/>
      <c r="AE220" s="6209"/>
      <c r="AF220" s="6209"/>
      <c r="AG220" s="6209"/>
      <c r="AH220" s="6209"/>
      <c r="AI220" s="6209"/>
      <c r="AJ220" s="6210"/>
      <c r="AK220" s="426"/>
      <c r="AL220" s="420"/>
    </row>
    <row r="221" spans="1:38" ht="12" customHeight="1" thickBot="1" x14ac:dyDescent="0.25">
      <c r="A221" s="420"/>
      <c r="B221" s="854"/>
      <c r="C221" s="6211"/>
      <c r="D221" s="6212"/>
      <c r="E221" s="6212"/>
      <c r="F221" s="6212"/>
      <c r="G221" s="6212"/>
      <c r="H221" s="6212"/>
      <c r="I221" s="6212"/>
      <c r="J221" s="6212"/>
      <c r="K221" s="6212"/>
      <c r="L221" s="6212"/>
      <c r="M221" s="6212"/>
      <c r="N221" s="6212"/>
      <c r="O221" s="6212"/>
      <c r="P221" s="6212"/>
      <c r="Q221" s="6213"/>
      <c r="R221" s="426"/>
      <c r="S221" s="420"/>
      <c r="T221" s="420"/>
      <c r="U221" s="854"/>
      <c r="V221" s="6211"/>
      <c r="W221" s="6212"/>
      <c r="X221" s="6212"/>
      <c r="Y221" s="6212"/>
      <c r="Z221" s="6212"/>
      <c r="AA221" s="6212"/>
      <c r="AB221" s="6212"/>
      <c r="AC221" s="6212"/>
      <c r="AD221" s="6212"/>
      <c r="AE221" s="6212"/>
      <c r="AF221" s="6212"/>
      <c r="AG221" s="6212"/>
      <c r="AH221" s="6212"/>
      <c r="AI221" s="6212"/>
      <c r="AJ221" s="6213"/>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19"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20"/>
      <c r="E223" s="6220"/>
      <c r="F223" s="6220"/>
      <c r="G223" s="6221"/>
      <c r="H223" s="430" t="s">
        <v>1328</v>
      </c>
      <c r="I223" s="431">
        <f>B223</f>
        <v>64</v>
      </c>
      <c r="J223" s="6222" t="s">
        <v>6329</v>
      </c>
      <c r="K223" s="6222"/>
      <c r="L223" s="6222"/>
      <c r="M223" s="6183" t="e">
        <f>IF(C223=0,"",VLOOKUP(C223,'Tablas Magia'!$D$6:$Z$680,2,FALSE))</f>
        <v>#N/A</v>
      </c>
      <c r="N223" s="6183"/>
      <c r="O223" s="1853"/>
      <c r="P223" s="6214" t="str">
        <f>IFERROR(IF(M223="Libre Acceso","Aprendido",IF(IFERROR(VLOOKUP(M223,Místicos!$C$15:$H$25,6,0)&gt;=I223,FALSE),"Aprendido",IF(IFERROR(VLOOKUP(M223,Místicos!$E$15:$H$25,4,0)&gt;=I223,FALSE),"Aprendido",""))),"")</f>
        <v/>
      </c>
      <c r="Q223" s="6215"/>
      <c r="R223" s="426"/>
      <c r="S223" s="420"/>
      <c r="T223" s="420"/>
      <c r="U223" s="854">
        <f>U212+2</f>
        <v>74</v>
      </c>
      <c r="V223" s="6219"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30"/>
      <c r="X223" s="6230"/>
      <c r="Y223" s="6230"/>
      <c r="Z223" s="6230"/>
      <c r="AA223" s="430" t="s">
        <v>1328</v>
      </c>
      <c r="AB223" s="431">
        <f>U223</f>
        <v>74</v>
      </c>
      <c r="AC223" s="6222" t="s">
        <v>6329</v>
      </c>
      <c r="AD223" s="6222"/>
      <c r="AE223" s="6222"/>
      <c r="AF223" s="6183" t="e">
        <f>IF(V223=0,"",VLOOKUP(V223,'Tablas Magia'!$D$6:$Z$680,2,FALSE))</f>
        <v>#N/A</v>
      </c>
      <c r="AG223" s="6183"/>
      <c r="AH223" s="1853"/>
      <c r="AI223" s="6214" t="str">
        <f>IFERROR(IF(AF223="Libre Acceso","Aprendido",IF(IFERROR(VLOOKUP(AF223,Místicos!$C$15:$H$25,6,0)&gt;=AB223,FALSE),"Aprendido",IF(IFERROR(VLOOKUP(AF223,Místicos!$E$15:$H$25,4,0)&gt;=AB223,FALSE),"Aprendido",""))),"")</f>
        <v/>
      </c>
      <c r="AJ223" s="6215"/>
      <c r="AK223" s="426"/>
      <c r="AL223" s="420"/>
    </row>
    <row r="224" spans="1:38" ht="12" customHeight="1" x14ac:dyDescent="0.2">
      <c r="A224" s="420"/>
      <c r="B224" s="854"/>
      <c r="C224" s="6198" t="s">
        <v>6330</v>
      </c>
      <c r="D224" s="6228"/>
      <c r="E224" s="2760" t="s">
        <v>6331</v>
      </c>
      <c r="F224" s="2760" t="s">
        <v>1512</v>
      </c>
      <c r="G224" s="2760" t="s">
        <v>2862</v>
      </c>
      <c r="H224" s="2761" t="s">
        <v>1840</v>
      </c>
      <c r="I224" s="6226" t="e">
        <f>IF(C223=0,"",VLOOKUP(C223,'Tablas Magia'!$D$6:$Z$680,5,FALSE))</f>
        <v>#N/A</v>
      </c>
      <c r="J224" s="6226"/>
      <c r="K224" s="6229" t="s">
        <v>6332</v>
      </c>
      <c r="L224" s="6229"/>
      <c r="M224" s="6226" t="e">
        <f>IF(C223=0,"",VLOOKUP(C223,'Tablas Magia'!$D$6:$Z$680,6,FALSE))</f>
        <v>#N/A</v>
      </c>
      <c r="N224" s="6226"/>
      <c r="O224" s="6227" t="s">
        <v>6333</v>
      </c>
      <c r="P224" s="6227"/>
      <c r="Q224" s="2762" t="e">
        <f>IF(C223=0,"",VLOOKUP(C223,'Tablas Magia'!$D$6:$Z$680,4,FALSE))</f>
        <v>#N/A</v>
      </c>
      <c r="R224" s="426"/>
      <c r="S224" s="420"/>
      <c r="T224" s="420"/>
      <c r="U224" s="854"/>
      <c r="V224" s="6198" t="s">
        <v>6330</v>
      </c>
      <c r="W224" s="6231"/>
      <c r="X224" s="1862" t="s">
        <v>6331</v>
      </c>
      <c r="Y224" s="1862" t="s">
        <v>1512</v>
      </c>
      <c r="Z224" s="1862" t="s">
        <v>2862</v>
      </c>
      <c r="AA224" s="1863" t="s">
        <v>1840</v>
      </c>
      <c r="AB224" s="6232" t="e">
        <f>IF(V223=0,"",VLOOKUP(V223,'Tablas Magia'!$D$6:$Z$680,5,FALSE))</f>
        <v>#N/A</v>
      </c>
      <c r="AC224" s="6232"/>
      <c r="AD224" s="6233" t="s">
        <v>6332</v>
      </c>
      <c r="AE224" s="6233"/>
      <c r="AF224" s="6232" t="e">
        <f>IF(V223=0,"",VLOOKUP(V223,'Tablas Magia'!$D$6:$Z$680,6,FALSE))</f>
        <v>#N/A</v>
      </c>
      <c r="AG224" s="6232"/>
      <c r="AH224" s="6234" t="s">
        <v>6333</v>
      </c>
      <c r="AI224" s="6234"/>
      <c r="AJ224" s="1864" t="e">
        <f>IF(V223=0,"",VLOOKUP(V223,'Tablas Magia'!$D$6:$Z$680,4,FALSE))</f>
        <v>#N/A</v>
      </c>
      <c r="AK224" s="426"/>
      <c r="AL224" s="420"/>
    </row>
    <row r="225" spans="1:38" ht="12" customHeight="1" x14ac:dyDescent="0.2">
      <c r="A225" s="420"/>
      <c r="B225" s="854"/>
      <c r="C225" s="6238" t="s">
        <v>1368</v>
      </c>
      <c r="D225" s="6239"/>
      <c r="E225" s="2763" t="e">
        <f>IF(C223=0,"",VLOOKUP(C223,'Tablas Magia'!$D$6:$Z$680,7,FALSE))</f>
        <v>#N/A</v>
      </c>
      <c r="F225" s="2763" t="e">
        <f>IF(C223=0,"",VLOOKUP(C223,'Tablas Magia'!$D$6:$Z$680,11,FALSE))</f>
        <v>#N/A</v>
      </c>
      <c r="G225" s="436" t="e">
        <f>IF(C223=0,"",VLOOKUP(C223,'Tablas Magia'!$D$6:$Z$680,15,FALSE))</f>
        <v>#N/A</v>
      </c>
      <c r="H225" s="6223" t="e">
        <f>IF(C223=0,"",VLOOKUP(C223,'Tablas Magia'!$D$6:$Z$680,19,FALSE))</f>
        <v>#N/A</v>
      </c>
      <c r="I225" s="6224"/>
      <c r="J225" s="6224"/>
      <c r="K225" s="6224"/>
      <c r="L225" s="6224"/>
      <c r="M225" s="6224"/>
      <c r="N225" s="6224"/>
      <c r="O225" s="6224"/>
      <c r="P225" s="6224"/>
      <c r="Q225" s="6225"/>
      <c r="R225" s="426"/>
      <c r="S225" s="420"/>
      <c r="T225" s="420"/>
      <c r="U225" s="854"/>
      <c r="V225" s="6190" t="s">
        <v>1368</v>
      </c>
      <c r="W225" s="6191"/>
      <c r="X225" s="435" t="e">
        <f>IF(V223=0,"",VLOOKUP(V223,'Tablas Magia'!$D$6:$Z$680,7,FALSE))</f>
        <v>#N/A</v>
      </c>
      <c r="Y225" s="435" t="e">
        <f>IF(V223=0,"",VLOOKUP(V223,'Tablas Magia'!$D$6:$Z$680,11,FALSE))</f>
        <v>#N/A</v>
      </c>
      <c r="Z225" s="436" t="e">
        <f>IF(V223=0,"",VLOOKUP(V223,'Tablas Magia'!$D$6:$Z$680,15,FALSE))</f>
        <v>#N/A</v>
      </c>
      <c r="AA225" s="6192" t="e">
        <f>IF(V223=0,"",VLOOKUP(V223,'Tablas Magia'!$D$6:$Z$680,19,FALSE))</f>
        <v>#N/A</v>
      </c>
      <c r="AB225" s="6193"/>
      <c r="AC225" s="6193"/>
      <c r="AD225" s="6193"/>
      <c r="AE225" s="6193"/>
      <c r="AF225" s="6193"/>
      <c r="AG225" s="6193"/>
      <c r="AH225" s="6193"/>
      <c r="AI225" s="6193"/>
      <c r="AJ225" s="6194"/>
      <c r="AK225" s="426"/>
      <c r="AL225" s="420"/>
    </row>
    <row r="226" spans="1:38" ht="12" customHeight="1" x14ac:dyDescent="0.2">
      <c r="A226" s="420"/>
      <c r="B226" s="854"/>
      <c r="C226" s="6185" t="s">
        <v>3233</v>
      </c>
      <c r="D226" s="6186"/>
      <c r="E226" s="2764" t="e">
        <f>IF(C223=0,"",VLOOKUP(C223,'Tablas Magia'!$D$6:$Z$680,8,FALSE))</f>
        <v>#N/A</v>
      </c>
      <c r="F226" s="2764" t="e">
        <f>IF(C223=0,"",VLOOKUP(C223,'Tablas Magia'!$D$6:$Z$680,12,FALSE))</f>
        <v>#N/A</v>
      </c>
      <c r="G226" s="438" t="e">
        <f>IF(C223=0,"",VLOOKUP(C223,'Tablas Magia'!$D$6:$Z$680,16,FALSE))</f>
        <v>#N/A</v>
      </c>
      <c r="H226" s="6187" t="e">
        <f>IF(C223=0,"",VLOOKUP(C223,'Tablas Magia'!$D$6:$Z$680,20,FALSE))</f>
        <v>#N/A</v>
      </c>
      <c r="I226" s="6217"/>
      <c r="J226" s="6217"/>
      <c r="K226" s="6217"/>
      <c r="L226" s="6217"/>
      <c r="M226" s="6217"/>
      <c r="N226" s="6217"/>
      <c r="O226" s="6217"/>
      <c r="P226" s="6217"/>
      <c r="Q226" s="6189"/>
      <c r="R226" s="426"/>
      <c r="S226" s="420"/>
      <c r="T226" s="420"/>
      <c r="U226" s="854"/>
      <c r="V226" s="6185" t="s">
        <v>3233</v>
      </c>
      <c r="W226" s="6186"/>
      <c r="X226" s="437" t="e">
        <f>IF(V223=0,"",VLOOKUP(V223,'Tablas Magia'!$D$6:$Z$680,8,FALSE))</f>
        <v>#N/A</v>
      </c>
      <c r="Y226" s="437" t="e">
        <f>IF(V223=0,"",VLOOKUP(V223,'Tablas Magia'!$D$6:$Z$680,12,FALSE))</f>
        <v>#N/A</v>
      </c>
      <c r="Z226" s="438" t="e">
        <f>IF(V223=0,"",VLOOKUP(V223,'Tablas Magia'!$D$6:$Z$680,16,FALSE))</f>
        <v>#N/A</v>
      </c>
      <c r="AA226" s="6187" t="e">
        <f>IF(V223=0,"",VLOOKUP(V223,'Tablas Magia'!$D$6:$Z$680,20,FALSE))</f>
        <v>#N/A</v>
      </c>
      <c r="AB226" s="6188"/>
      <c r="AC226" s="6188"/>
      <c r="AD226" s="6188"/>
      <c r="AE226" s="6188"/>
      <c r="AF226" s="6188"/>
      <c r="AG226" s="6188"/>
      <c r="AH226" s="6188"/>
      <c r="AI226" s="6188"/>
      <c r="AJ226" s="6189"/>
      <c r="AK226" s="426"/>
      <c r="AL226" s="420"/>
    </row>
    <row r="227" spans="1:38" ht="12" customHeight="1" x14ac:dyDescent="0.2">
      <c r="A227" s="420"/>
      <c r="B227" s="854"/>
      <c r="C227" s="6190" t="s">
        <v>3234</v>
      </c>
      <c r="D227" s="6191"/>
      <c r="E227" s="2763" t="e">
        <f>IF(C223=0,"",VLOOKUP(C223,'Tablas Magia'!$D$6:$Z$680,9,FALSE))</f>
        <v>#N/A</v>
      </c>
      <c r="F227" s="2763" t="e">
        <f>IF(C223=0,"",VLOOKUP(C223,'Tablas Magia'!$D$6:$Z$680,13,FALSE))</f>
        <v>#N/A</v>
      </c>
      <c r="G227" s="436" t="e">
        <f>IF(C223=0,"",VLOOKUP(C223,'Tablas Magia'!$D$6:$Z$680,17,FALSE))</f>
        <v>#N/A</v>
      </c>
      <c r="H227" s="6192" t="e">
        <f>IF(C223=0,"",VLOOKUP(C223,'Tablas Magia'!$D$6:$Z$680,21,FALSE))</f>
        <v>#N/A</v>
      </c>
      <c r="I227" s="6216"/>
      <c r="J227" s="6216"/>
      <c r="K227" s="6216"/>
      <c r="L227" s="6216"/>
      <c r="M227" s="6216"/>
      <c r="N227" s="6216"/>
      <c r="O227" s="6216"/>
      <c r="P227" s="6216"/>
      <c r="Q227" s="6194"/>
      <c r="R227" s="426"/>
      <c r="S227" s="420"/>
      <c r="T227" s="420"/>
      <c r="U227" s="854"/>
      <c r="V227" s="6190" t="s">
        <v>3234</v>
      </c>
      <c r="W227" s="6191"/>
      <c r="X227" s="435" t="e">
        <f>IF(V223=0,"",VLOOKUP(V223,'Tablas Magia'!$D$6:$Z$680,9,FALSE))</f>
        <v>#N/A</v>
      </c>
      <c r="Y227" s="435" t="e">
        <f>IF(V223=0,"",VLOOKUP(V223,'Tablas Magia'!$D$6:$Z$680,13,FALSE))</f>
        <v>#N/A</v>
      </c>
      <c r="Z227" s="436" t="e">
        <f>IF(V223=0,"",VLOOKUP(V223,'Tablas Magia'!$D$6:$Z$680,17,FALSE))</f>
        <v>#N/A</v>
      </c>
      <c r="AA227" s="6192" t="e">
        <f>IF(V223=0,"",VLOOKUP(V223,'Tablas Magia'!$D$6:$Z$680,21,FALSE))</f>
        <v>#N/A</v>
      </c>
      <c r="AB227" s="6193"/>
      <c r="AC227" s="6193"/>
      <c r="AD227" s="6193"/>
      <c r="AE227" s="6193"/>
      <c r="AF227" s="6193"/>
      <c r="AG227" s="6193"/>
      <c r="AH227" s="6193"/>
      <c r="AI227" s="6193"/>
      <c r="AJ227" s="6194"/>
      <c r="AK227" s="426"/>
      <c r="AL227" s="420"/>
    </row>
    <row r="228" spans="1:38" ht="12" customHeight="1" thickBot="1" x14ac:dyDescent="0.25">
      <c r="A228" s="420"/>
      <c r="B228" s="854"/>
      <c r="C228" s="6200" t="s">
        <v>3235</v>
      </c>
      <c r="D228" s="6201"/>
      <c r="E228" s="439" t="e">
        <f>IF(C223=0,"",VLOOKUP(C223,'Tablas Magia'!$D$6:$Z$680,10,FALSE))</f>
        <v>#N/A</v>
      </c>
      <c r="F228" s="439" t="e">
        <f>IF(C223=0,"",VLOOKUP(C223,'Tablas Magia'!$D$6:$Z$680,14,FALSE))</f>
        <v>#N/A</v>
      </c>
      <c r="G228" s="440" t="e">
        <f>IF(C223=0,"",VLOOKUP(C223,'Tablas Magia'!$D$6:$Z$680,18,FALSE))</f>
        <v>#N/A</v>
      </c>
      <c r="H228" s="6202" t="e">
        <f>IF(C223=0,"",VLOOKUP(C223,'Tablas Magia'!$D$6:$Z$680,22,FALSE))</f>
        <v>#N/A</v>
      </c>
      <c r="I228" s="6203"/>
      <c r="J228" s="6203"/>
      <c r="K228" s="6203"/>
      <c r="L228" s="6203"/>
      <c r="M228" s="6203"/>
      <c r="N228" s="6203"/>
      <c r="O228" s="6203"/>
      <c r="P228" s="6203"/>
      <c r="Q228" s="6204"/>
      <c r="R228" s="426"/>
      <c r="S228" s="420"/>
      <c r="T228" s="420"/>
      <c r="U228" s="854"/>
      <c r="V228" s="6200" t="s">
        <v>3235</v>
      </c>
      <c r="W228" s="6201"/>
      <c r="X228" s="439" t="e">
        <f>IF(V223=0,"",VLOOKUP(V223,'Tablas Magia'!$D$6:$Z$680,10,FALSE))</f>
        <v>#N/A</v>
      </c>
      <c r="Y228" s="439" t="e">
        <f>IF(V223=0,"",VLOOKUP(V223,'Tablas Magia'!$D$6:$Z$680,14,FALSE))</f>
        <v>#N/A</v>
      </c>
      <c r="Z228" s="440" t="e">
        <f>IF(V223=0,"",VLOOKUP(V223,'Tablas Magia'!$D$6:$Z$680,18,FALSE))</f>
        <v>#N/A</v>
      </c>
      <c r="AA228" s="6202" t="e">
        <f>IF(V223=0,"",VLOOKUP(V223,'Tablas Magia'!$D$6:$Z$680,22,FALSE))</f>
        <v>#N/A</v>
      </c>
      <c r="AB228" s="6203"/>
      <c r="AC228" s="6203"/>
      <c r="AD228" s="6203"/>
      <c r="AE228" s="6203"/>
      <c r="AF228" s="6203"/>
      <c r="AG228" s="6203"/>
      <c r="AH228" s="6203"/>
      <c r="AI228" s="6203"/>
      <c r="AJ228" s="6204"/>
      <c r="AK228" s="426"/>
      <c r="AL228" s="420"/>
    </row>
    <row r="229" spans="1:38" ht="12" customHeight="1" x14ac:dyDescent="0.2">
      <c r="A229" s="420"/>
      <c r="B229" s="854"/>
      <c r="C229" s="6205" t="e">
        <f>IF(C223=0,"",VLOOKUP(C223,'Tablas Magia'!$D$6:$Z$680,23,FALSE))</f>
        <v>#N/A</v>
      </c>
      <c r="D229" s="6206"/>
      <c r="E229" s="6206"/>
      <c r="F229" s="6206"/>
      <c r="G229" s="6206"/>
      <c r="H229" s="6206"/>
      <c r="I229" s="6206"/>
      <c r="J229" s="6206"/>
      <c r="K229" s="6206"/>
      <c r="L229" s="6206"/>
      <c r="M229" s="6206"/>
      <c r="N229" s="6206"/>
      <c r="O229" s="6206"/>
      <c r="P229" s="6206"/>
      <c r="Q229" s="6207"/>
      <c r="R229" s="426"/>
      <c r="S229" s="420"/>
      <c r="T229" s="420"/>
      <c r="U229" s="854"/>
      <c r="V229" s="6205" t="e">
        <f>IF(V223=0,"",VLOOKUP(V223,'Tablas Magia'!$D$6:$Z$680,23,FALSE))</f>
        <v>#N/A</v>
      </c>
      <c r="W229" s="6206"/>
      <c r="X229" s="6206"/>
      <c r="Y229" s="6206"/>
      <c r="Z229" s="6206"/>
      <c r="AA229" s="6206"/>
      <c r="AB229" s="6206"/>
      <c r="AC229" s="6206"/>
      <c r="AD229" s="6206"/>
      <c r="AE229" s="6206"/>
      <c r="AF229" s="6206"/>
      <c r="AG229" s="6206"/>
      <c r="AH229" s="6206"/>
      <c r="AI229" s="6206"/>
      <c r="AJ229" s="6207"/>
      <c r="AK229" s="426"/>
      <c r="AL229" s="420"/>
    </row>
    <row r="230" spans="1:38" ht="12" customHeight="1" x14ac:dyDescent="0.2">
      <c r="A230" s="420"/>
      <c r="B230" s="854"/>
      <c r="C230" s="6208"/>
      <c r="D230" s="6218"/>
      <c r="E230" s="6218"/>
      <c r="F230" s="6218"/>
      <c r="G230" s="6218"/>
      <c r="H230" s="6218"/>
      <c r="I230" s="6218"/>
      <c r="J230" s="6218"/>
      <c r="K230" s="6218"/>
      <c r="L230" s="6218"/>
      <c r="M230" s="6218"/>
      <c r="N230" s="6218"/>
      <c r="O230" s="6218"/>
      <c r="P230" s="6218"/>
      <c r="Q230" s="6210"/>
      <c r="R230" s="426"/>
      <c r="S230" s="420"/>
      <c r="T230" s="420"/>
      <c r="U230" s="854"/>
      <c r="V230" s="6208"/>
      <c r="W230" s="6209"/>
      <c r="X230" s="6209"/>
      <c r="Y230" s="6209"/>
      <c r="Z230" s="6209"/>
      <c r="AA230" s="6209"/>
      <c r="AB230" s="6209"/>
      <c r="AC230" s="6209"/>
      <c r="AD230" s="6209"/>
      <c r="AE230" s="6209"/>
      <c r="AF230" s="6209"/>
      <c r="AG230" s="6209"/>
      <c r="AH230" s="6209"/>
      <c r="AI230" s="6209"/>
      <c r="AJ230" s="6210"/>
      <c r="AK230" s="426"/>
      <c r="AL230" s="420"/>
    </row>
    <row r="231" spans="1:38" ht="12" customHeight="1" x14ac:dyDescent="0.2">
      <c r="A231" s="420"/>
      <c r="B231" s="854"/>
      <c r="C231" s="6208"/>
      <c r="D231" s="6218"/>
      <c r="E231" s="6218"/>
      <c r="F231" s="6218"/>
      <c r="G231" s="6218"/>
      <c r="H231" s="6218"/>
      <c r="I231" s="6218"/>
      <c r="J231" s="6218"/>
      <c r="K231" s="6218"/>
      <c r="L231" s="6218"/>
      <c r="M231" s="6218"/>
      <c r="N231" s="6218"/>
      <c r="O231" s="6218"/>
      <c r="P231" s="6218"/>
      <c r="Q231" s="6210"/>
      <c r="R231" s="426"/>
      <c r="S231" s="420"/>
      <c r="T231" s="420"/>
      <c r="U231" s="854"/>
      <c r="V231" s="6208"/>
      <c r="W231" s="6209"/>
      <c r="X231" s="6209"/>
      <c r="Y231" s="6209"/>
      <c r="Z231" s="6209"/>
      <c r="AA231" s="6209"/>
      <c r="AB231" s="6209"/>
      <c r="AC231" s="6209"/>
      <c r="AD231" s="6209"/>
      <c r="AE231" s="6209"/>
      <c r="AF231" s="6209"/>
      <c r="AG231" s="6209"/>
      <c r="AH231" s="6209"/>
      <c r="AI231" s="6209"/>
      <c r="AJ231" s="6210"/>
      <c r="AK231" s="426"/>
      <c r="AL231" s="420"/>
    </row>
    <row r="232" spans="1:38" ht="12" customHeight="1" thickBot="1" x14ac:dyDescent="0.25">
      <c r="A232" s="420"/>
      <c r="B232" s="854"/>
      <c r="C232" s="6211"/>
      <c r="D232" s="6212"/>
      <c r="E232" s="6212"/>
      <c r="F232" s="6212"/>
      <c r="G232" s="6212"/>
      <c r="H232" s="6212"/>
      <c r="I232" s="6212"/>
      <c r="J232" s="6212"/>
      <c r="K232" s="6212"/>
      <c r="L232" s="6212"/>
      <c r="M232" s="6212"/>
      <c r="N232" s="6212"/>
      <c r="O232" s="6212"/>
      <c r="P232" s="6212"/>
      <c r="Q232" s="6213"/>
      <c r="R232" s="426"/>
      <c r="S232" s="420"/>
      <c r="T232" s="420"/>
      <c r="U232" s="854"/>
      <c r="V232" s="6211"/>
      <c r="W232" s="6212"/>
      <c r="X232" s="6212"/>
      <c r="Y232" s="6212"/>
      <c r="Z232" s="6212"/>
      <c r="AA232" s="6212"/>
      <c r="AB232" s="6212"/>
      <c r="AC232" s="6212"/>
      <c r="AD232" s="6212"/>
      <c r="AE232" s="6212"/>
      <c r="AF232" s="6212"/>
      <c r="AG232" s="6212"/>
      <c r="AH232" s="6212"/>
      <c r="AI232" s="6212"/>
      <c r="AJ232" s="6213"/>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19"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20"/>
      <c r="E234" s="6220"/>
      <c r="F234" s="6220"/>
      <c r="G234" s="6221"/>
      <c r="H234" s="430" t="s">
        <v>1328</v>
      </c>
      <c r="I234" s="431">
        <f>B234</f>
        <v>66</v>
      </c>
      <c r="J234" s="6222" t="s">
        <v>6329</v>
      </c>
      <c r="K234" s="6222"/>
      <c r="L234" s="6222"/>
      <c r="M234" s="6183" t="e">
        <f>IF(C234=0,"",VLOOKUP(C234,'Tablas Magia'!$D$6:$Z$680,2,FALSE))</f>
        <v>#N/A</v>
      </c>
      <c r="N234" s="6183"/>
      <c r="O234" s="1853"/>
      <c r="P234" s="6214" t="str">
        <f>IFERROR(IF(M234="Libre Acceso","Aprendido",IF(IFERROR(VLOOKUP(M234,Místicos!$C$15:$H$25,6,0)&gt;=I234,FALSE),"Aprendido",IF(IFERROR(VLOOKUP(M234,Místicos!$E$15:$H$25,4,0)&gt;=I234,FALSE),"Aprendido",""))),"")</f>
        <v/>
      </c>
      <c r="Q234" s="6215"/>
      <c r="R234" s="426"/>
      <c r="S234" s="420"/>
      <c r="T234" s="420"/>
      <c r="U234" s="854">
        <f>U223+2</f>
        <v>76</v>
      </c>
      <c r="V234" s="6219"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30"/>
      <c r="X234" s="6230"/>
      <c r="Y234" s="6230"/>
      <c r="Z234" s="6230"/>
      <c r="AA234" s="430" t="s">
        <v>1328</v>
      </c>
      <c r="AB234" s="431">
        <f>U234</f>
        <v>76</v>
      </c>
      <c r="AC234" s="6222" t="s">
        <v>6329</v>
      </c>
      <c r="AD234" s="6222"/>
      <c r="AE234" s="6222"/>
      <c r="AF234" s="6183" t="e">
        <f>IF(V234=0,"",VLOOKUP(V234,'Tablas Magia'!$D$6:$Z$680,2,FALSE))</f>
        <v>#N/A</v>
      </c>
      <c r="AG234" s="6183"/>
      <c r="AH234" s="1853"/>
      <c r="AI234" s="6214" t="str">
        <f>IFERROR(IF(AF234="Libre Acceso","Aprendido",IF(IFERROR(VLOOKUP(AF234,Místicos!$C$15:$H$25,6,0)&gt;=AB234,FALSE),"Aprendido",IF(IFERROR(VLOOKUP(AF234,Místicos!$E$15:$H$25,4,0)&gt;=AB234,FALSE),"Aprendido",""))),"")</f>
        <v/>
      </c>
      <c r="AJ234" s="6215"/>
      <c r="AK234" s="426"/>
      <c r="AL234" s="420"/>
    </row>
    <row r="235" spans="1:38" ht="12" customHeight="1" x14ac:dyDescent="0.2">
      <c r="A235" s="420"/>
      <c r="B235" s="854"/>
      <c r="C235" s="6198" t="s">
        <v>6330</v>
      </c>
      <c r="D235" s="6228"/>
      <c r="E235" s="2760" t="s">
        <v>6331</v>
      </c>
      <c r="F235" s="2760" t="s">
        <v>1512</v>
      </c>
      <c r="G235" s="2760" t="s">
        <v>2862</v>
      </c>
      <c r="H235" s="2761" t="s">
        <v>1840</v>
      </c>
      <c r="I235" s="6226" t="e">
        <f>IF(C234=0,"",VLOOKUP(C234,'Tablas Magia'!$D$6:$Z$680,5,FALSE))</f>
        <v>#N/A</v>
      </c>
      <c r="J235" s="6226"/>
      <c r="K235" s="6229" t="s">
        <v>6332</v>
      </c>
      <c r="L235" s="6229"/>
      <c r="M235" s="6226" t="e">
        <f>IF(C234=0,"",VLOOKUP(C234,'Tablas Magia'!$D$6:$Z$680,6,FALSE))</f>
        <v>#N/A</v>
      </c>
      <c r="N235" s="6226"/>
      <c r="O235" s="6227" t="s">
        <v>6333</v>
      </c>
      <c r="P235" s="6227"/>
      <c r="Q235" s="2762" t="e">
        <f>IF(C234=0,"",VLOOKUP(C234,'Tablas Magia'!$D$6:$Z$680,4,FALSE))</f>
        <v>#N/A</v>
      </c>
      <c r="R235" s="426"/>
      <c r="S235" s="420"/>
      <c r="T235" s="420"/>
      <c r="U235" s="854"/>
      <c r="V235" s="6198" t="s">
        <v>6330</v>
      </c>
      <c r="W235" s="6231"/>
      <c r="X235" s="1862" t="s">
        <v>6331</v>
      </c>
      <c r="Y235" s="1862" t="s">
        <v>1512</v>
      </c>
      <c r="Z235" s="1862" t="s">
        <v>2862</v>
      </c>
      <c r="AA235" s="1863" t="s">
        <v>1840</v>
      </c>
      <c r="AB235" s="6232" t="e">
        <f>IF(V234=0,"",VLOOKUP(V234,'Tablas Magia'!$D$6:$Z$680,5,FALSE))</f>
        <v>#N/A</v>
      </c>
      <c r="AC235" s="6232"/>
      <c r="AD235" s="6233" t="s">
        <v>6332</v>
      </c>
      <c r="AE235" s="6233"/>
      <c r="AF235" s="6232" t="e">
        <f>IF(V234=0,"",VLOOKUP(V234,'Tablas Magia'!$D$6:$Z$680,6,FALSE))</f>
        <v>#N/A</v>
      </c>
      <c r="AG235" s="6232"/>
      <c r="AH235" s="6234" t="s">
        <v>6333</v>
      </c>
      <c r="AI235" s="6234"/>
      <c r="AJ235" s="1864" t="e">
        <f>IF(V234=0,"",VLOOKUP(V234,'Tablas Magia'!$D$6:$Z$680,4,FALSE))</f>
        <v>#N/A</v>
      </c>
      <c r="AK235" s="426"/>
      <c r="AL235" s="420"/>
    </row>
    <row r="236" spans="1:38" ht="12" customHeight="1" x14ac:dyDescent="0.2">
      <c r="A236" s="420"/>
      <c r="B236" s="854"/>
      <c r="C236" s="6238" t="s">
        <v>1368</v>
      </c>
      <c r="D236" s="6239"/>
      <c r="E236" s="2763" t="e">
        <f>IF(C234=0,"",VLOOKUP(C234,'Tablas Magia'!$D$6:$Z$680,7,FALSE))</f>
        <v>#N/A</v>
      </c>
      <c r="F236" s="2763" t="e">
        <f>IF(C234=0,"",VLOOKUP(C234,'Tablas Magia'!$D$6:$Z$680,11,FALSE))</f>
        <v>#N/A</v>
      </c>
      <c r="G236" s="436" t="e">
        <f>IF(C234=0,"",VLOOKUP(C234,'Tablas Magia'!$D$6:$Z$680,15,FALSE))</f>
        <v>#N/A</v>
      </c>
      <c r="H236" s="6223" t="e">
        <f>IF(C234=0,"",VLOOKUP(C234,'Tablas Magia'!$D$6:$Z$680,19,FALSE))</f>
        <v>#N/A</v>
      </c>
      <c r="I236" s="6224"/>
      <c r="J236" s="6224"/>
      <c r="K236" s="6224"/>
      <c r="L236" s="6224"/>
      <c r="M236" s="6224"/>
      <c r="N236" s="6224"/>
      <c r="O236" s="6224"/>
      <c r="P236" s="6224"/>
      <c r="Q236" s="6225"/>
      <c r="R236" s="426"/>
      <c r="S236" s="420"/>
      <c r="T236" s="420"/>
      <c r="U236" s="854"/>
      <c r="V236" s="6190" t="s">
        <v>1368</v>
      </c>
      <c r="W236" s="6191"/>
      <c r="X236" s="435" t="e">
        <f>IF(V234=0,"",VLOOKUP(V234,'Tablas Magia'!$D$6:$Z$680,7,FALSE))</f>
        <v>#N/A</v>
      </c>
      <c r="Y236" s="435" t="e">
        <f>IF(V234=0,"",VLOOKUP(V234,'Tablas Magia'!$D$6:$Z$680,11,FALSE))</f>
        <v>#N/A</v>
      </c>
      <c r="Z236" s="436" t="e">
        <f>IF(V234=0,"",VLOOKUP(V234,'Tablas Magia'!$D$6:$Z$680,15,FALSE))</f>
        <v>#N/A</v>
      </c>
      <c r="AA236" s="6192" t="e">
        <f>IF(V234=0,"",VLOOKUP(V234,'Tablas Magia'!$D$6:$Z$680,19,FALSE))</f>
        <v>#N/A</v>
      </c>
      <c r="AB236" s="6193"/>
      <c r="AC236" s="6193"/>
      <c r="AD236" s="6193"/>
      <c r="AE236" s="6193"/>
      <c r="AF236" s="6193"/>
      <c r="AG236" s="6193"/>
      <c r="AH236" s="6193"/>
      <c r="AI236" s="6193"/>
      <c r="AJ236" s="6194"/>
      <c r="AK236" s="426"/>
      <c r="AL236" s="420"/>
    </row>
    <row r="237" spans="1:38" ht="12" customHeight="1" x14ac:dyDescent="0.2">
      <c r="A237" s="420"/>
      <c r="B237" s="854"/>
      <c r="C237" s="6185" t="s">
        <v>3233</v>
      </c>
      <c r="D237" s="6186"/>
      <c r="E237" s="2764" t="e">
        <f>IF(C234=0,"",VLOOKUP(C234,'Tablas Magia'!$D$6:$Z$680,8,FALSE))</f>
        <v>#N/A</v>
      </c>
      <c r="F237" s="2764" t="e">
        <f>IF(C234=0,"",VLOOKUP(C234,'Tablas Magia'!$D$6:$Z$680,12,FALSE))</f>
        <v>#N/A</v>
      </c>
      <c r="G237" s="438" t="e">
        <f>IF(C234=0,"",VLOOKUP(C234,'Tablas Magia'!$D$6:$Z$680,16,FALSE))</f>
        <v>#N/A</v>
      </c>
      <c r="H237" s="6187" t="e">
        <f>IF(C234=0,"",VLOOKUP(C234,'Tablas Magia'!$D$6:$Z$680,20,FALSE))</f>
        <v>#N/A</v>
      </c>
      <c r="I237" s="6217"/>
      <c r="J237" s="6217"/>
      <c r="K237" s="6217"/>
      <c r="L237" s="6217"/>
      <c r="M237" s="6217"/>
      <c r="N237" s="6217"/>
      <c r="O237" s="6217"/>
      <c r="P237" s="6217"/>
      <c r="Q237" s="6189"/>
      <c r="R237" s="426"/>
      <c r="S237" s="420"/>
      <c r="T237" s="420"/>
      <c r="U237" s="854"/>
      <c r="V237" s="6185" t="s">
        <v>3233</v>
      </c>
      <c r="W237" s="6186"/>
      <c r="X237" s="437" t="e">
        <f>IF(V234=0,"",VLOOKUP(V234,'Tablas Magia'!$D$6:$Z$680,8,FALSE))</f>
        <v>#N/A</v>
      </c>
      <c r="Y237" s="437" t="e">
        <f>IF(V234=0,"",VLOOKUP(V234,'Tablas Magia'!$D$6:$Z$680,12,FALSE))</f>
        <v>#N/A</v>
      </c>
      <c r="Z237" s="438" t="e">
        <f>IF(V234=0,"",VLOOKUP(V234,'Tablas Magia'!$D$6:$Z$680,16,FALSE))</f>
        <v>#N/A</v>
      </c>
      <c r="AA237" s="6187" t="e">
        <f>IF(V234=0,"",VLOOKUP(V234,'Tablas Magia'!$D$6:$Z$680,20,FALSE))</f>
        <v>#N/A</v>
      </c>
      <c r="AB237" s="6188"/>
      <c r="AC237" s="6188"/>
      <c r="AD237" s="6188"/>
      <c r="AE237" s="6188"/>
      <c r="AF237" s="6188"/>
      <c r="AG237" s="6188"/>
      <c r="AH237" s="6188"/>
      <c r="AI237" s="6188"/>
      <c r="AJ237" s="6189"/>
      <c r="AK237" s="426"/>
      <c r="AL237" s="420"/>
    </row>
    <row r="238" spans="1:38" ht="12" customHeight="1" x14ac:dyDescent="0.2">
      <c r="A238" s="420"/>
      <c r="B238" s="854"/>
      <c r="C238" s="6190" t="s">
        <v>3234</v>
      </c>
      <c r="D238" s="6191"/>
      <c r="E238" s="2763" t="e">
        <f>IF(C234=0,"",VLOOKUP(C234,'Tablas Magia'!$D$6:$Z$680,9,FALSE))</f>
        <v>#N/A</v>
      </c>
      <c r="F238" s="2763" t="e">
        <f>IF(C234=0,"",VLOOKUP(C234,'Tablas Magia'!$D$6:$Z$680,13,FALSE))</f>
        <v>#N/A</v>
      </c>
      <c r="G238" s="436" t="e">
        <f>IF(C234=0,"",VLOOKUP(C234,'Tablas Magia'!$D$6:$Z$680,17,FALSE))</f>
        <v>#N/A</v>
      </c>
      <c r="H238" s="6192" t="e">
        <f>IF(C234=0,"",VLOOKUP(C234,'Tablas Magia'!$D$6:$Z$680,21,FALSE))</f>
        <v>#N/A</v>
      </c>
      <c r="I238" s="6216"/>
      <c r="J238" s="6216"/>
      <c r="K238" s="6216"/>
      <c r="L238" s="6216"/>
      <c r="M238" s="6216"/>
      <c r="N238" s="6216"/>
      <c r="O238" s="6216"/>
      <c r="P238" s="6216"/>
      <c r="Q238" s="6194"/>
      <c r="R238" s="426"/>
      <c r="S238" s="420"/>
      <c r="T238" s="420"/>
      <c r="U238" s="854"/>
      <c r="V238" s="6190" t="s">
        <v>3234</v>
      </c>
      <c r="W238" s="6191"/>
      <c r="X238" s="435" t="e">
        <f>IF(V234=0,"",VLOOKUP(V234,'Tablas Magia'!$D$6:$Z$680,9,FALSE))</f>
        <v>#N/A</v>
      </c>
      <c r="Y238" s="435" t="e">
        <f>IF(V234=0,"",VLOOKUP(V234,'Tablas Magia'!$D$6:$Z$680,13,FALSE))</f>
        <v>#N/A</v>
      </c>
      <c r="Z238" s="436" t="e">
        <f>IF(V234=0,"",VLOOKUP(V234,'Tablas Magia'!$D$6:$Z$680,17,FALSE))</f>
        <v>#N/A</v>
      </c>
      <c r="AA238" s="6192" t="e">
        <f>IF(V234=0,"",VLOOKUP(V234,'Tablas Magia'!$D$6:$Z$680,21,FALSE))</f>
        <v>#N/A</v>
      </c>
      <c r="AB238" s="6193"/>
      <c r="AC238" s="6193"/>
      <c r="AD238" s="6193"/>
      <c r="AE238" s="6193"/>
      <c r="AF238" s="6193"/>
      <c r="AG238" s="6193"/>
      <c r="AH238" s="6193"/>
      <c r="AI238" s="6193"/>
      <c r="AJ238" s="6194"/>
      <c r="AK238" s="426"/>
      <c r="AL238" s="420"/>
    </row>
    <row r="239" spans="1:38" ht="12" customHeight="1" thickBot="1" x14ac:dyDescent="0.25">
      <c r="A239" s="420"/>
      <c r="B239" s="854"/>
      <c r="C239" s="6200" t="s">
        <v>3235</v>
      </c>
      <c r="D239" s="6201"/>
      <c r="E239" s="439" t="e">
        <f>IF(C234=0,"",VLOOKUP(C234,'Tablas Magia'!$D$6:$Z$680,10,FALSE))</f>
        <v>#N/A</v>
      </c>
      <c r="F239" s="439" t="e">
        <f>IF(C234=0,"",VLOOKUP(C234,'Tablas Magia'!$D$6:$Z$680,14,FALSE))</f>
        <v>#N/A</v>
      </c>
      <c r="G239" s="440" t="e">
        <f>IF(C234=0,"",VLOOKUP(C234,'Tablas Magia'!$D$6:$Z$680,18,FALSE))</f>
        <v>#N/A</v>
      </c>
      <c r="H239" s="6202" t="e">
        <f>IF(C234=0,"",VLOOKUP(C234,'Tablas Magia'!$D$6:$Z$680,22,FALSE))</f>
        <v>#N/A</v>
      </c>
      <c r="I239" s="6203"/>
      <c r="J239" s="6203"/>
      <c r="K239" s="6203"/>
      <c r="L239" s="6203"/>
      <c r="M239" s="6203"/>
      <c r="N239" s="6203"/>
      <c r="O239" s="6203"/>
      <c r="P239" s="6203"/>
      <c r="Q239" s="6204"/>
      <c r="R239" s="426"/>
      <c r="S239" s="420"/>
      <c r="T239" s="420"/>
      <c r="U239" s="854"/>
      <c r="V239" s="6200" t="s">
        <v>3235</v>
      </c>
      <c r="W239" s="6201"/>
      <c r="X239" s="439" t="e">
        <f>IF(V234=0,"",VLOOKUP(V234,'Tablas Magia'!$D$6:$Z$680,10,FALSE))</f>
        <v>#N/A</v>
      </c>
      <c r="Y239" s="439" t="e">
        <f>IF(V234=0,"",VLOOKUP(V234,'Tablas Magia'!$D$6:$Z$680,14,FALSE))</f>
        <v>#N/A</v>
      </c>
      <c r="Z239" s="440" t="e">
        <f>IF(V234=0,"",VLOOKUP(V234,'Tablas Magia'!$D$6:$Z$680,18,FALSE))</f>
        <v>#N/A</v>
      </c>
      <c r="AA239" s="6202" t="e">
        <f>IF(V234=0,"",VLOOKUP(V234,'Tablas Magia'!$D$6:$Z$680,22,FALSE))</f>
        <v>#N/A</v>
      </c>
      <c r="AB239" s="6203"/>
      <c r="AC239" s="6203"/>
      <c r="AD239" s="6203"/>
      <c r="AE239" s="6203"/>
      <c r="AF239" s="6203"/>
      <c r="AG239" s="6203"/>
      <c r="AH239" s="6203"/>
      <c r="AI239" s="6203"/>
      <c r="AJ239" s="6204"/>
      <c r="AK239" s="426"/>
      <c r="AL239" s="420"/>
    </row>
    <row r="240" spans="1:38" ht="12" customHeight="1" x14ac:dyDescent="0.2">
      <c r="A240" s="420"/>
      <c r="B240" s="854"/>
      <c r="C240" s="6205" t="e">
        <f>IF(C234=0,"",VLOOKUP(C234,'Tablas Magia'!$D$6:$Z$680,23,FALSE))</f>
        <v>#N/A</v>
      </c>
      <c r="D240" s="6206"/>
      <c r="E240" s="6206"/>
      <c r="F240" s="6206"/>
      <c r="G240" s="6206"/>
      <c r="H240" s="6206"/>
      <c r="I240" s="6206"/>
      <c r="J240" s="6206"/>
      <c r="K240" s="6206"/>
      <c r="L240" s="6206"/>
      <c r="M240" s="6206"/>
      <c r="N240" s="6206"/>
      <c r="O240" s="6206"/>
      <c r="P240" s="6206"/>
      <c r="Q240" s="6207"/>
      <c r="R240" s="426"/>
      <c r="S240" s="420"/>
      <c r="T240" s="420"/>
      <c r="U240" s="854"/>
      <c r="V240" s="6205" t="e">
        <f>IF(V234=0,"",VLOOKUP(V234,'Tablas Magia'!$D$6:$Z$680,23,FALSE))</f>
        <v>#N/A</v>
      </c>
      <c r="W240" s="6206"/>
      <c r="X240" s="6206"/>
      <c r="Y240" s="6206"/>
      <c r="Z240" s="6206"/>
      <c r="AA240" s="6206"/>
      <c r="AB240" s="6206"/>
      <c r="AC240" s="6206"/>
      <c r="AD240" s="6206"/>
      <c r="AE240" s="6206"/>
      <c r="AF240" s="6206"/>
      <c r="AG240" s="6206"/>
      <c r="AH240" s="6206"/>
      <c r="AI240" s="6206"/>
      <c r="AJ240" s="6207"/>
      <c r="AK240" s="426"/>
      <c r="AL240" s="420"/>
    </row>
    <row r="241" spans="1:38" ht="12" customHeight="1" x14ac:dyDescent="0.2">
      <c r="A241" s="420"/>
      <c r="B241" s="854"/>
      <c r="C241" s="6208"/>
      <c r="D241" s="6218"/>
      <c r="E241" s="6218"/>
      <c r="F241" s="6218"/>
      <c r="G241" s="6218"/>
      <c r="H241" s="6218"/>
      <c r="I241" s="6218"/>
      <c r="J241" s="6218"/>
      <c r="K241" s="6218"/>
      <c r="L241" s="6218"/>
      <c r="M241" s="6218"/>
      <c r="N241" s="6218"/>
      <c r="O241" s="6218"/>
      <c r="P241" s="6218"/>
      <c r="Q241" s="6210"/>
      <c r="R241" s="426"/>
      <c r="S241" s="420"/>
      <c r="T241" s="420"/>
      <c r="U241" s="854"/>
      <c r="V241" s="6208"/>
      <c r="W241" s="6209"/>
      <c r="X241" s="6209"/>
      <c r="Y241" s="6209"/>
      <c r="Z241" s="6209"/>
      <c r="AA241" s="6209"/>
      <c r="AB241" s="6209"/>
      <c r="AC241" s="6209"/>
      <c r="AD241" s="6209"/>
      <c r="AE241" s="6209"/>
      <c r="AF241" s="6209"/>
      <c r="AG241" s="6209"/>
      <c r="AH241" s="6209"/>
      <c r="AI241" s="6209"/>
      <c r="AJ241" s="6210"/>
      <c r="AK241" s="426"/>
      <c r="AL241" s="420"/>
    </row>
    <row r="242" spans="1:38" ht="12" customHeight="1" x14ac:dyDescent="0.2">
      <c r="A242" s="420"/>
      <c r="B242" s="854"/>
      <c r="C242" s="6208"/>
      <c r="D242" s="6218"/>
      <c r="E242" s="6218"/>
      <c r="F242" s="6218"/>
      <c r="G242" s="6218"/>
      <c r="H242" s="6218"/>
      <c r="I242" s="6218"/>
      <c r="J242" s="6218"/>
      <c r="K242" s="6218"/>
      <c r="L242" s="6218"/>
      <c r="M242" s="6218"/>
      <c r="N242" s="6218"/>
      <c r="O242" s="6218"/>
      <c r="P242" s="6218"/>
      <c r="Q242" s="6210"/>
      <c r="R242" s="426"/>
      <c r="S242" s="420"/>
      <c r="T242" s="420"/>
      <c r="U242" s="854"/>
      <c r="V242" s="6208"/>
      <c r="W242" s="6209"/>
      <c r="X242" s="6209"/>
      <c r="Y242" s="6209"/>
      <c r="Z242" s="6209"/>
      <c r="AA242" s="6209"/>
      <c r="AB242" s="6209"/>
      <c r="AC242" s="6209"/>
      <c r="AD242" s="6209"/>
      <c r="AE242" s="6209"/>
      <c r="AF242" s="6209"/>
      <c r="AG242" s="6209"/>
      <c r="AH242" s="6209"/>
      <c r="AI242" s="6209"/>
      <c r="AJ242" s="6210"/>
      <c r="AK242" s="426"/>
      <c r="AL242" s="420"/>
    </row>
    <row r="243" spans="1:38" ht="12" customHeight="1" thickBot="1" x14ac:dyDescent="0.25">
      <c r="A243" s="420"/>
      <c r="B243" s="854"/>
      <c r="C243" s="6211"/>
      <c r="D243" s="6212"/>
      <c r="E243" s="6212"/>
      <c r="F243" s="6212"/>
      <c r="G243" s="6212"/>
      <c r="H243" s="6212"/>
      <c r="I243" s="6212"/>
      <c r="J243" s="6212"/>
      <c r="K243" s="6212"/>
      <c r="L243" s="6212"/>
      <c r="M243" s="6212"/>
      <c r="N243" s="6212"/>
      <c r="O243" s="6212"/>
      <c r="P243" s="6212"/>
      <c r="Q243" s="6213"/>
      <c r="R243" s="426"/>
      <c r="S243" s="420"/>
      <c r="T243" s="420"/>
      <c r="U243" s="854"/>
      <c r="V243" s="6211"/>
      <c r="W243" s="6212"/>
      <c r="X243" s="6212"/>
      <c r="Y243" s="6212"/>
      <c r="Z243" s="6212"/>
      <c r="AA243" s="6212"/>
      <c r="AB243" s="6212"/>
      <c r="AC243" s="6212"/>
      <c r="AD243" s="6212"/>
      <c r="AE243" s="6212"/>
      <c r="AF243" s="6212"/>
      <c r="AG243" s="6212"/>
      <c r="AH243" s="6212"/>
      <c r="AI243" s="6212"/>
      <c r="AJ243" s="6213"/>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19"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20"/>
      <c r="E245" s="6220"/>
      <c r="F245" s="6220"/>
      <c r="G245" s="6221"/>
      <c r="H245" s="430" t="s">
        <v>1328</v>
      </c>
      <c r="I245" s="431">
        <f>B245</f>
        <v>68</v>
      </c>
      <c r="J245" s="6222" t="s">
        <v>6329</v>
      </c>
      <c r="K245" s="6222"/>
      <c r="L245" s="6222"/>
      <c r="M245" s="6183" t="e">
        <f>IF(C245=0,"",VLOOKUP(C245,'Tablas Magia'!$D$6:$Z$680,2,FALSE))</f>
        <v>#N/A</v>
      </c>
      <c r="N245" s="6183"/>
      <c r="O245" s="1853"/>
      <c r="P245" s="6214" t="str">
        <f>IFERROR(IF(M245="Libre Acceso","Aprendido",IF(IFERROR(VLOOKUP(M245,Místicos!$C$15:$H$25,6,0)&gt;=I245,FALSE),"Aprendido",IF(IFERROR(VLOOKUP(M245,Místicos!$E$15:$H$25,4,0)&gt;=I245,FALSE),"Aprendido",""))),"")</f>
        <v/>
      </c>
      <c r="Q245" s="6215"/>
      <c r="R245" s="426"/>
      <c r="S245" s="420"/>
      <c r="T245" s="420"/>
      <c r="U245" s="854">
        <f>U234+2</f>
        <v>78</v>
      </c>
      <c r="V245" s="6219"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30"/>
      <c r="X245" s="6230"/>
      <c r="Y245" s="6230"/>
      <c r="Z245" s="6230"/>
      <c r="AA245" s="430" t="s">
        <v>1328</v>
      </c>
      <c r="AB245" s="431">
        <f>U245</f>
        <v>78</v>
      </c>
      <c r="AC245" s="6222" t="s">
        <v>6329</v>
      </c>
      <c r="AD245" s="6222"/>
      <c r="AE245" s="6222"/>
      <c r="AF245" s="6183" t="e">
        <f>IF(V245=0,"",VLOOKUP(V245,'Tablas Magia'!$D$6:$Z$680,2,FALSE))</f>
        <v>#N/A</v>
      </c>
      <c r="AG245" s="6183"/>
      <c r="AH245" s="1853"/>
      <c r="AI245" s="6214" t="str">
        <f>IFERROR(IF(AF245="Libre Acceso","Aprendido",IF(IFERROR(VLOOKUP(AF245,Místicos!$C$15:$H$25,6,0)&gt;=AB245,FALSE),"Aprendido",IF(IFERROR(VLOOKUP(AF245,Místicos!$E$15:$H$25,4,0)&gt;=AB245,FALSE),"Aprendido",""))),"")</f>
        <v/>
      </c>
      <c r="AJ245" s="6215"/>
      <c r="AK245" s="426"/>
      <c r="AL245" s="420"/>
    </row>
    <row r="246" spans="1:38" ht="12" customHeight="1" x14ac:dyDescent="0.2">
      <c r="A246" s="420"/>
      <c r="B246" s="854"/>
      <c r="C246" s="6198" t="s">
        <v>6330</v>
      </c>
      <c r="D246" s="6228"/>
      <c r="E246" s="2760" t="s">
        <v>6331</v>
      </c>
      <c r="F246" s="2760" t="s">
        <v>1512</v>
      </c>
      <c r="G246" s="2760" t="s">
        <v>2862</v>
      </c>
      <c r="H246" s="2761" t="s">
        <v>1840</v>
      </c>
      <c r="I246" s="6226" t="e">
        <f>IF(C245=0,"",VLOOKUP(C245,'Tablas Magia'!$D$6:$Z$680,5,FALSE))</f>
        <v>#N/A</v>
      </c>
      <c r="J246" s="6226"/>
      <c r="K246" s="6229" t="s">
        <v>6332</v>
      </c>
      <c r="L246" s="6229"/>
      <c r="M246" s="6226" t="e">
        <f>IF(C245=0,"",VLOOKUP(C245,'Tablas Magia'!$D$6:$Z$680,6,FALSE))</f>
        <v>#N/A</v>
      </c>
      <c r="N246" s="6226"/>
      <c r="O246" s="6227" t="s">
        <v>6333</v>
      </c>
      <c r="P246" s="6227"/>
      <c r="Q246" s="2762" t="e">
        <f>IF(C245=0,"",VLOOKUP(C245,'Tablas Magia'!$D$6:$Z$680,4,FALSE))</f>
        <v>#N/A</v>
      </c>
      <c r="R246" s="426"/>
      <c r="S246" s="420"/>
      <c r="T246" s="420"/>
      <c r="U246" s="854"/>
      <c r="V246" s="6198" t="s">
        <v>6330</v>
      </c>
      <c r="W246" s="6231"/>
      <c r="X246" s="1862" t="s">
        <v>6331</v>
      </c>
      <c r="Y246" s="1862" t="s">
        <v>1512</v>
      </c>
      <c r="Z246" s="1862" t="s">
        <v>2862</v>
      </c>
      <c r="AA246" s="1863" t="s">
        <v>1840</v>
      </c>
      <c r="AB246" s="6232" t="e">
        <f>IF(V245=0,"",VLOOKUP(V245,'Tablas Magia'!$D$6:$Z$680,5,FALSE))</f>
        <v>#N/A</v>
      </c>
      <c r="AC246" s="6232"/>
      <c r="AD246" s="6233" t="s">
        <v>6332</v>
      </c>
      <c r="AE246" s="6233"/>
      <c r="AF246" s="6232" t="e">
        <f>IF(V245=0,"",VLOOKUP(V245,'Tablas Magia'!$D$6:$Z$680,6,FALSE))</f>
        <v>#N/A</v>
      </c>
      <c r="AG246" s="6232"/>
      <c r="AH246" s="6234" t="s">
        <v>6333</v>
      </c>
      <c r="AI246" s="6234"/>
      <c r="AJ246" s="1864" t="e">
        <f>IF(V245=0,"",VLOOKUP(V245,'Tablas Magia'!$D$6:$Z$680,4,FALSE))</f>
        <v>#N/A</v>
      </c>
      <c r="AK246" s="426"/>
      <c r="AL246" s="420"/>
    </row>
    <row r="247" spans="1:38" ht="12" customHeight="1" x14ac:dyDescent="0.2">
      <c r="A247" s="420"/>
      <c r="B247" s="854"/>
      <c r="C247" s="6238" t="s">
        <v>1368</v>
      </c>
      <c r="D247" s="6239"/>
      <c r="E247" s="2763" t="e">
        <f>IF(C245=0,"",VLOOKUP(C245,'Tablas Magia'!$D$6:$Z$680,7,FALSE))</f>
        <v>#N/A</v>
      </c>
      <c r="F247" s="2763" t="e">
        <f>IF(C245=0,"",VLOOKUP(C245,'Tablas Magia'!$D$6:$Z$680,11,FALSE))</f>
        <v>#N/A</v>
      </c>
      <c r="G247" s="436" t="e">
        <f>IF(C245=0,"",VLOOKUP(C245,'Tablas Magia'!$D$6:$Z$680,15,FALSE))</f>
        <v>#N/A</v>
      </c>
      <c r="H247" s="6223" t="e">
        <f>IF(C245=0,"",VLOOKUP(C245,'Tablas Magia'!$D$6:$Z$680,19,FALSE))</f>
        <v>#N/A</v>
      </c>
      <c r="I247" s="6224"/>
      <c r="J247" s="6224"/>
      <c r="K247" s="6224"/>
      <c r="L247" s="6224"/>
      <c r="M247" s="6224"/>
      <c r="N247" s="6224"/>
      <c r="O247" s="6224"/>
      <c r="P247" s="6224"/>
      <c r="Q247" s="6225"/>
      <c r="R247" s="426"/>
      <c r="S247" s="420"/>
      <c r="T247" s="420"/>
      <c r="U247" s="854"/>
      <c r="V247" s="6190" t="s">
        <v>1368</v>
      </c>
      <c r="W247" s="6191"/>
      <c r="X247" s="435" t="e">
        <f>IF(V245=0,"",VLOOKUP(V245,'Tablas Magia'!$D$6:$Z$680,7,FALSE))</f>
        <v>#N/A</v>
      </c>
      <c r="Y247" s="435" t="e">
        <f>IF(V245=0,"",VLOOKUP(V245,'Tablas Magia'!$D$6:$Z$680,11,FALSE))</f>
        <v>#N/A</v>
      </c>
      <c r="Z247" s="436" t="e">
        <f>IF(V245=0,"",VLOOKUP(V245,'Tablas Magia'!$D$6:$Z$680,15,FALSE))</f>
        <v>#N/A</v>
      </c>
      <c r="AA247" s="6192" t="e">
        <f>IF(V245=0,"",VLOOKUP(V245,'Tablas Magia'!$D$6:$Z$680,19,FALSE))</f>
        <v>#N/A</v>
      </c>
      <c r="AB247" s="6193"/>
      <c r="AC247" s="6193"/>
      <c r="AD247" s="6193"/>
      <c r="AE247" s="6193"/>
      <c r="AF247" s="6193"/>
      <c r="AG247" s="6193"/>
      <c r="AH247" s="6193"/>
      <c r="AI247" s="6193"/>
      <c r="AJ247" s="6194"/>
      <c r="AK247" s="426"/>
      <c r="AL247" s="420"/>
    </row>
    <row r="248" spans="1:38" ht="12" customHeight="1" x14ac:dyDescent="0.2">
      <c r="A248" s="420"/>
      <c r="B248" s="854"/>
      <c r="C248" s="6185" t="s">
        <v>3233</v>
      </c>
      <c r="D248" s="6186"/>
      <c r="E248" s="2764" t="e">
        <f>IF(C245=0,"",VLOOKUP(C245,'Tablas Magia'!$D$6:$Z$680,8,FALSE))</f>
        <v>#N/A</v>
      </c>
      <c r="F248" s="2764" t="e">
        <f>IF(C245=0,"",VLOOKUP(C245,'Tablas Magia'!$D$6:$Z$680,12,FALSE))</f>
        <v>#N/A</v>
      </c>
      <c r="G248" s="438" t="e">
        <f>IF(C245=0,"",VLOOKUP(C245,'Tablas Magia'!$D$6:$Z$680,16,FALSE))</f>
        <v>#N/A</v>
      </c>
      <c r="H248" s="6187" t="e">
        <f>IF(C245=0,"",VLOOKUP(C245,'Tablas Magia'!$D$6:$Z$680,20,FALSE))</f>
        <v>#N/A</v>
      </c>
      <c r="I248" s="6217"/>
      <c r="J248" s="6217"/>
      <c r="K248" s="6217"/>
      <c r="L248" s="6217"/>
      <c r="M248" s="6217"/>
      <c r="N248" s="6217"/>
      <c r="O248" s="6217"/>
      <c r="P248" s="6217"/>
      <c r="Q248" s="6189"/>
      <c r="R248" s="426"/>
      <c r="S248" s="420"/>
      <c r="T248" s="420"/>
      <c r="U248" s="854"/>
      <c r="V248" s="6185" t="s">
        <v>3233</v>
      </c>
      <c r="W248" s="6186"/>
      <c r="X248" s="437" t="e">
        <f>IF(V245=0,"",VLOOKUP(V245,'Tablas Magia'!$D$6:$Z$680,8,FALSE))</f>
        <v>#N/A</v>
      </c>
      <c r="Y248" s="437" t="e">
        <f>IF(V245=0,"",VLOOKUP(V245,'Tablas Magia'!$D$6:$Z$680,12,FALSE))</f>
        <v>#N/A</v>
      </c>
      <c r="Z248" s="438" t="e">
        <f>IF(V245=0,"",VLOOKUP(V245,'Tablas Magia'!$D$6:$Z$680,16,FALSE))</f>
        <v>#N/A</v>
      </c>
      <c r="AA248" s="6187" t="e">
        <f>IF(V245=0,"",VLOOKUP(V245,'Tablas Magia'!$D$6:$Z$680,20,FALSE))</f>
        <v>#N/A</v>
      </c>
      <c r="AB248" s="6188"/>
      <c r="AC248" s="6188"/>
      <c r="AD248" s="6188"/>
      <c r="AE248" s="6188"/>
      <c r="AF248" s="6188"/>
      <c r="AG248" s="6188"/>
      <c r="AH248" s="6188"/>
      <c r="AI248" s="6188"/>
      <c r="AJ248" s="6189"/>
      <c r="AK248" s="426"/>
      <c r="AL248" s="420"/>
    </row>
    <row r="249" spans="1:38" ht="12" customHeight="1" x14ac:dyDescent="0.2">
      <c r="A249" s="420"/>
      <c r="B249" s="854"/>
      <c r="C249" s="6190" t="s">
        <v>3234</v>
      </c>
      <c r="D249" s="6191"/>
      <c r="E249" s="2763" t="e">
        <f>IF(C245=0,"",VLOOKUP(C245,'Tablas Magia'!$D$6:$Z$680,9,FALSE))</f>
        <v>#N/A</v>
      </c>
      <c r="F249" s="2763" t="e">
        <f>IF(C245=0,"",VLOOKUP(C245,'Tablas Magia'!$D$6:$Z$680,13,FALSE))</f>
        <v>#N/A</v>
      </c>
      <c r="G249" s="436" t="e">
        <f>IF(C245=0,"",VLOOKUP(C245,'Tablas Magia'!$D$6:$Z$680,17,FALSE))</f>
        <v>#N/A</v>
      </c>
      <c r="H249" s="6192" t="e">
        <f>IF(C245=0,"",VLOOKUP(C245,'Tablas Magia'!$D$6:$Z$680,21,FALSE))</f>
        <v>#N/A</v>
      </c>
      <c r="I249" s="6216"/>
      <c r="J249" s="6216"/>
      <c r="K249" s="6216"/>
      <c r="L249" s="6216"/>
      <c r="M249" s="6216"/>
      <c r="N249" s="6216"/>
      <c r="O249" s="6216"/>
      <c r="P249" s="6216"/>
      <c r="Q249" s="6194"/>
      <c r="R249" s="426"/>
      <c r="S249" s="420"/>
      <c r="T249" s="420"/>
      <c r="U249" s="854"/>
      <c r="V249" s="6190" t="s">
        <v>3234</v>
      </c>
      <c r="W249" s="6191"/>
      <c r="X249" s="435" t="e">
        <f>IF(V245=0,"",VLOOKUP(V245,'Tablas Magia'!$D$6:$Z$680,9,FALSE))</f>
        <v>#N/A</v>
      </c>
      <c r="Y249" s="435" t="e">
        <f>IF(V245=0,"",VLOOKUP(V245,'Tablas Magia'!$D$6:$Z$680,13,FALSE))</f>
        <v>#N/A</v>
      </c>
      <c r="Z249" s="436" t="e">
        <f>IF(V245=0,"",VLOOKUP(V245,'Tablas Magia'!$D$6:$Z$680,17,FALSE))</f>
        <v>#N/A</v>
      </c>
      <c r="AA249" s="6192" t="e">
        <f>IF(V245=0,"",VLOOKUP(V245,'Tablas Magia'!$D$6:$Z$680,21,FALSE))</f>
        <v>#N/A</v>
      </c>
      <c r="AB249" s="6193"/>
      <c r="AC249" s="6193"/>
      <c r="AD249" s="6193"/>
      <c r="AE249" s="6193"/>
      <c r="AF249" s="6193"/>
      <c r="AG249" s="6193"/>
      <c r="AH249" s="6193"/>
      <c r="AI249" s="6193"/>
      <c r="AJ249" s="6194"/>
      <c r="AK249" s="426"/>
      <c r="AL249" s="420"/>
    </row>
    <row r="250" spans="1:38" ht="12" customHeight="1" thickBot="1" x14ac:dyDescent="0.25">
      <c r="A250" s="420"/>
      <c r="B250" s="854"/>
      <c r="C250" s="6200" t="s">
        <v>3235</v>
      </c>
      <c r="D250" s="6201"/>
      <c r="E250" s="439" t="e">
        <f>IF(C245=0,"",VLOOKUP(C245,'Tablas Magia'!$D$6:$Z$680,10,FALSE))</f>
        <v>#N/A</v>
      </c>
      <c r="F250" s="439" t="e">
        <f>IF(C245=0,"",VLOOKUP(C245,'Tablas Magia'!$D$6:$Z$680,14,FALSE))</f>
        <v>#N/A</v>
      </c>
      <c r="G250" s="440" t="e">
        <f>IF(C245=0,"",VLOOKUP(C245,'Tablas Magia'!$D$6:$Z$680,18,FALSE))</f>
        <v>#N/A</v>
      </c>
      <c r="H250" s="6202" t="e">
        <f>IF(C245=0,"",VLOOKUP(C245,'Tablas Magia'!$D$6:$Z$680,22,FALSE))</f>
        <v>#N/A</v>
      </c>
      <c r="I250" s="6203"/>
      <c r="J250" s="6203"/>
      <c r="K250" s="6203"/>
      <c r="L250" s="6203"/>
      <c r="M250" s="6203"/>
      <c r="N250" s="6203"/>
      <c r="O250" s="6203"/>
      <c r="P250" s="6203"/>
      <c r="Q250" s="6204"/>
      <c r="R250" s="426"/>
      <c r="S250" s="420"/>
      <c r="T250" s="420"/>
      <c r="U250" s="854"/>
      <c r="V250" s="6200" t="s">
        <v>3235</v>
      </c>
      <c r="W250" s="6201"/>
      <c r="X250" s="439" t="e">
        <f>IF(V245=0,"",VLOOKUP(V245,'Tablas Magia'!$D$6:$Z$680,10,FALSE))</f>
        <v>#N/A</v>
      </c>
      <c r="Y250" s="439" t="e">
        <f>IF(V245=0,"",VLOOKUP(V245,'Tablas Magia'!$D$6:$Z$680,14,FALSE))</f>
        <v>#N/A</v>
      </c>
      <c r="Z250" s="440" t="e">
        <f>IF(V245=0,"",VLOOKUP(V245,'Tablas Magia'!$D$6:$Z$680,18,FALSE))</f>
        <v>#N/A</v>
      </c>
      <c r="AA250" s="6202" t="e">
        <f>IF(V245=0,"",VLOOKUP(V245,'Tablas Magia'!$D$6:$Z$680,22,FALSE))</f>
        <v>#N/A</v>
      </c>
      <c r="AB250" s="6203"/>
      <c r="AC250" s="6203"/>
      <c r="AD250" s="6203"/>
      <c r="AE250" s="6203"/>
      <c r="AF250" s="6203"/>
      <c r="AG250" s="6203"/>
      <c r="AH250" s="6203"/>
      <c r="AI250" s="6203"/>
      <c r="AJ250" s="6204"/>
      <c r="AK250" s="426"/>
      <c r="AL250" s="420"/>
    </row>
    <row r="251" spans="1:38" ht="12" customHeight="1" x14ac:dyDescent="0.2">
      <c r="A251" s="420"/>
      <c r="B251" s="854"/>
      <c r="C251" s="6205" t="e">
        <f>IF(C245=0,"",VLOOKUP(C245,'Tablas Magia'!$D$6:$Z$680,23,FALSE))</f>
        <v>#N/A</v>
      </c>
      <c r="D251" s="6206"/>
      <c r="E251" s="6206"/>
      <c r="F251" s="6206"/>
      <c r="G251" s="6206"/>
      <c r="H251" s="6206"/>
      <c r="I251" s="6206"/>
      <c r="J251" s="6206"/>
      <c r="K251" s="6206"/>
      <c r="L251" s="6206"/>
      <c r="M251" s="6206"/>
      <c r="N251" s="6206"/>
      <c r="O251" s="6206"/>
      <c r="P251" s="6206"/>
      <c r="Q251" s="6207"/>
      <c r="R251" s="426"/>
      <c r="S251" s="420"/>
      <c r="T251" s="420"/>
      <c r="U251" s="854"/>
      <c r="V251" s="6205" t="e">
        <f>IF(V245=0,"",VLOOKUP(V245,'Tablas Magia'!$D$6:$Z$680,23,FALSE))</f>
        <v>#N/A</v>
      </c>
      <c r="W251" s="6206"/>
      <c r="X251" s="6206"/>
      <c r="Y251" s="6206"/>
      <c r="Z251" s="6206"/>
      <c r="AA251" s="6206"/>
      <c r="AB251" s="6206"/>
      <c r="AC251" s="6206"/>
      <c r="AD251" s="6206"/>
      <c r="AE251" s="6206"/>
      <c r="AF251" s="6206"/>
      <c r="AG251" s="6206"/>
      <c r="AH251" s="6206"/>
      <c r="AI251" s="6206"/>
      <c r="AJ251" s="6207"/>
      <c r="AK251" s="426"/>
      <c r="AL251" s="420"/>
    </row>
    <row r="252" spans="1:38" ht="12" customHeight="1" x14ac:dyDescent="0.2">
      <c r="A252" s="420"/>
      <c r="B252" s="854"/>
      <c r="C252" s="6208"/>
      <c r="D252" s="6218"/>
      <c r="E252" s="6218"/>
      <c r="F252" s="6218"/>
      <c r="G252" s="6218"/>
      <c r="H252" s="6218"/>
      <c r="I252" s="6218"/>
      <c r="J252" s="6218"/>
      <c r="K252" s="6218"/>
      <c r="L252" s="6218"/>
      <c r="M252" s="6218"/>
      <c r="N252" s="6218"/>
      <c r="O252" s="6218"/>
      <c r="P252" s="6218"/>
      <c r="Q252" s="6210"/>
      <c r="R252" s="426"/>
      <c r="S252" s="420"/>
      <c r="T252" s="420"/>
      <c r="U252" s="854"/>
      <c r="V252" s="6208"/>
      <c r="W252" s="6209"/>
      <c r="X252" s="6209"/>
      <c r="Y252" s="6209"/>
      <c r="Z252" s="6209"/>
      <c r="AA252" s="6209"/>
      <c r="AB252" s="6209"/>
      <c r="AC252" s="6209"/>
      <c r="AD252" s="6209"/>
      <c r="AE252" s="6209"/>
      <c r="AF252" s="6209"/>
      <c r="AG252" s="6209"/>
      <c r="AH252" s="6209"/>
      <c r="AI252" s="6209"/>
      <c r="AJ252" s="6210"/>
      <c r="AK252" s="426"/>
      <c r="AL252" s="420"/>
    </row>
    <row r="253" spans="1:38" ht="12" customHeight="1" x14ac:dyDescent="0.2">
      <c r="A253" s="420"/>
      <c r="B253" s="854"/>
      <c r="C253" s="6208"/>
      <c r="D253" s="6218"/>
      <c r="E253" s="6218"/>
      <c r="F253" s="6218"/>
      <c r="G253" s="6218"/>
      <c r="H253" s="6218"/>
      <c r="I253" s="6218"/>
      <c r="J253" s="6218"/>
      <c r="K253" s="6218"/>
      <c r="L253" s="6218"/>
      <c r="M253" s="6218"/>
      <c r="N253" s="6218"/>
      <c r="O253" s="6218"/>
      <c r="P253" s="6218"/>
      <c r="Q253" s="6210"/>
      <c r="R253" s="426"/>
      <c r="S253" s="420"/>
      <c r="T253" s="420"/>
      <c r="U253" s="854"/>
      <c r="V253" s="6208"/>
      <c r="W253" s="6209"/>
      <c r="X253" s="6209"/>
      <c r="Y253" s="6209"/>
      <c r="Z253" s="6209"/>
      <c r="AA253" s="6209"/>
      <c r="AB253" s="6209"/>
      <c r="AC253" s="6209"/>
      <c r="AD253" s="6209"/>
      <c r="AE253" s="6209"/>
      <c r="AF253" s="6209"/>
      <c r="AG253" s="6209"/>
      <c r="AH253" s="6209"/>
      <c r="AI253" s="6209"/>
      <c r="AJ253" s="6210"/>
      <c r="AK253" s="426"/>
      <c r="AL253" s="420"/>
    </row>
    <row r="254" spans="1:38" ht="12" customHeight="1" thickBot="1" x14ac:dyDescent="0.25">
      <c r="A254" s="420"/>
      <c r="B254" s="854"/>
      <c r="C254" s="6211"/>
      <c r="D254" s="6212"/>
      <c r="E254" s="6212"/>
      <c r="F254" s="6212"/>
      <c r="G254" s="6212"/>
      <c r="H254" s="6212"/>
      <c r="I254" s="6212"/>
      <c r="J254" s="6212"/>
      <c r="K254" s="6212"/>
      <c r="L254" s="6212"/>
      <c r="M254" s="6212"/>
      <c r="N254" s="6212"/>
      <c r="O254" s="6212"/>
      <c r="P254" s="6212"/>
      <c r="Q254" s="6213"/>
      <c r="R254" s="426"/>
      <c r="S254" s="420"/>
      <c r="T254" s="420"/>
      <c r="U254" s="854"/>
      <c r="V254" s="6211"/>
      <c r="W254" s="6212"/>
      <c r="X254" s="6212"/>
      <c r="Y254" s="6212"/>
      <c r="Z254" s="6212"/>
      <c r="AA254" s="6212"/>
      <c r="AB254" s="6212"/>
      <c r="AC254" s="6212"/>
      <c r="AD254" s="6212"/>
      <c r="AE254" s="6212"/>
      <c r="AF254" s="6212"/>
      <c r="AG254" s="6212"/>
      <c r="AH254" s="6212"/>
      <c r="AI254" s="6212"/>
      <c r="AJ254" s="6213"/>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19"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20"/>
      <c r="E256" s="6220"/>
      <c r="F256" s="6220"/>
      <c r="G256" s="6221"/>
      <c r="H256" s="430" t="s">
        <v>1328</v>
      </c>
      <c r="I256" s="431">
        <f>B256</f>
        <v>70</v>
      </c>
      <c r="J256" s="6222" t="s">
        <v>6329</v>
      </c>
      <c r="K256" s="6222"/>
      <c r="L256" s="6222"/>
      <c r="M256" s="6183" t="e">
        <f>IF(C256=0,"",VLOOKUP(C256,'Tablas Magia'!$D$6:$Z$680,2,FALSE))</f>
        <v>#N/A</v>
      </c>
      <c r="N256" s="6183"/>
      <c r="O256" s="1853"/>
      <c r="P256" s="6214" t="str">
        <f>IFERROR(IF(M256="Libre Acceso","Aprendido",IF(IFERROR(VLOOKUP(M256,Místicos!$C$15:$H$25,6,0)&gt;=I256,FALSE),"Aprendido",IF(IFERROR(VLOOKUP(M256,Místicos!$E$15:$H$25,4,0)&gt;=I256,FALSE),"Aprendido",""))),"")</f>
        <v/>
      </c>
      <c r="Q256" s="6215"/>
      <c r="R256" s="426"/>
      <c r="S256" s="420"/>
      <c r="T256" s="420"/>
      <c r="U256" s="854">
        <f>U245+2</f>
        <v>80</v>
      </c>
      <c r="V256" s="6219"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30"/>
      <c r="X256" s="6230"/>
      <c r="Y256" s="6230"/>
      <c r="Z256" s="6230"/>
      <c r="AA256" s="430" t="s">
        <v>1328</v>
      </c>
      <c r="AB256" s="431">
        <f>U256</f>
        <v>80</v>
      </c>
      <c r="AC256" s="6222" t="s">
        <v>6329</v>
      </c>
      <c r="AD256" s="6222"/>
      <c r="AE256" s="6222"/>
      <c r="AF256" s="6183" t="e">
        <f>IF(V256=0,"",VLOOKUP(V256,'Tablas Magia'!$D$6:$Z$680,2,FALSE))</f>
        <v>#N/A</v>
      </c>
      <c r="AG256" s="6183"/>
      <c r="AH256" s="1853"/>
      <c r="AI256" s="6214" t="str">
        <f>IFERROR(IF(AF256="Libre Acceso","Aprendido",IF(IFERROR(VLOOKUP(AF256,Místicos!$C$15:$H$25,6,0)&gt;=AB256,FALSE),"Aprendido",IF(IFERROR(VLOOKUP(AF256,Místicos!$E$15:$H$25,4,0)&gt;=AB256,FALSE),"Aprendido",""))),"")</f>
        <v/>
      </c>
      <c r="AJ256" s="6215"/>
      <c r="AK256" s="426"/>
      <c r="AL256" s="420"/>
    </row>
    <row r="257" spans="1:38" ht="12" customHeight="1" x14ac:dyDescent="0.2">
      <c r="A257" s="420"/>
      <c r="B257" s="854"/>
      <c r="C257" s="6198" t="s">
        <v>6330</v>
      </c>
      <c r="D257" s="6228"/>
      <c r="E257" s="2760" t="s">
        <v>6331</v>
      </c>
      <c r="F257" s="2760" t="s">
        <v>1512</v>
      </c>
      <c r="G257" s="2760" t="s">
        <v>2862</v>
      </c>
      <c r="H257" s="2761" t="s">
        <v>1840</v>
      </c>
      <c r="I257" s="6226" t="e">
        <f>IF(C256=0,"",VLOOKUP(C256,'Tablas Magia'!$D$6:$Z$680,5,FALSE))</f>
        <v>#N/A</v>
      </c>
      <c r="J257" s="6226"/>
      <c r="K257" s="6229" t="s">
        <v>6332</v>
      </c>
      <c r="L257" s="6229"/>
      <c r="M257" s="6226" t="e">
        <f>IF(C256=0,"",VLOOKUP(C256,'Tablas Magia'!$D$6:$Z$680,6,FALSE))</f>
        <v>#N/A</v>
      </c>
      <c r="N257" s="6226"/>
      <c r="O257" s="6227" t="s">
        <v>6333</v>
      </c>
      <c r="P257" s="6227"/>
      <c r="Q257" s="2762" t="e">
        <f>IF(C256=0,"",VLOOKUP(C256,'Tablas Magia'!$D$6:$Z$680,4,FALSE))</f>
        <v>#N/A</v>
      </c>
      <c r="R257" s="426"/>
      <c r="S257" s="420"/>
      <c r="T257" s="420"/>
      <c r="U257" s="854"/>
      <c r="V257" s="6198" t="s">
        <v>6330</v>
      </c>
      <c r="W257" s="6231"/>
      <c r="X257" s="1862" t="s">
        <v>6331</v>
      </c>
      <c r="Y257" s="1862" t="s">
        <v>1512</v>
      </c>
      <c r="Z257" s="1862" t="s">
        <v>2862</v>
      </c>
      <c r="AA257" s="1863" t="s">
        <v>1840</v>
      </c>
      <c r="AB257" s="6232" t="e">
        <f>IF(V256=0,"",VLOOKUP(V256,'Tablas Magia'!$D$6:$Z$680,5,FALSE))</f>
        <v>#N/A</v>
      </c>
      <c r="AC257" s="6232"/>
      <c r="AD257" s="6233" t="s">
        <v>6332</v>
      </c>
      <c r="AE257" s="6233"/>
      <c r="AF257" s="6232" t="e">
        <f>IF(V256=0,"",VLOOKUP(V256,'Tablas Magia'!$D$6:$Z$680,6,FALSE))</f>
        <v>#N/A</v>
      </c>
      <c r="AG257" s="6232"/>
      <c r="AH257" s="6234" t="s">
        <v>6333</v>
      </c>
      <c r="AI257" s="6234"/>
      <c r="AJ257" s="1864" t="e">
        <f>IF(V256=0,"",VLOOKUP(V256,'Tablas Magia'!$D$6:$Z$680,4,FALSE))</f>
        <v>#N/A</v>
      </c>
      <c r="AK257" s="426"/>
      <c r="AL257" s="420"/>
    </row>
    <row r="258" spans="1:38" ht="12" customHeight="1" x14ac:dyDescent="0.2">
      <c r="A258" s="420"/>
      <c r="B258" s="854"/>
      <c r="C258" s="6238" t="s">
        <v>1368</v>
      </c>
      <c r="D258" s="6239"/>
      <c r="E258" s="2763" t="e">
        <f>IF(C256=0,"",VLOOKUP(C256,'Tablas Magia'!$D$6:$Z$680,7,FALSE))</f>
        <v>#N/A</v>
      </c>
      <c r="F258" s="2763" t="e">
        <f>IF(C256=0,"",VLOOKUP(C256,'Tablas Magia'!$D$6:$Z$680,11,FALSE))</f>
        <v>#N/A</v>
      </c>
      <c r="G258" s="436" t="e">
        <f>IF(C256=0,"",VLOOKUP(C256,'Tablas Magia'!$D$6:$Z$680,15,FALSE))</f>
        <v>#N/A</v>
      </c>
      <c r="H258" s="6223" t="e">
        <f>IF(C256=0,"",VLOOKUP(C256,'Tablas Magia'!$D$6:$Z$680,19,FALSE))</f>
        <v>#N/A</v>
      </c>
      <c r="I258" s="6224"/>
      <c r="J258" s="6224"/>
      <c r="K258" s="6224"/>
      <c r="L258" s="6224"/>
      <c r="M258" s="6224"/>
      <c r="N258" s="6224"/>
      <c r="O258" s="6224"/>
      <c r="P258" s="6224"/>
      <c r="Q258" s="6225"/>
      <c r="R258" s="426"/>
      <c r="S258" s="420"/>
      <c r="T258" s="420"/>
      <c r="U258" s="854"/>
      <c r="V258" s="6190" t="s">
        <v>1368</v>
      </c>
      <c r="W258" s="6191"/>
      <c r="X258" s="435" t="e">
        <f>IF(V256=0,"",VLOOKUP(V256,'Tablas Magia'!$D$6:$Z$680,7,FALSE))</f>
        <v>#N/A</v>
      </c>
      <c r="Y258" s="435" t="e">
        <f>IF(V256=0,"",VLOOKUP(V256,'Tablas Magia'!$D$6:$Z$680,11,FALSE))</f>
        <v>#N/A</v>
      </c>
      <c r="Z258" s="436" t="e">
        <f>IF(V256=0,"",VLOOKUP(V256,'Tablas Magia'!$D$6:$Z$680,15,FALSE))</f>
        <v>#N/A</v>
      </c>
      <c r="AA258" s="6192" t="e">
        <f>IF(V256=0,"",VLOOKUP(V256,'Tablas Magia'!$D$6:$Z$680,19,FALSE))</f>
        <v>#N/A</v>
      </c>
      <c r="AB258" s="6193"/>
      <c r="AC258" s="6193"/>
      <c r="AD258" s="6193"/>
      <c r="AE258" s="6193"/>
      <c r="AF258" s="6193"/>
      <c r="AG258" s="6193"/>
      <c r="AH258" s="6193"/>
      <c r="AI258" s="6193"/>
      <c r="AJ258" s="6194"/>
      <c r="AK258" s="426"/>
      <c r="AL258" s="420"/>
    </row>
    <row r="259" spans="1:38" ht="12" customHeight="1" x14ac:dyDescent="0.2">
      <c r="A259" s="420"/>
      <c r="B259" s="854"/>
      <c r="C259" s="6185" t="s">
        <v>3233</v>
      </c>
      <c r="D259" s="6186"/>
      <c r="E259" s="2764" t="e">
        <f>IF(C256=0,"",VLOOKUP(C256,'Tablas Magia'!$D$6:$Z$680,8,FALSE))</f>
        <v>#N/A</v>
      </c>
      <c r="F259" s="2764" t="e">
        <f>IF(C256=0,"",VLOOKUP(C256,'Tablas Magia'!$D$6:$Z$680,12,FALSE))</f>
        <v>#N/A</v>
      </c>
      <c r="G259" s="438" t="e">
        <f>IF(C256=0,"",VLOOKUP(C256,'Tablas Magia'!$D$6:$Z$680,16,FALSE))</f>
        <v>#N/A</v>
      </c>
      <c r="H259" s="6187" t="e">
        <f>IF(C256=0,"",VLOOKUP(C256,'Tablas Magia'!$D$6:$Z$680,20,FALSE))</f>
        <v>#N/A</v>
      </c>
      <c r="I259" s="6217"/>
      <c r="J259" s="6217"/>
      <c r="K259" s="6217"/>
      <c r="L259" s="6217"/>
      <c r="M259" s="6217"/>
      <c r="N259" s="6217"/>
      <c r="O259" s="6217"/>
      <c r="P259" s="6217"/>
      <c r="Q259" s="6189"/>
      <c r="R259" s="426"/>
      <c r="S259" s="420"/>
      <c r="T259" s="420"/>
      <c r="U259" s="854"/>
      <c r="V259" s="6185" t="s">
        <v>3233</v>
      </c>
      <c r="W259" s="6186"/>
      <c r="X259" s="437" t="e">
        <f>IF(V256=0,"",VLOOKUP(V256,'Tablas Magia'!$D$6:$Z$680,8,FALSE))</f>
        <v>#N/A</v>
      </c>
      <c r="Y259" s="437" t="e">
        <f>IF(V256=0,"",VLOOKUP(V256,'Tablas Magia'!$D$6:$Z$680,12,FALSE))</f>
        <v>#N/A</v>
      </c>
      <c r="Z259" s="438" t="e">
        <f>IF(V256=0,"",VLOOKUP(V256,'Tablas Magia'!$D$6:$Z$680,16,FALSE))</f>
        <v>#N/A</v>
      </c>
      <c r="AA259" s="6187" t="e">
        <f>IF(V256=0,"",VLOOKUP(V256,'Tablas Magia'!$D$6:$Z$680,20,FALSE))</f>
        <v>#N/A</v>
      </c>
      <c r="AB259" s="6188"/>
      <c r="AC259" s="6188"/>
      <c r="AD259" s="6188"/>
      <c r="AE259" s="6188"/>
      <c r="AF259" s="6188"/>
      <c r="AG259" s="6188"/>
      <c r="AH259" s="6188"/>
      <c r="AI259" s="6188"/>
      <c r="AJ259" s="6189"/>
      <c r="AK259" s="426"/>
      <c r="AL259" s="420"/>
    </row>
    <row r="260" spans="1:38" ht="12" customHeight="1" x14ac:dyDescent="0.2">
      <c r="A260" s="420"/>
      <c r="B260" s="854"/>
      <c r="C260" s="6190" t="s">
        <v>3234</v>
      </c>
      <c r="D260" s="6191"/>
      <c r="E260" s="2763" t="e">
        <f>IF(C256=0,"",VLOOKUP(C256,'Tablas Magia'!$D$6:$Z$680,9,FALSE))</f>
        <v>#N/A</v>
      </c>
      <c r="F260" s="2763" t="e">
        <f>IF(C256=0,"",VLOOKUP(C256,'Tablas Magia'!$D$6:$Z$680,13,FALSE))</f>
        <v>#N/A</v>
      </c>
      <c r="G260" s="436" t="e">
        <f>IF(C256=0,"",VLOOKUP(C256,'Tablas Magia'!$D$6:$Z$680,17,FALSE))</f>
        <v>#N/A</v>
      </c>
      <c r="H260" s="6192" t="e">
        <f>IF(C256=0,"",VLOOKUP(C256,'Tablas Magia'!$D$6:$Z$680,21,FALSE))</f>
        <v>#N/A</v>
      </c>
      <c r="I260" s="6216"/>
      <c r="J260" s="6216"/>
      <c r="K260" s="6216"/>
      <c r="L260" s="6216"/>
      <c r="M260" s="6216"/>
      <c r="N260" s="6216"/>
      <c r="O260" s="6216"/>
      <c r="P260" s="6216"/>
      <c r="Q260" s="6194"/>
      <c r="R260" s="426"/>
      <c r="S260" s="420"/>
      <c r="T260" s="420"/>
      <c r="U260" s="854"/>
      <c r="V260" s="6190" t="s">
        <v>3234</v>
      </c>
      <c r="W260" s="6191"/>
      <c r="X260" s="435" t="e">
        <f>IF(V256=0,"",VLOOKUP(V256,'Tablas Magia'!$D$6:$Z$680,9,FALSE))</f>
        <v>#N/A</v>
      </c>
      <c r="Y260" s="435" t="e">
        <f>IF(V256=0,"",VLOOKUP(V256,'Tablas Magia'!$D$6:$Z$680,13,FALSE))</f>
        <v>#N/A</v>
      </c>
      <c r="Z260" s="436" t="e">
        <f>IF(V256=0,"",VLOOKUP(V256,'Tablas Magia'!$D$6:$Z$680,17,FALSE))</f>
        <v>#N/A</v>
      </c>
      <c r="AA260" s="6192" t="e">
        <f>IF(V256=0,"",VLOOKUP(V256,'Tablas Magia'!$D$6:$Z$680,21,FALSE))</f>
        <v>#N/A</v>
      </c>
      <c r="AB260" s="6193"/>
      <c r="AC260" s="6193"/>
      <c r="AD260" s="6193"/>
      <c r="AE260" s="6193"/>
      <c r="AF260" s="6193"/>
      <c r="AG260" s="6193"/>
      <c r="AH260" s="6193"/>
      <c r="AI260" s="6193"/>
      <c r="AJ260" s="6194"/>
      <c r="AK260" s="426"/>
      <c r="AL260" s="420"/>
    </row>
    <row r="261" spans="1:38" ht="12" customHeight="1" thickBot="1" x14ac:dyDescent="0.25">
      <c r="A261" s="420"/>
      <c r="B261" s="854"/>
      <c r="C261" s="6200" t="s">
        <v>3235</v>
      </c>
      <c r="D261" s="6201"/>
      <c r="E261" s="439" t="e">
        <f>IF(C256=0,"",VLOOKUP(C256,'Tablas Magia'!$D$6:$Z$680,10,FALSE))</f>
        <v>#N/A</v>
      </c>
      <c r="F261" s="439" t="e">
        <f>IF(C256=0,"",VLOOKUP(C256,'Tablas Magia'!$D$6:$Z$680,14,FALSE))</f>
        <v>#N/A</v>
      </c>
      <c r="G261" s="440" t="e">
        <f>IF(C256=0,"",VLOOKUP(C256,'Tablas Magia'!$D$6:$Z$680,18,FALSE))</f>
        <v>#N/A</v>
      </c>
      <c r="H261" s="6202" t="e">
        <f>IF(C256=0,"",VLOOKUP(C256,'Tablas Magia'!$D$6:$Z$680,22,FALSE))</f>
        <v>#N/A</v>
      </c>
      <c r="I261" s="6203"/>
      <c r="J261" s="6203"/>
      <c r="K261" s="6203"/>
      <c r="L261" s="6203"/>
      <c r="M261" s="6203"/>
      <c r="N261" s="6203"/>
      <c r="O261" s="6203"/>
      <c r="P261" s="6203"/>
      <c r="Q261" s="6204"/>
      <c r="R261" s="426"/>
      <c r="S261" s="420"/>
      <c r="T261" s="420"/>
      <c r="U261" s="854"/>
      <c r="V261" s="6200" t="s">
        <v>3235</v>
      </c>
      <c r="W261" s="6201"/>
      <c r="X261" s="439" t="e">
        <f>IF(V256=0,"",VLOOKUP(V256,'Tablas Magia'!$D$6:$Z$680,10,FALSE))</f>
        <v>#N/A</v>
      </c>
      <c r="Y261" s="439" t="e">
        <f>IF(V256=0,"",VLOOKUP(V256,'Tablas Magia'!$D$6:$Z$680,14,FALSE))</f>
        <v>#N/A</v>
      </c>
      <c r="Z261" s="440" t="e">
        <f>IF(V256=0,"",VLOOKUP(V256,'Tablas Magia'!$D$6:$Z$680,18,FALSE))</f>
        <v>#N/A</v>
      </c>
      <c r="AA261" s="6202" t="e">
        <f>IF(V256=0,"",VLOOKUP(V256,'Tablas Magia'!$D$6:$Z$680,22,FALSE))</f>
        <v>#N/A</v>
      </c>
      <c r="AB261" s="6203"/>
      <c r="AC261" s="6203"/>
      <c r="AD261" s="6203"/>
      <c r="AE261" s="6203"/>
      <c r="AF261" s="6203"/>
      <c r="AG261" s="6203"/>
      <c r="AH261" s="6203"/>
      <c r="AI261" s="6203"/>
      <c r="AJ261" s="6204"/>
      <c r="AK261" s="426"/>
      <c r="AL261" s="420"/>
    </row>
    <row r="262" spans="1:38" ht="12" customHeight="1" x14ac:dyDescent="0.2">
      <c r="A262" s="420"/>
      <c r="B262" s="854"/>
      <c r="C262" s="6205" t="e">
        <f>IF(C256=0,"",VLOOKUP(C256,'Tablas Magia'!$D$6:$Z$680,23,FALSE))</f>
        <v>#N/A</v>
      </c>
      <c r="D262" s="6206"/>
      <c r="E262" s="6206"/>
      <c r="F262" s="6206"/>
      <c r="G262" s="6206"/>
      <c r="H262" s="6206"/>
      <c r="I262" s="6206"/>
      <c r="J262" s="6206"/>
      <c r="K262" s="6206"/>
      <c r="L262" s="6206"/>
      <c r="M262" s="6206"/>
      <c r="N262" s="6206"/>
      <c r="O262" s="6206"/>
      <c r="P262" s="6206"/>
      <c r="Q262" s="6207"/>
      <c r="R262" s="426"/>
      <c r="S262" s="420"/>
      <c r="T262" s="420"/>
      <c r="U262" s="854"/>
      <c r="V262" s="6205" t="e">
        <f>IF(V256=0,"",VLOOKUP(V256,'Tablas Magia'!$D$6:$Z$680,23,FALSE))</f>
        <v>#N/A</v>
      </c>
      <c r="W262" s="6206"/>
      <c r="X262" s="6206"/>
      <c r="Y262" s="6206"/>
      <c r="Z262" s="6206"/>
      <c r="AA262" s="6206"/>
      <c r="AB262" s="6206"/>
      <c r="AC262" s="6206"/>
      <c r="AD262" s="6206"/>
      <c r="AE262" s="6206"/>
      <c r="AF262" s="6206"/>
      <c r="AG262" s="6206"/>
      <c r="AH262" s="6206"/>
      <c r="AI262" s="6206"/>
      <c r="AJ262" s="6207"/>
      <c r="AK262" s="426"/>
      <c r="AL262" s="420"/>
    </row>
    <row r="263" spans="1:38" ht="12" customHeight="1" x14ac:dyDescent="0.2">
      <c r="A263" s="420"/>
      <c r="B263" s="854"/>
      <c r="C263" s="6208"/>
      <c r="D263" s="6218"/>
      <c r="E263" s="6218"/>
      <c r="F263" s="6218"/>
      <c r="G263" s="6218"/>
      <c r="H263" s="6218"/>
      <c r="I263" s="6218"/>
      <c r="J263" s="6218"/>
      <c r="K263" s="6218"/>
      <c r="L263" s="6218"/>
      <c r="M263" s="6218"/>
      <c r="N263" s="6218"/>
      <c r="O263" s="6218"/>
      <c r="P263" s="6218"/>
      <c r="Q263" s="6210"/>
      <c r="R263" s="426"/>
      <c r="S263" s="420"/>
      <c r="T263" s="420"/>
      <c r="U263" s="854"/>
      <c r="V263" s="6208"/>
      <c r="W263" s="6209"/>
      <c r="X263" s="6209"/>
      <c r="Y263" s="6209"/>
      <c r="Z263" s="6209"/>
      <c r="AA263" s="6209"/>
      <c r="AB263" s="6209"/>
      <c r="AC263" s="6209"/>
      <c r="AD263" s="6209"/>
      <c r="AE263" s="6209"/>
      <c r="AF263" s="6209"/>
      <c r="AG263" s="6209"/>
      <c r="AH263" s="6209"/>
      <c r="AI263" s="6209"/>
      <c r="AJ263" s="6210"/>
      <c r="AK263" s="426"/>
      <c r="AL263" s="420"/>
    </row>
    <row r="264" spans="1:38" ht="12" customHeight="1" x14ac:dyDescent="0.2">
      <c r="A264" s="420"/>
      <c r="B264" s="854"/>
      <c r="C264" s="6208"/>
      <c r="D264" s="6218"/>
      <c r="E264" s="6218"/>
      <c r="F264" s="6218"/>
      <c r="G264" s="6218"/>
      <c r="H264" s="6218"/>
      <c r="I264" s="6218"/>
      <c r="J264" s="6218"/>
      <c r="K264" s="6218"/>
      <c r="L264" s="6218"/>
      <c r="M264" s="6218"/>
      <c r="N264" s="6218"/>
      <c r="O264" s="6218"/>
      <c r="P264" s="6218"/>
      <c r="Q264" s="6210"/>
      <c r="R264" s="426"/>
      <c r="S264" s="420"/>
      <c r="T264" s="420"/>
      <c r="U264" s="854"/>
      <c r="V264" s="6208"/>
      <c r="W264" s="6209"/>
      <c r="X264" s="6209"/>
      <c r="Y264" s="6209"/>
      <c r="Z264" s="6209"/>
      <c r="AA264" s="6209"/>
      <c r="AB264" s="6209"/>
      <c r="AC264" s="6209"/>
      <c r="AD264" s="6209"/>
      <c r="AE264" s="6209"/>
      <c r="AF264" s="6209"/>
      <c r="AG264" s="6209"/>
      <c r="AH264" s="6209"/>
      <c r="AI264" s="6209"/>
      <c r="AJ264" s="6210"/>
      <c r="AK264" s="426"/>
      <c r="AL264" s="420"/>
    </row>
    <row r="265" spans="1:38" ht="12" customHeight="1" thickBot="1" x14ac:dyDescent="0.25">
      <c r="A265" s="420"/>
      <c r="B265" s="854"/>
      <c r="C265" s="6211"/>
      <c r="D265" s="6212"/>
      <c r="E265" s="6212"/>
      <c r="F265" s="6212"/>
      <c r="G265" s="6212"/>
      <c r="H265" s="6212"/>
      <c r="I265" s="6212"/>
      <c r="J265" s="6212"/>
      <c r="K265" s="6212"/>
      <c r="L265" s="6212"/>
      <c r="M265" s="6212"/>
      <c r="N265" s="6212"/>
      <c r="O265" s="6212"/>
      <c r="P265" s="6212"/>
      <c r="Q265" s="6213"/>
      <c r="R265" s="426"/>
      <c r="S265" s="420"/>
      <c r="T265" s="420"/>
      <c r="U265" s="854"/>
      <c r="V265" s="6211"/>
      <c r="W265" s="6212"/>
      <c r="X265" s="6212"/>
      <c r="Y265" s="6212"/>
      <c r="Z265" s="6212"/>
      <c r="AA265" s="6212"/>
      <c r="AB265" s="6212"/>
      <c r="AC265" s="6212"/>
      <c r="AD265" s="6212"/>
      <c r="AE265" s="6212"/>
      <c r="AF265" s="6212"/>
      <c r="AG265" s="6212"/>
      <c r="AH265" s="6212"/>
      <c r="AI265" s="6212"/>
      <c r="AJ265" s="6213"/>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208"/>
      <c r="D271" s="4209"/>
      <c r="E271" s="4209"/>
      <c r="F271" s="4209"/>
      <c r="G271" s="4209"/>
      <c r="H271" s="4209"/>
      <c r="I271" s="2738"/>
      <c r="J271" s="2738"/>
      <c r="K271" s="2738"/>
      <c r="L271" s="2738"/>
      <c r="M271" s="2738"/>
      <c r="N271" s="2738"/>
      <c r="O271" s="2738"/>
      <c r="P271" s="2738"/>
      <c r="Q271" s="425"/>
      <c r="R271" s="426"/>
      <c r="S271" s="420"/>
      <c r="T271" s="1518"/>
      <c r="U271" s="1149"/>
      <c r="V271" s="4208"/>
      <c r="W271" s="4209"/>
      <c r="X271" s="4209"/>
      <c r="Y271" s="4209"/>
      <c r="Z271" s="4209"/>
      <c r="AA271" s="4209"/>
      <c r="AB271" s="2738"/>
      <c r="AC271" s="2738"/>
      <c r="AD271" s="2738"/>
      <c r="AE271" s="2738"/>
      <c r="AF271" s="2738"/>
      <c r="AG271" s="2738"/>
      <c r="AH271" s="2738"/>
      <c r="AI271" s="2738"/>
      <c r="AJ271" s="425"/>
      <c r="AK271" s="426"/>
      <c r="AL271" s="2737"/>
    </row>
    <row r="272" spans="1:38" ht="12" customHeight="1" x14ac:dyDescent="0.2">
      <c r="A272" s="1866"/>
      <c r="B272" s="1865"/>
      <c r="C272" s="4210"/>
      <c r="D272" s="4211"/>
      <c r="E272" s="4211"/>
      <c r="F272" s="4211"/>
      <c r="G272" s="4211"/>
      <c r="H272" s="4211"/>
      <c r="I272" s="2753"/>
      <c r="J272" s="6240" t="s">
        <v>10263</v>
      </c>
      <c r="K272" s="6241"/>
      <c r="L272" s="6241"/>
      <c r="M272" s="6241"/>
      <c r="N272" s="6241"/>
      <c r="O272" s="6241"/>
      <c r="P272" s="6241"/>
      <c r="Q272" s="375"/>
      <c r="R272" s="858"/>
      <c r="S272" s="857"/>
      <c r="T272" s="1866"/>
      <c r="U272" s="1865"/>
      <c r="V272" s="4210"/>
      <c r="W272" s="4211"/>
      <c r="X272" s="4211"/>
      <c r="Y272" s="4211"/>
      <c r="Z272" s="4211"/>
      <c r="AA272" s="4211"/>
      <c r="AB272" s="2739"/>
      <c r="AC272" s="6245" t="s">
        <v>10263</v>
      </c>
      <c r="AD272" s="6246"/>
      <c r="AE272" s="6246"/>
      <c r="AF272" s="6246"/>
      <c r="AG272" s="6246"/>
      <c r="AH272" s="6246"/>
      <c r="AI272" s="6246"/>
      <c r="AJ272" s="375"/>
      <c r="AK272" s="858"/>
      <c r="AL272" s="857"/>
    </row>
    <row r="273" spans="1:38" ht="12" customHeight="1" x14ac:dyDescent="0.2">
      <c r="A273" s="1518"/>
      <c r="B273" s="1149"/>
      <c r="C273" s="4210"/>
      <c r="D273" s="4211"/>
      <c r="E273" s="4211"/>
      <c r="F273" s="4211"/>
      <c r="G273" s="4211"/>
      <c r="H273" s="4211"/>
      <c r="I273" s="2753"/>
      <c r="J273" s="6241"/>
      <c r="K273" s="6241"/>
      <c r="L273" s="6241"/>
      <c r="M273" s="6241"/>
      <c r="N273" s="6241"/>
      <c r="O273" s="6241"/>
      <c r="P273" s="6241"/>
      <c r="Q273" s="427"/>
      <c r="R273" s="426"/>
      <c r="S273" s="420"/>
      <c r="T273" s="1518"/>
      <c r="U273" s="1149"/>
      <c r="V273" s="4210"/>
      <c r="W273" s="4211"/>
      <c r="X273" s="4211"/>
      <c r="Y273" s="4211"/>
      <c r="Z273" s="4211"/>
      <c r="AA273" s="4211"/>
      <c r="AB273" s="2739"/>
      <c r="AC273" s="6246"/>
      <c r="AD273" s="6246"/>
      <c r="AE273" s="6246"/>
      <c r="AF273" s="6246"/>
      <c r="AG273" s="6246"/>
      <c r="AH273" s="6246"/>
      <c r="AI273" s="6246"/>
      <c r="AJ273" s="427"/>
      <c r="AK273" s="426"/>
      <c r="AL273" s="2737"/>
    </row>
    <row r="274" spans="1:38" ht="12" customHeight="1" x14ac:dyDescent="0.2">
      <c r="A274" s="1518"/>
      <c r="B274" s="1149"/>
      <c r="C274" s="4210"/>
      <c r="D274" s="4211"/>
      <c r="E274" s="4211"/>
      <c r="F274" s="4211"/>
      <c r="G274" s="4211"/>
      <c r="H274" s="4211"/>
      <c r="I274" s="2754" t="s">
        <v>7233</v>
      </c>
      <c r="J274" s="6242" t="str">
        <f>IF($J$6="","",$J$6)</f>
        <v/>
      </c>
      <c r="K274" s="6242"/>
      <c r="L274" s="6242"/>
      <c r="M274" s="2755"/>
      <c r="N274" s="2755"/>
      <c r="O274" s="2756" t="str">
        <f>$O$6</f>
        <v>Nivel de vía aprendido</v>
      </c>
      <c r="P274" s="2757">
        <f>$P$6</f>
        <v>0</v>
      </c>
      <c r="Q274" s="427"/>
      <c r="R274" s="426"/>
      <c r="S274" s="420"/>
      <c r="T274" s="1518"/>
      <c r="U274" s="1149"/>
      <c r="V274" s="4210"/>
      <c r="W274" s="4211"/>
      <c r="X274" s="4211"/>
      <c r="Y274" s="4211"/>
      <c r="Z274" s="4211"/>
      <c r="AA274" s="4211"/>
      <c r="AB274" s="2482" t="s">
        <v>7233</v>
      </c>
      <c r="AC274" s="6235" t="str">
        <f>IF($J$6="","",$J$6)</f>
        <v/>
      </c>
      <c r="AD274" s="6235"/>
      <c r="AE274" s="6235"/>
      <c r="AF274" s="2478"/>
      <c r="AG274" s="2478"/>
      <c r="AH274" s="2479" t="str">
        <f>$O$6</f>
        <v>Nivel de vía aprendido</v>
      </c>
      <c r="AI274" s="2480">
        <f>$P$6</f>
        <v>0</v>
      </c>
      <c r="AJ274" s="427"/>
      <c r="AK274" s="426"/>
      <c r="AL274" s="2737"/>
    </row>
    <row r="275" spans="1:38" ht="12" customHeight="1" x14ac:dyDescent="0.2">
      <c r="A275" s="1518"/>
      <c r="B275" s="1149"/>
      <c r="C275" s="4210"/>
      <c r="D275" s="4211"/>
      <c r="E275" s="4211"/>
      <c r="F275" s="4211"/>
      <c r="G275" s="4211"/>
      <c r="H275" s="4211"/>
      <c r="I275" s="2758" t="s">
        <v>7234</v>
      </c>
      <c r="J275" s="6242" t="str">
        <f>IF($J$8="","",$J$8)</f>
        <v/>
      </c>
      <c r="K275" s="6242"/>
      <c r="L275" s="6242"/>
      <c r="M275" s="2755"/>
      <c r="N275" s="2755"/>
      <c r="O275" s="2755"/>
      <c r="P275" s="2755"/>
      <c r="Q275" s="427"/>
      <c r="R275" s="426"/>
      <c r="S275" s="420"/>
      <c r="T275" s="1518"/>
      <c r="U275" s="1149"/>
      <c r="V275" s="4210"/>
      <c r="W275" s="4211"/>
      <c r="X275" s="4211"/>
      <c r="Y275" s="4211"/>
      <c r="Z275" s="4211"/>
      <c r="AA275" s="4211"/>
      <c r="AB275" s="2483" t="s">
        <v>7234</v>
      </c>
      <c r="AC275" s="6235" t="str">
        <f>IF($J$8="","",$J$8)</f>
        <v/>
      </c>
      <c r="AD275" s="6235"/>
      <c r="AE275" s="6235"/>
      <c r="AF275" s="2478"/>
      <c r="AG275" s="2478"/>
      <c r="AH275" s="2478"/>
      <c r="AI275" s="2478"/>
      <c r="AJ275" s="427"/>
      <c r="AK275" s="426"/>
      <c r="AL275" s="2737"/>
    </row>
    <row r="276" spans="1:38" ht="12" customHeight="1" thickBot="1" x14ac:dyDescent="0.25">
      <c r="A276" s="1518"/>
      <c r="B276" s="1149"/>
      <c r="C276" s="4212"/>
      <c r="D276" s="4213"/>
      <c r="E276" s="4213"/>
      <c r="F276" s="4213"/>
      <c r="G276" s="4213"/>
      <c r="H276" s="4213"/>
      <c r="I276" s="2740"/>
      <c r="J276" s="2740"/>
      <c r="K276" s="2740"/>
      <c r="L276" s="2740"/>
      <c r="M276" s="2740"/>
      <c r="N276" s="2740"/>
      <c r="O276" s="2740"/>
      <c r="P276" s="2740"/>
      <c r="Q276" s="429"/>
      <c r="R276" s="426"/>
      <c r="S276" s="420"/>
      <c r="T276" s="1518"/>
      <c r="U276" s="1149"/>
      <c r="V276" s="4212"/>
      <c r="W276" s="4213"/>
      <c r="X276" s="4213"/>
      <c r="Y276" s="4213"/>
      <c r="Z276" s="4213"/>
      <c r="AA276" s="4213"/>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44" t="str">
        <f>"Conjuros de nivel "&amp;B279&amp;"-"&amp;B323</f>
        <v>Conjuros de nivel 82-90</v>
      </c>
      <c r="D278" s="6244"/>
      <c r="E278" s="6244"/>
      <c r="F278" s="6244"/>
      <c r="G278" s="6244"/>
      <c r="H278" s="6244"/>
      <c r="I278" s="6244"/>
      <c r="J278" s="6244"/>
      <c r="K278" s="6244"/>
      <c r="L278" s="6244"/>
      <c r="M278" s="6244"/>
      <c r="N278" s="6244"/>
      <c r="O278" s="6244"/>
      <c r="P278" s="6244"/>
      <c r="Q278" s="6244"/>
      <c r="R278" s="860"/>
      <c r="S278" s="420"/>
      <c r="T278" s="420"/>
      <c r="U278" s="862"/>
      <c r="V278" s="6244" t="str">
        <f>"Conjuros de nivel "&amp;U279&amp;"-"&amp;U323</f>
        <v>Conjuros de nivel 92-100</v>
      </c>
      <c r="W278" s="6244"/>
      <c r="X278" s="6244"/>
      <c r="Y278" s="6244"/>
      <c r="Z278" s="6244"/>
      <c r="AA278" s="6244"/>
      <c r="AB278" s="6244"/>
      <c r="AC278" s="6244"/>
      <c r="AD278" s="6244"/>
      <c r="AE278" s="6244"/>
      <c r="AF278" s="6244"/>
      <c r="AG278" s="6244"/>
      <c r="AH278" s="6244"/>
      <c r="AI278" s="6244"/>
      <c r="AJ278" s="6244"/>
      <c r="AK278" s="860"/>
      <c r="AL278" s="420"/>
    </row>
    <row r="279" spans="1:38" ht="12" customHeight="1" x14ac:dyDescent="0.2">
      <c r="A279" s="420"/>
      <c r="B279" s="854">
        <f>B212+20</f>
        <v>82</v>
      </c>
      <c r="C279" s="6219"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20"/>
      <c r="E279" s="6220"/>
      <c r="F279" s="6220"/>
      <c r="G279" s="6221"/>
      <c r="H279" s="430" t="s">
        <v>1328</v>
      </c>
      <c r="I279" s="431">
        <f>B279</f>
        <v>82</v>
      </c>
      <c r="J279" s="6222" t="s">
        <v>6329</v>
      </c>
      <c r="K279" s="6222"/>
      <c r="L279" s="6222"/>
      <c r="M279" s="6183" t="e">
        <f>IF(C279=0,"",VLOOKUP(C279,'Tablas Magia'!$D$6:$Z$680,2,FALSE))</f>
        <v>#N/A</v>
      </c>
      <c r="N279" s="6183"/>
      <c r="O279" s="1853"/>
      <c r="P279" s="6214" t="str">
        <f>IFERROR(IF(M279="Libre Acceso","Aprendido",IF(IFERROR(VLOOKUP(M279,Místicos!$C$15:$H$25,6,0)&gt;=I279,FALSE),"Aprendido",IF(IFERROR(VLOOKUP(M279,Místicos!$E$15:$H$25,4,0)&gt;=I279,FALSE),"Aprendido",""))),"")</f>
        <v/>
      </c>
      <c r="Q279" s="6215"/>
      <c r="R279" s="426"/>
      <c r="S279" s="420"/>
      <c r="T279" s="420"/>
      <c r="U279" s="854">
        <f>B323+2</f>
        <v>92</v>
      </c>
      <c r="V279" s="6219"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30"/>
      <c r="X279" s="6230"/>
      <c r="Y279" s="6230"/>
      <c r="Z279" s="6237"/>
      <c r="AA279" s="430" t="s">
        <v>1328</v>
      </c>
      <c r="AB279" s="431">
        <f>U279</f>
        <v>92</v>
      </c>
      <c r="AC279" s="6222" t="s">
        <v>6329</v>
      </c>
      <c r="AD279" s="6222"/>
      <c r="AE279" s="6222"/>
      <c r="AF279" s="6183" t="e">
        <f>IF(V279=0,"",VLOOKUP(V279,'Tablas Magia'!$D$6:$Z$680,2,FALSE))</f>
        <v>#N/A</v>
      </c>
      <c r="AG279" s="6183"/>
      <c r="AH279" s="1853"/>
      <c r="AI279" s="6214" t="str">
        <f>IFERROR(IF(AF279="Libre Acceso","Aprendido",IF(IFERROR(VLOOKUP(AF279,Místicos!$C$15:$H$25,6,0)&gt;=AB279,FALSE),"Aprendido",IF(IFERROR(VLOOKUP(AF279,Místicos!$E$15:$H$25,4,0)&gt;=AB279,FALSE),"Aprendido",""))),"")</f>
        <v/>
      </c>
      <c r="AJ279" s="6215"/>
      <c r="AK279" s="426"/>
      <c r="AL279" s="420"/>
    </row>
    <row r="280" spans="1:38" ht="12" customHeight="1" x14ac:dyDescent="0.2">
      <c r="A280" s="420"/>
      <c r="B280" s="854"/>
      <c r="C280" s="6198" t="s">
        <v>6330</v>
      </c>
      <c r="D280" s="6228"/>
      <c r="E280" s="2760" t="s">
        <v>6331</v>
      </c>
      <c r="F280" s="2760" t="s">
        <v>1512</v>
      </c>
      <c r="G280" s="2760" t="s">
        <v>2862</v>
      </c>
      <c r="H280" s="2761" t="s">
        <v>1840</v>
      </c>
      <c r="I280" s="6226" t="e">
        <f>IF(C279=0,"",VLOOKUP(C279,'Tablas Magia'!$D$6:$Z$680,5,FALSE))</f>
        <v>#N/A</v>
      </c>
      <c r="J280" s="6226"/>
      <c r="K280" s="6229" t="s">
        <v>6332</v>
      </c>
      <c r="L280" s="6229"/>
      <c r="M280" s="6226" t="e">
        <f>IF(C279=0,"",VLOOKUP(C279,'Tablas Magia'!$D$6:$Z$680,6,FALSE))</f>
        <v>#N/A</v>
      </c>
      <c r="N280" s="6226"/>
      <c r="O280" s="6227" t="s">
        <v>6333</v>
      </c>
      <c r="P280" s="6227"/>
      <c r="Q280" s="2762" t="e">
        <f>IF(C279=0,"",VLOOKUP(C279,'Tablas Magia'!$D$6:$Z$680,4,FALSE))</f>
        <v>#N/A</v>
      </c>
      <c r="R280" s="426"/>
      <c r="S280" s="420"/>
      <c r="T280" s="420"/>
      <c r="U280" s="854"/>
      <c r="V280" s="6198" t="s">
        <v>6330</v>
      </c>
      <c r="W280" s="6231"/>
      <c r="X280" s="1862" t="s">
        <v>6331</v>
      </c>
      <c r="Y280" s="1862" t="s">
        <v>1512</v>
      </c>
      <c r="Z280" s="1862" t="s">
        <v>2862</v>
      </c>
      <c r="AA280" s="1863" t="s">
        <v>1840</v>
      </c>
      <c r="AB280" s="6232" t="e">
        <f>IF(V279=0,"",VLOOKUP(V279,'Tablas Magia'!$D$6:$Z$680,5,FALSE))</f>
        <v>#N/A</v>
      </c>
      <c r="AC280" s="6232"/>
      <c r="AD280" s="6233" t="s">
        <v>6332</v>
      </c>
      <c r="AE280" s="6233"/>
      <c r="AF280" s="6232" t="e">
        <f>IF(V279=0,"",VLOOKUP(V279,'Tablas Magia'!$D$6:$Z$680,6,FALSE))</f>
        <v>#N/A</v>
      </c>
      <c r="AG280" s="6232"/>
      <c r="AH280" s="6234" t="s">
        <v>6333</v>
      </c>
      <c r="AI280" s="6234"/>
      <c r="AJ280" s="1864" t="e">
        <f>IF(V279=0,"",VLOOKUP(V279,'Tablas Magia'!$D$6:$Z$680,4,FALSE))</f>
        <v>#N/A</v>
      </c>
      <c r="AK280" s="426"/>
      <c r="AL280" s="420"/>
    </row>
    <row r="281" spans="1:38" ht="12" customHeight="1" x14ac:dyDescent="0.2">
      <c r="A281" s="420"/>
      <c r="B281" s="854"/>
      <c r="C281" s="6190" t="s">
        <v>1368</v>
      </c>
      <c r="D281" s="6191"/>
      <c r="E281" s="2763" t="e">
        <f>IF(C279=0,"",VLOOKUP(C279,'Tablas Magia'!$D$6:$Z$680,7,FALSE))</f>
        <v>#N/A</v>
      </c>
      <c r="F281" s="2763" t="e">
        <f>IF(C279=0,"",VLOOKUP(C279,'Tablas Magia'!$D$6:$Z$680,11,FALSE))</f>
        <v>#N/A</v>
      </c>
      <c r="G281" s="436" t="e">
        <f>IF(C279=0,"",VLOOKUP(C279,'Tablas Magia'!$D$6:$Z$680,15,FALSE))</f>
        <v>#N/A</v>
      </c>
      <c r="H281" s="6192" t="e">
        <f>IF(C279=0,"",VLOOKUP(C279,'Tablas Magia'!$D$6:$Z$680,19,FALSE))</f>
        <v>#N/A</v>
      </c>
      <c r="I281" s="6216"/>
      <c r="J281" s="6216"/>
      <c r="K281" s="6216"/>
      <c r="L281" s="6216"/>
      <c r="M281" s="6216"/>
      <c r="N281" s="6216"/>
      <c r="O281" s="6216"/>
      <c r="P281" s="6216"/>
      <c r="Q281" s="6194"/>
      <c r="R281" s="426"/>
      <c r="S281" s="420"/>
      <c r="T281" s="420"/>
      <c r="U281" s="854"/>
      <c r="V281" s="6238" t="s">
        <v>1368</v>
      </c>
      <c r="W281" s="6239"/>
      <c r="X281" s="435" t="e">
        <f>IF(V279=0,"",VLOOKUP(V279,'Tablas Magia'!$D$6:$Z$680,7,FALSE))</f>
        <v>#N/A</v>
      </c>
      <c r="Y281" s="435" t="e">
        <f>IF(V279=0,"",VLOOKUP(V279,'Tablas Magia'!$D$6:$Z$680,11,FALSE))</f>
        <v>#N/A</v>
      </c>
      <c r="Z281" s="436" t="e">
        <f>IF(V279=0,"",VLOOKUP(V279,'Tablas Magia'!$D$6:$Z$680,15,FALSE))</f>
        <v>#N/A</v>
      </c>
      <c r="AA281" s="6223" t="e">
        <f>IF(V279=0,"",VLOOKUP(V279,'Tablas Magia'!$D$6:$Z$680,19,FALSE))</f>
        <v>#N/A</v>
      </c>
      <c r="AB281" s="6224"/>
      <c r="AC281" s="6224"/>
      <c r="AD281" s="6224"/>
      <c r="AE281" s="6224"/>
      <c r="AF281" s="6224"/>
      <c r="AG281" s="6224"/>
      <c r="AH281" s="6224"/>
      <c r="AI281" s="6224"/>
      <c r="AJ281" s="6225"/>
      <c r="AK281" s="426"/>
      <c r="AL281" s="420"/>
    </row>
    <row r="282" spans="1:38" ht="12" customHeight="1" x14ac:dyDescent="0.2">
      <c r="A282" s="420"/>
      <c r="B282" s="854"/>
      <c r="C282" s="6185" t="s">
        <v>3233</v>
      </c>
      <c r="D282" s="6186"/>
      <c r="E282" s="2764" t="e">
        <f>IF(C279=0,"",VLOOKUP(C279,'Tablas Magia'!$D$6:$Z$680,8,FALSE))</f>
        <v>#N/A</v>
      </c>
      <c r="F282" s="2764" t="e">
        <f>IF(C279=0,"",VLOOKUP(C279,'Tablas Magia'!$D$6:$Z$680,12,FALSE))</f>
        <v>#N/A</v>
      </c>
      <c r="G282" s="438" t="e">
        <f>IF(C279=0,"",VLOOKUP(C279,'Tablas Magia'!$D$6:$Z$680,16,FALSE))</f>
        <v>#N/A</v>
      </c>
      <c r="H282" s="6187" t="e">
        <f>IF(C279=0,"",VLOOKUP(C279,'Tablas Magia'!$D$6:$Z$680,20,FALSE))</f>
        <v>#N/A</v>
      </c>
      <c r="I282" s="6217"/>
      <c r="J282" s="6217"/>
      <c r="K282" s="6217"/>
      <c r="L282" s="6217"/>
      <c r="M282" s="6217"/>
      <c r="N282" s="6217"/>
      <c r="O282" s="6217"/>
      <c r="P282" s="6217"/>
      <c r="Q282" s="6189"/>
      <c r="R282" s="426"/>
      <c r="S282" s="420"/>
      <c r="T282" s="420"/>
      <c r="U282" s="854"/>
      <c r="V282" s="6185" t="s">
        <v>3233</v>
      </c>
      <c r="W282" s="6186"/>
      <c r="X282" s="437" t="e">
        <f>IF(V279=0,"",VLOOKUP(V279,'Tablas Magia'!$D$6:$Z$680,8,FALSE))</f>
        <v>#N/A</v>
      </c>
      <c r="Y282" s="437" t="e">
        <f>IF(V279=0,"",VLOOKUP(V279,'Tablas Magia'!$D$6:$Z$680,12,FALSE))</f>
        <v>#N/A</v>
      </c>
      <c r="Z282" s="438" t="e">
        <f>IF(V279=0,"",VLOOKUP(V279,'Tablas Magia'!$D$6:$Z$680,16,FALSE))</f>
        <v>#N/A</v>
      </c>
      <c r="AA282" s="6187" t="e">
        <f>IF(V279=0,"",VLOOKUP(V279,'Tablas Magia'!$D$6:$Z$680,20,FALSE))</f>
        <v>#N/A</v>
      </c>
      <c r="AB282" s="6188"/>
      <c r="AC282" s="6188"/>
      <c r="AD282" s="6188"/>
      <c r="AE282" s="6188"/>
      <c r="AF282" s="6188"/>
      <c r="AG282" s="6188"/>
      <c r="AH282" s="6188"/>
      <c r="AI282" s="6188"/>
      <c r="AJ282" s="6189"/>
      <c r="AK282" s="426"/>
      <c r="AL282" s="420"/>
    </row>
    <row r="283" spans="1:38" ht="12" customHeight="1" x14ac:dyDescent="0.2">
      <c r="A283" s="420"/>
      <c r="B283" s="854"/>
      <c r="C283" s="6190" t="s">
        <v>3234</v>
      </c>
      <c r="D283" s="6191"/>
      <c r="E283" s="2763" t="e">
        <f>IF(C279=0,"",VLOOKUP(C279,'Tablas Magia'!$D$6:$Z$680,9,FALSE))</f>
        <v>#N/A</v>
      </c>
      <c r="F283" s="2763" t="e">
        <f>IF(C279=0,"",VLOOKUP(C279,'Tablas Magia'!$D$6:$Z$680,13,FALSE))</f>
        <v>#N/A</v>
      </c>
      <c r="G283" s="436" t="e">
        <f>IF(C279=0,"",VLOOKUP(C279,'Tablas Magia'!$D$6:$Z$680,17,FALSE))</f>
        <v>#N/A</v>
      </c>
      <c r="H283" s="6192" t="e">
        <f>IF(C279=0,"",VLOOKUP(C279,'Tablas Magia'!$D$6:$Z$680,21,FALSE))</f>
        <v>#N/A</v>
      </c>
      <c r="I283" s="6216"/>
      <c r="J283" s="6216"/>
      <c r="K283" s="6216"/>
      <c r="L283" s="6216"/>
      <c r="M283" s="6216"/>
      <c r="N283" s="6216"/>
      <c r="O283" s="6216"/>
      <c r="P283" s="6216"/>
      <c r="Q283" s="6194"/>
      <c r="R283" s="426"/>
      <c r="S283" s="420"/>
      <c r="T283" s="420"/>
      <c r="U283" s="854"/>
      <c r="V283" s="6190" t="s">
        <v>3234</v>
      </c>
      <c r="W283" s="6191"/>
      <c r="X283" s="435" t="e">
        <f>IF(V279=0,"",VLOOKUP(V279,'Tablas Magia'!$D$6:$Z$680,9,FALSE))</f>
        <v>#N/A</v>
      </c>
      <c r="Y283" s="435" t="e">
        <f>IF(V279=0,"",VLOOKUP(V279,'Tablas Magia'!$D$6:$Z$680,13,FALSE))</f>
        <v>#N/A</v>
      </c>
      <c r="Z283" s="436" t="e">
        <f>IF(V279=0,"",VLOOKUP(V279,'Tablas Magia'!$D$6:$Z$680,17,FALSE))</f>
        <v>#N/A</v>
      </c>
      <c r="AA283" s="6192" t="e">
        <f>IF(V279=0,"",VLOOKUP(V279,'Tablas Magia'!$D$6:$Z$680,21,FALSE))</f>
        <v>#N/A</v>
      </c>
      <c r="AB283" s="6193"/>
      <c r="AC283" s="6193"/>
      <c r="AD283" s="6193"/>
      <c r="AE283" s="6193"/>
      <c r="AF283" s="6193"/>
      <c r="AG283" s="6193"/>
      <c r="AH283" s="6193"/>
      <c r="AI283" s="6193"/>
      <c r="AJ283" s="6194"/>
      <c r="AK283" s="426"/>
      <c r="AL283" s="420"/>
    </row>
    <row r="284" spans="1:38" ht="12" customHeight="1" thickBot="1" x14ac:dyDescent="0.25">
      <c r="A284" s="420"/>
      <c r="B284" s="854"/>
      <c r="C284" s="6200" t="s">
        <v>3235</v>
      </c>
      <c r="D284" s="6201"/>
      <c r="E284" s="439" t="e">
        <f>IF(C279=0,"",VLOOKUP(C279,'Tablas Magia'!$D$6:$Z$680,10,FALSE))</f>
        <v>#N/A</v>
      </c>
      <c r="F284" s="439" t="e">
        <f>IF(C279=0,"",VLOOKUP(C279,'Tablas Magia'!$D$6:$Z$680,14,FALSE))</f>
        <v>#N/A</v>
      </c>
      <c r="G284" s="440" t="e">
        <f>IF(C279=0,"",VLOOKUP(C279,'Tablas Magia'!$D$6:$Z$680,18,FALSE))</f>
        <v>#N/A</v>
      </c>
      <c r="H284" s="6202" t="e">
        <f>IF(C279=0,"",VLOOKUP(C279,'Tablas Magia'!$D$6:$Z$680,22,FALSE))</f>
        <v>#N/A</v>
      </c>
      <c r="I284" s="6203"/>
      <c r="J284" s="6203"/>
      <c r="K284" s="6203"/>
      <c r="L284" s="6203"/>
      <c r="M284" s="6203"/>
      <c r="N284" s="6203"/>
      <c r="O284" s="6203"/>
      <c r="P284" s="6203"/>
      <c r="Q284" s="6204"/>
      <c r="R284" s="426"/>
      <c r="S284" s="420"/>
      <c r="T284" s="420"/>
      <c r="U284" s="854"/>
      <c r="V284" s="6200" t="s">
        <v>3235</v>
      </c>
      <c r="W284" s="6201"/>
      <c r="X284" s="439" t="e">
        <f>IF(V279=0,"",VLOOKUP(V279,'Tablas Magia'!$D$6:$Z$680,10,FALSE))</f>
        <v>#N/A</v>
      </c>
      <c r="Y284" s="439" t="e">
        <f>IF(V279=0,"",VLOOKUP(V279,'Tablas Magia'!$D$6:$Z$680,14,FALSE))</f>
        <v>#N/A</v>
      </c>
      <c r="Z284" s="440" t="e">
        <f>IF(V279=0,"",VLOOKUP(V279,'Tablas Magia'!$D$6:$Z$680,18,FALSE))</f>
        <v>#N/A</v>
      </c>
      <c r="AA284" s="6202" t="e">
        <f>IF(V279=0,"",VLOOKUP(V279,'Tablas Magia'!$D$6:$Z$680,22,FALSE))</f>
        <v>#N/A</v>
      </c>
      <c r="AB284" s="6203"/>
      <c r="AC284" s="6203"/>
      <c r="AD284" s="6203"/>
      <c r="AE284" s="6203"/>
      <c r="AF284" s="6203"/>
      <c r="AG284" s="6203"/>
      <c r="AH284" s="6203"/>
      <c r="AI284" s="6203"/>
      <c r="AJ284" s="6204"/>
      <c r="AK284" s="426"/>
      <c r="AL284" s="420"/>
    </row>
    <row r="285" spans="1:38" ht="12" customHeight="1" x14ac:dyDescent="0.2">
      <c r="A285" s="420"/>
      <c r="B285" s="854"/>
      <c r="C285" s="6205" t="e">
        <f>IF(C279=0,"",VLOOKUP(C279,'Tablas Magia'!$D$6:$Z$680,23,FALSE))</f>
        <v>#N/A</v>
      </c>
      <c r="D285" s="6206"/>
      <c r="E285" s="6206"/>
      <c r="F285" s="6206"/>
      <c r="G285" s="6206"/>
      <c r="H285" s="6206"/>
      <c r="I285" s="6206"/>
      <c r="J285" s="6206"/>
      <c r="K285" s="6206"/>
      <c r="L285" s="6206"/>
      <c r="M285" s="6206"/>
      <c r="N285" s="6206"/>
      <c r="O285" s="6206"/>
      <c r="P285" s="6206"/>
      <c r="Q285" s="6207"/>
      <c r="R285" s="426"/>
      <c r="S285" s="420"/>
      <c r="T285" s="420"/>
      <c r="U285" s="854"/>
      <c r="V285" s="6205" t="e">
        <f>IF(V279=0,"",VLOOKUP(V279,'Tablas Magia'!$D$6:$Z$680,23,FALSE))</f>
        <v>#N/A</v>
      </c>
      <c r="W285" s="6206"/>
      <c r="X285" s="6206"/>
      <c r="Y285" s="6206"/>
      <c r="Z285" s="6206"/>
      <c r="AA285" s="6206"/>
      <c r="AB285" s="6206"/>
      <c r="AC285" s="6206"/>
      <c r="AD285" s="6206"/>
      <c r="AE285" s="6206"/>
      <c r="AF285" s="6206"/>
      <c r="AG285" s="6206"/>
      <c r="AH285" s="6206"/>
      <c r="AI285" s="6206"/>
      <c r="AJ285" s="6207"/>
      <c r="AK285" s="426"/>
      <c r="AL285" s="420"/>
    </row>
    <row r="286" spans="1:38" ht="12" customHeight="1" x14ac:dyDescent="0.2">
      <c r="A286" s="420"/>
      <c r="B286" s="854"/>
      <c r="C286" s="6208"/>
      <c r="D286" s="6218"/>
      <c r="E286" s="6218"/>
      <c r="F286" s="6218"/>
      <c r="G286" s="6218"/>
      <c r="H286" s="6218"/>
      <c r="I286" s="6218"/>
      <c r="J286" s="6218"/>
      <c r="K286" s="6218"/>
      <c r="L286" s="6218"/>
      <c r="M286" s="6218"/>
      <c r="N286" s="6218"/>
      <c r="O286" s="6218"/>
      <c r="P286" s="6218"/>
      <c r="Q286" s="6210"/>
      <c r="R286" s="426"/>
      <c r="S286" s="420"/>
      <c r="T286" s="420"/>
      <c r="U286" s="854"/>
      <c r="V286" s="6208"/>
      <c r="W286" s="6209"/>
      <c r="X286" s="6209"/>
      <c r="Y286" s="6209"/>
      <c r="Z286" s="6209"/>
      <c r="AA286" s="6209"/>
      <c r="AB286" s="6209"/>
      <c r="AC286" s="6209"/>
      <c r="AD286" s="6209"/>
      <c r="AE286" s="6209"/>
      <c r="AF286" s="6209"/>
      <c r="AG286" s="6209"/>
      <c r="AH286" s="6209"/>
      <c r="AI286" s="6209"/>
      <c r="AJ286" s="6210"/>
      <c r="AK286" s="426"/>
      <c r="AL286" s="420"/>
    </row>
    <row r="287" spans="1:38" ht="12" customHeight="1" x14ac:dyDescent="0.2">
      <c r="A287" s="420"/>
      <c r="B287" s="854"/>
      <c r="C287" s="6208"/>
      <c r="D287" s="6218"/>
      <c r="E287" s="6218"/>
      <c r="F287" s="6218"/>
      <c r="G287" s="6218"/>
      <c r="H287" s="6218"/>
      <c r="I287" s="6218"/>
      <c r="J287" s="6218"/>
      <c r="K287" s="6218"/>
      <c r="L287" s="6218"/>
      <c r="M287" s="6218"/>
      <c r="N287" s="6218"/>
      <c r="O287" s="6218"/>
      <c r="P287" s="6218"/>
      <c r="Q287" s="6210"/>
      <c r="R287" s="426"/>
      <c r="S287" s="420"/>
      <c r="T287" s="420"/>
      <c r="U287" s="854"/>
      <c r="V287" s="6208"/>
      <c r="W287" s="6209"/>
      <c r="X287" s="6209"/>
      <c r="Y287" s="6209"/>
      <c r="Z287" s="6209"/>
      <c r="AA287" s="6209"/>
      <c r="AB287" s="6209"/>
      <c r="AC287" s="6209"/>
      <c r="AD287" s="6209"/>
      <c r="AE287" s="6209"/>
      <c r="AF287" s="6209"/>
      <c r="AG287" s="6209"/>
      <c r="AH287" s="6209"/>
      <c r="AI287" s="6209"/>
      <c r="AJ287" s="6210"/>
      <c r="AK287" s="426"/>
      <c r="AL287" s="420"/>
    </row>
    <row r="288" spans="1:38" ht="12" customHeight="1" thickBot="1" x14ac:dyDescent="0.25">
      <c r="A288" s="420"/>
      <c r="B288" s="854"/>
      <c r="C288" s="6211"/>
      <c r="D288" s="6212"/>
      <c r="E288" s="6212"/>
      <c r="F288" s="6212"/>
      <c r="G288" s="6212"/>
      <c r="H288" s="6212"/>
      <c r="I288" s="6212"/>
      <c r="J288" s="6212"/>
      <c r="K288" s="6212"/>
      <c r="L288" s="6212"/>
      <c r="M288" s="6212"/>
      <c r="N288" s="6212"/>
      <c r="O288" s="6212"/>
      <c r="P288" s="6212"/>
      <c r="Q288" s="6213"/>
      <c r="R288" s="426"/>
      <c r="S288" s="420"/>
      <c r="T288" s="420"/>
      <c r="U288" s="854"/>
      <c r="V288" s="6211"/>
      <c r="W288" s="6212"/>
      <c r="X288" s="6212"/>
      <c r="Y288" s="6212"/>
      <c r="Z288" s="6212"/>
      <c r="AA288" s="6212"/>
      <c r="AB288" s="6212"/>
      <c r="AC288" s="6212"/>
      <c r="AD288" s="6212"/>
      <c r="AE288" s="6212"/>
      <c r="AF288" s="6212"/>
      <c r="AG288" s="6212"/>
      <c r="AH288" s="6212"/>
      <c r="AI288" s="6212"/>
      <c r="AJ288" s="6213"/>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19"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20"/>
      <c r="E290" s="6220"/>
      <c r="F290" s="6220"/>
      <c r="G290" s="6221"/>
      <c r="H290" s="430" t="s">
        <v>1328</v>
      </c>
      <c r="I290" s="431">
        <f>B290</f>
        <v>84</v>
      </c>
      <c r="J290" s="6222" t="s">
        <v>6329</v>
      </c>
      <c r="K290" s="6222"/>
      <c r="L290" s="6222"/>
      <c r="M290" s="6183" t="e">
        <f>IF(C290=0,"",VLOOKUP(C290,'Tablas Magia'!$D$6:$Z$680,2,FALSE))</f>
        <v>#N/A</v>
      </c>
      <c r="N290" s="6183"/>
      <c r="O290" s="1853"/>
      <c r="P290" s="6214" t="str">
        <f>IFERROR(IF(M290="Libre Acceso","Aprendido",IF(IFERROR(VLOOKUP(M290,Místicos!$C$15:$H$25,6,0)&gt;=I290,FALSE),"Aprendido",IF(IFERROR(VLOOKUP(M290,Místicos!$E$15:$H$25,4,0)&gt;=I290,FALSE),"Aprendido",""))),"")</f>
        <v/>
      </c>
      <c r="Q290" s="6215"/>
      <c r="R290" s="426"/>
      <c r="S290" s="420"/>
      <c r="T290" s="420"/>
      <c r="U290" s="854">
        <f>U279+2</f>
        <v>94</v>
      </c>
      <c r="V290" s="6219"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30"/>
      <c r="X290" s="6230"/>
      <c r="Y290" s="6230"/>
      <c r="Z290" s="6230"/>
      <c r="AA290" s="430" t="s">
        <v>1328</v>
      </c>
      <c r="AB290" s="431">
        <f>U290</f>
        <v>94</v>
      </c>
      <c r="AC290" s="6222" t="s">
        <v>6329</v>
      </c>
      <c r="AD290" s="6222"/>
      <c r="AE290" s="6222"/>
      <c r="AF290" s="6183" t="e">
        <f>IF(V290=0,"",VLOOKUP(V290,'Tablas Magia'!$D$6:$Z$680,2,FALSE))</f>
        <v>#N/A</v>
      </c>
      <c r="AG290" s="6183"/>
      <c r="AH290" s="1853"/>
      <c r="AI290" s="6214" t="str">
        <f>IFERROR(IF(AF290="Libre Acceso","Aprendido",IF(IFERROR(VLOOKUP(AF290,Místicos!$C$15:$H$25,6,0)&gt;=AB290,FALSE),"Aprendido",IF(IFERROR(VLOOKUP(AF290,Místicos!$E$15:$H$25,4,0)&gt;=AB290,FALSE),"Aprendido",""))),"")</f>
        <v/>
      </c>
      <c r="AJ290" s="6215"/>
      <c r="AK290" s="426"/>
      <c r="AL290" s="420"/>
    </row>
    <row r="291" spans="1:38" ht="12" customHeight="1" x14ac:dyDescent="0.2">
      <c r="A291" s="420"/>
      <c r="B291" s="854"/>
      <c r="C291" s="6198" t="s">
        <v>6330</v>
      </c>
      <c r="D291" s="6228"/>
      <c r="E291" s="2760" t="s">
        <v>6331</v>
      </c>
      <c r="F291" s="2760" t="s">
        <v>1512</v>
      </c>
      <c r="G291" s="2760" t="s">
        <v>2862</v>
      </c>
      <c r="H291" s="2761" t="s">
        <v>1840</v>
      </c>
      <c r="I291" s="6226" t="e">
        <f>IF(C290=0,"",VLOOKUP(C290,'Tablas Magia'!$D$6:$Z$680,5,FALSE))</f>
        <v>#N/A</v>
      </c>
      <c r="J291" s="6226"/>
      <c r="K291" s="6229" t="s">
        <v>6332</v>
      </c>
      <c r="L291" s="6229"/>
      <c r="M291" s="6226" t="e">
        <f>IF(C290=0,"",VLOOKUP(C290,'Tablas Magia'!$D$6:$Z$680,6,FALSE))</f>
        <v>#N/A</v>
      </c>
      <c r="N291" s="6226"/>
      <c r="O291" s="6227" t="s">
        <v>6333</v>
      </c>
      <c r="P291" s="6227"/>
      <c r="Q291" s="2762" t="e">
        <f>IF(C290=0,"",VLOOKUP(C290,'Tablas Magia'!$D$6:$Z$680,4,FALSE))</f>
        <v>#N/A</v>
      </c>
      <c r="R291" s="426"/>
      <c r="S291" s="420"/>
      <c r="T291" s="420"/>
      <c r="U291" s="854"/>
      <c r="V291" s="6198" t="s">
        <v>6330</v>
      </c>
      <c r="W291" s="6231"/>
      <c r="X291" s="1862" t="s">
        <v>6331</v>
      </c>
      <c r="Y291" s="1862" t="s">
        <v>1512</v>
      </c>
      <c r="Z291" s="1862" t="s">
        <v>2862</v>
      </c>
      <c r="AA291" s="1863" t="s">
        <v>1840</v>
      </c>
      <c r="AB291" s="6232" t="e">
        <f>IF(V290=0,"",VLOOKUP(V290,'Tablas Magia'!$D$6:$Z$680,5,FALSE))</f>
        <v>#N/A</v>
      </c>
      <c r="AC291" s="6232"/>
      <c r="AD291" s="6233" t="s">
        <v>6332</v>
      </c>
      <c r="AE291" s="6233"/>
      <c r="AF291" s="6232" t="e">
        <f>IF(V290=0,"",VLOOKUP(V290,'Tablas Magia'!$D$6:$Z$680,6,FALSE))</f>
        <v>#N/A</v>
      </c>
      <c r="AG291" s="6232"/>
      <c r="AH291" s="6234" t="s">
        <v>6333</v>
      </c>
      <c r="AI291" s="6234"/>
      <c r="AJ291" s="1864" t="e">
        <f>IF(V290=0,"",VLOOKUP(V290,'Tablas Magia'!$D$6:$Z$680,4,FALSE))</f>
        <v>#N/A</v>
      </c>
      <c r="AK291" s="426"/>
      <c r="AL291" s="420"/>
    </row>
    <row r="292" spans="1:38" ht="12" customHeight="1" x14ac:dyDescent="0.2">
      <c r="A292" s="420"/>
      <c r="B292" s="854"/>
      <c r="C292" s="6238" t="s">
        <v>1368</v>
      </c>
      <c r="D292" s="6239"/>
      <c r="E292" s="2763" t="e">
        <f>IF(C290=0,"",VLOOKUP(C290,'Tablas Magia'!$D$6:$Z$680,7,FALSE))</f>
        <v>#N/A</v>
      </c>
      <c r="F292" s="2763" t="e">
        <f>IF(C290=0,"",VLOOKUP(C290,'Tablas Magia'!$D$6:$Z$680,11,FALSE))</f>
        <v>#N/A</v>
      </c>
      <c r="G292" s="436" t="e">
        <f>IF(C290=0,"",VLOOKUP(C290,'Tablas Magia'!$D$6:$Z$680,15,FALSE))</f>
        <v>#N/A</v>
      </c>
      <c r="H292" s="6223" t="e">
        <f>IF(C290=0,"",VLOOKUP(C290,'Tablas Magia'!$D$6:$Z$680,19,FALSE))</f>
        <v>#N/A</v>
      </c>
      <c r="I292" s="6224"/>
      <c r="J292" s="6224"/>
      <c r="K292" s="6224"/>
      <c r="L292" s="6224"/>
      <c r="M292" s="6224"/>
      <c r="N292" s="6224"/>
      <c r="O292" s="6224"/>
      <c r="P292" s="6224"/>
      <c r="Q292" s="6225"/>
      <c r="R292" s="426"/>
      <c r="S292" s="420"/>
      <c r="T292" s="420"/>
      <c r="U292" s="854"/>
      <c r="V292" s="6190" t="s">
        <v>1368</v>
      </c>
      <c r="W292" s="6191"/>
      <c r="X292" s="435" t="e">
        <f>IF(V290=0,"",VLOOKUP(V290,'Tablas Magia'!$D$6:$Z$680,7,FALSE))</f>
        <v>#N/A</v>
      </c>
      <c r="Y292" s="435" t="e">
        <f>IF(V290=0,"",VLOOKUP(V290,'Tablas Magia'!$D$6:$Z$680,11,FALSE))</f>
        <v>#N/A</v>
      </c>
      <c r="Z292" s="436" t="e">
        <f>IF(V290=0,"",VLOOKUP(V290,'Tablas Magia'!$D$6:$Z$680,15,FALSE))</f>
        <v>#N/A</v>
      </c>
      <c r="AA292" s="6192" t="e">
        <f>IF(V290=0,"",VLOOKUP(V290,'Tablas Magia'!$D$6:$Z$680,19,FALSE))</f>
        <v>#N/A</v>
      </c>
      <c r="AB292" s="6193"/>
      <c r="AC292" s="6193"/>
      <c r="AD292" s="6193"/>
      <c r="AE292" s="6193"/>
      <c r="AF292" s="6193"/>
      <c r="AG292" s="6193"/>
      <c r="AH292" s="6193"/>
      <c r="AI292" s="6193"/>
      <c r="AJ292" s="6194"/>
      <c r="AK292" s="426"/>
      <c r="AL292" s="420"/>
    </row>
    <row r="293" spans="1:38" ht="12" customHeight="1" x14ac:dyDescent="0.2">
      <c r="A293" s="420"/>
      <c r="B293" s="854"/>
      <c r="C293" s="6185" t="s">
        <v>3233</v>
      </c>
      <c r="D293" s="6186"/>
      <c r="E293" s="2764" t="e">
        <f>IF(C290=0,"",VLOOKUP(C290,'Tablas Magia'!$D$6:$Z$680,8,FALSE))</f>
        <v>#N/A</v>
      </c>
      <c r="F293" s="2764" t="e">
        <f>IF(C290=0,"",VLOOKUP(C290,'Tablas Magia'!$D$6:$Z$680,12,FALSE))</f>
        <v>#N/A</v>
      </c>
      <c r="G293" s="438" t="e">
        <f>IF(C290=0,"",VLOOKUP(C290,'Tablas Magia'!$D$6:$Z$680,16,FALSE))</f>
        <v>#N/A</v>
      </c>
      <c r="H293" s="6187" t="e">
        <f>IF(C290=0,"",VLOOKUP(C290,'Tablas Magia'!$D$6:$Z$680,20,FALSE))</f>
        <v>#N/A</v>
      </c>
      <c r="I293" s="6217"/>
      <c r="J293" s="6217"/>
      <c r="K293" s="6217"/>
      <c r="L293" s="6217"/>
      <c r="M293" s="6217"/>
      <c r="N293" s="6217"/>
      <c r="O293" s="6217"/>
      <c r="P293" s="6217"/>
      <c r="Q293" s="6189"/>
      <c r="R293" s="426"/>
      <c r="S293" s="420"/>
      <c r="T293" s="420"/>
      <c r="U293" s="854"/>
      <c r="V293" s="6185" t="s">
        <v>3233</v>
      </c>
      <c r="W293" s="6186"/>
      <c r="X293" s="437" t="e">
        <f>IF(V290=0,"",VLOOKUP(V290,'Tablas Magia'!$D$6:$Z$680,8,FALSE))</f>
        <v>#N/A</v>
      </c>
      <c r="Y293" s="437" t="e">
        <f>IF(V290=0,"",VLOOKUP(V290,'Tablas Magia'!$D$6:$Z$680,12,FALSE))</f>
        <v>#N/A</v>
      </c>
      <c r="Z293" s="438" t="e">
        <f>IF(V290=0,"",VLOOKUP(V290,'Tablas Magia'!$D$6:$Z$680,16,FALSE))</f>
        <v>#N/A</v>
      </c>
      <c r="AA293" s="6187" t="e">
        <f>IF(V290=0,"",VLOOKUP(V290,'Tablas Magia'!$D$6:$Z$680,20,FALSE))</f>
        <v>#N/A</v>
      </c>
      <c r="AB293" s="6188"/>
      <c r="AC293" s="6188"/>
      <c r="AD293" s="6188"/>
      <c r="AE293" s="6188"/>
      <c r="AF293" s="6188"/>
      <c r="AG293" s="6188"/>
      <c r="AH293" s="6188"/>
      <c r="AI293" s="6188"/>
      <c r="AJ293" s="6189"/>
      <c r="AK293" s="426"/>
      <c r="AL293" s="420"/>
    </row>
    <row r="294" spans="1:38" ht="12" customHeight="1" x14ac:dyDescent="0.2">
      <c r="A294" s="420"/>
      <c r="B294" s="854"/>
      <c r="C294" s="6190" t="s">
        <v>3234</v>
      </c>
      <c r="D294" s="6191"/>
      <c r="E294" s="2763" t="e">
        <f>IF(C290=0,"",VLOOKUP(C290,'Tablas Magia'!$D$6:$Z$680,9,FALSE))</f>
        <v>#N/A</v>
      </c>
      <c r="F294" s="2763" t="e">
        <f>IF(C290=0,"",VLOOKUP(C290,'Tablas Magia'!$D$6:$Z$680,13,FALSE))</f>
        <v>#N/A</v>
      </c>
      <c r="G294" s="436" t="e">
        <f>IF(C290=0,"",VLOOKUP(C290,'Tablas Magia'!$D$6:$Z$680,17,FALSE))</f>
        <v>#N/A</v>
      </c>
      <c r="H294" s="6192" t="e">
        <f>IF(C290=0,"",VLOOKUP(C290,'Tablas Magia'!$D$6:$Z$680,21,FALSE))</f>
        <v>#N/A</v>
      </c>
      <c r="I294" s="6216"/>
      <c r="J294" s="6216"/>
      <c r="K294" s="6216"/>
      <c r="L294" s="6216"/>
      <c r="M294" s="6216"/>
      <c r="N294" s="6216"/>
      <c r="O294" s="6216"/>
      <c r="P294" s="6216"/>
      <c r="Q294" s="6194"/>
      <c r="R294" s="426"/>
      <c r="S294" s="420"/>
      <c r="T294" s="420"/>
      <c r="U294" s="854"/>
      <c r="V294" s="6190" t="s">
        <v>3234</v>
      </c>
      <c r="W294" s="6191"/>
      <c r="X294" s="435" t="e">
        <f>IF(V290=0,"",VLOOKUP(V290,'Tablas Magia'!$D$6:$Z$680,9,FALSE))</f>
        <v>#N/A</v>
      </c>
      <c r="Y294" s="435" t="e">
        <f>IF(V290=0,"",VLOOKUP(V290,'Tablas Magia'!$D$6:$Z$680,13,FALSE))</f>
        <v>#N/A</v>
      </c>
      <c r="Z294" s="436" t="e">
        <f>IF(V290=0,"",VLOOKUP(V290,'Tablas Magia'!$D$6:$Z$680,17,FALSE))</f>
        <v>#N/A</v>
      </c>
      <c r="AA294" s="6192" t="e">
        <f>IF(V290=0,"",VLOOKUP(V290,'Tablas Magia'!$D$6:$Z$680,21,FALSE))</f>
        <v>#N/A</v>
      </c>
      <c r="AB294" s="6193"/>
      <c r="AC294" s="6193"/>
      <c r="AD294" s="6193"/>
      <c r="AE294" s="6193"/>
      <c r="AF294" s="6193"/>
      <c r="AG294" s="6193"/>
      <c r="AH294" s="6193"/>
      <c r="AI294" s="6193"/>
      <c r="AJ294" s="6194"/>
      <c r="AK294" s="426"/>
      <c r="AL294" s="420"/>
    </row>
    <row r="295" spans="1:38" ht="12" customHeight="1" thickBot="1" x14ac:dyDescent="0.25">
      <c r="A295" s="420"/>
      <c r="B295" s="854"/>
      <c r="C295" s="6200" t="s">
        <v>3235</v>
      </c>
      <c r="D295" s="6201"/>
      <c r="E295" s="439" t="e">
        <f>IF(C290=0,"",VLOOKUP(C290,'Tablas Magia'!$D$6:$Z$680,10,FALSE))</f>
        <v>#N/A</v>
      </c>
      <c r="F295" s="439" t="e">
        <f>IF(C290=0,"",VLOOKUP(C290,'Tablas Magia'!$D$6:$Z$680,14,FALSE))</f>
        <v>#N/A</v>
      </c>
      <c r="G295" s="440" t="e">
        <f>IF(C290=0,"",VLOOKUP(C290,'Tablas Magia'!$D$6:$Z$680,18,FALSE))</f>
        <v>#N/A</v>
      </c>
      <c r="H295" s="6202" t="e">
        <f>IF(C290=0,"",VLOOKUP(C290,'Tablas Magia'!$D$6:$Z$680,22,FALSE))</f>
        <v>#N/A</v>
      </c>
      <c r="I295" s="6203"/>
      <c r="J295" s="6203"/>
      <c r="K295" s="6203"/>
      <c r="L295" s="6203"/>
      <c r="M295" s="6203"/>
      <c r="N295" s="6203"/>
      <c r="O295" s="6203"/>
      <c r="P295" s="6203"/>
      <c r="Q295" s="6204"/>
      <c r="R295" s="426"/>
      <c r="S295" s="420"/>
      <c r="T295" s="420"/>
      <c r="U295" s="854"/>
      <c r="V295" s="6200" t="s">
        <v>3235</v>
      </c>
      <c r="W295" s="6201"/>
      <c r="X295" s="439" t="e">
        <f>IF(V290=0,"",VLOOKUP(V290,'Tablas Magia'!$D$6:$Z$680,10,FALSE))</f>
        <v>#N/A</v>
      </c>
      <c r="Y295" s="439" t="e">
        <f>IF(V290=0,"",VLOOKUP(V290,'Tablas Magia'!$D$6:$Z$680,14,FALSE))</f>
        <v>#N/A</v>
      </c>
      <c r="Z295" s="440" t="e">
        <f>IF(V290=0,"",VLOOKUP(V290,'Tablas Magia'!$D$6:$Z$680,18,FALSE))</f>
        <v>#N/A</v>
      </c>
      <c r="AA295" s="6202" t="e">
        <f>IF(V290=0,"",VLOOKUP(V290,'Tablas Magia'!$D$6:$Z$680,22,FALSE))</f>
        <v>#N/A</v>
      </c>
      <c r="AB295" s="6203"/>
      <c r="AC295" s="6203"/>
      <c r="AD295" s="6203"/>
      <c r="AE295" s="6203"/>
      <c r="AF295" s="6203"/>
      <c r="AG295" s="6203"/>
      <c r="AH295" s="6203"/>
      <c r="AI295" s="6203"/>
      <c r="AJ295" s="6204"/>
      <c r="AK295" s="426"/>
      <c r="AL295" s="420"/>
    </row>
    <row r="296" spans="1:38" ht="12" customHeight="1" x14ac:dyDescent="0.2">
      <c r="A296" s="420"/>
      <c r="B296" s="854"/>
      <c r="C296" s="6205" t="e">
        <f>IF(C290=0,"",VLOOKUP(C290,'Tablas Magia'!$D$6:$Z$680,23,FALSE))</f>
        <v>#N/A</v>
      </c>
      <c r="D296" s="6206"/>
      <c r="E296" s="6206"/>
      <c r="F296" s="6206"/>
      <c r="G296" s="6206"/>
      <c r="H296" s="6206"/>
      <c r="I296" s="6206"/>
      <c r="J296" s="6206"/>
      <c r="K296" s="6206"/>
      <c r="L296" s="6206"/>
      <c r="M296" s="6206"/>
      <c r="N296" s="6206"/>
      <c r="O296" s="6206"/>
      <c r="P296" s="6206"/>
      <c r="Q296" s="6207"/>
      <c r="R296" s="426"/>
      <c r="S296" s="420"/>
      <c r="T296" s="420"/>
      <c r="U296" s="854"/>
      <c r="V296" s="6205" t="e">
        <f>IF(V290=0,"",VLOOKUP(V290,'Tablas Magia'!$D$6:$Z$680,23,FALSE))</f>
        <v>#N/A</v>
      </c>
      <c r="W296" s="6206"/>
      <c r="X296" s="6206"/>
      <c r="Y296" s="6206"/>
      <c r="Z296" s="6206"/>
      <c r="AA296" s="6206"/>
      <c r="AB296" s="6206"/>
      <c r="AC296" s="6206"/>
      <c r="AD296" s="6206"/>
      <c r="AE296" s="6206"/>
      <c r="AF296" s="6206"/>
      <c r="AG296" s="6206"/>
      <c r="AH296" s="6206"/>
      <c r="AI296" s="6206"/>
      <c r="AJ296" s="6207"/>
      <c r="AK296" s="426"/>
      <c r="AL296" s="420"/>
    </row>
    <row r="297" spans="1:38" ht="12" customHeight="1" x14ac:dyDescent="0.2">
      <c r="A297" s="420"/>
      <c r="B297" s="854"/>
      <c r="C297" s="6208"/>
      <c r="D297" s="6218"/>
      <c r="E297" s="6218"/>
      <c r="F297" s="6218"/>
      <c r="G297" s="6218"/>
      <c r="H297" s="6218"/>
      <c r="I297" s="6218"/>
      <c r="J297" s="6218"/>
      <c r="K297" s="6218"/>
      <c r="L297" s="6218"/>
      <c r="M297" s="6218"/>
      <c r="N297" s="6218"/>
      <c r="O297" s="6218"/>
      <c r="P297" s="6218"/>
      <c r="Q297" s="6210"/>
      <c r="R297" s="426"/>
      <c r="S297" s="420"/>
      <c r="T297" s="420"/>
      <c r="U297" s="854"/>
      <c r="V297" s="6208"/>
      <c r="W297" s="6209"/>
      <c r="X297" s="6209"/>
      <c r="Y297" s="6209"/>
      <c r="Z297" s="6209"/>
      <c r="AA297" s="6209"/>
      <c r="AB297" s="6209"/>
      <c r="AC297" s="6209"/>
      <c r="AD297" s="6209"/>
      <c r="AE297" s="6209"/>
      <c r="AF297" s="6209"/>
      <c r="AG297" s="6209"/>
      <c r="AH297" s="6209"/>
      <c r="AI297" s="6209"/>
      <c r="AJ297" s="6210"/>
      <c r="AK297" s="426"/>
      <c r="AL297" s="420"/>
    </row>
    <row r="298" spans="1:38" ht="12" customHeight="1" x14ac:dyDescent="0.2">
      <c r="A298" s="420"/>
      <c r="B298" s="854"/>
      <c r="C298" s="6208"/>
      <c r="D298" s="6218"/>
      <c r="E298" s="6218"/>
      <c r="F298" s="6218"/>
      <c r="G298" s="6218"/>
      <c r="H298" s="6218"/>
      <c r="I298" s="6218"/>
      <c r="J298" s="6218"/>
      <c r="K298" s="6218"/>
      <c r="L298" s="6218"/>
      <c r="M298" s="6218"/>
      <c r="N298" s="6218"/>
      <c r="O298" s="6218"/>
      <c r="P298" s="6218"/>
      <c r="Q298" s="6210"/>
      <c r="R298" s="426"/>
      <c r="S298" s="420"/>
      <c r="T298" s="420"/>
      <c r="U298" s="854"/>
      <c r="V298" s="6208"/>
      <c r="W298" s="6209"/>
      <c r="X298" s="6209"/>
      <c r="Y298" s="6209"/>
      <c r="Z298" s="6209"/>
      <c r="AA298" s="6209"/>
      <c r="AB298" s="6209"/>
      <c r="AC298" s="6209"/>
      <c r="AD298" s="6209"/>
      <c r="AE298" s="6209"/>
      <c r="AF298" s="6209"/>
      <c r="AG298" s="6209"/>
      <c r="AH298" s="6209"/>
      <c r="AI298" s="6209"/>
      <c r="AJ298" s="6210"/>
      <c r="AK298" s="426"/>
      <c r="AL298" s="420"/>
    </row>
    <row r="299" spans="1:38" ht="12" customHeight="1" thickBot="1" x14ac:dyDescent="0.25">
      <c r="A299" s="420"/>
      <c r="B299" s="854"/>
      <c r="C299" s="6211"/>
      <c r="D299" s="6212"/>
      <c r="E299" s="6212"/>
      <c r="F299" s="6212"/>
      <c r="G299" s="6212"/>
      <c r="H299" s="6212"/>
      <c r="I299" s="6212"/>
      <c r="J299" s="6212"/>
      <c r="K299" s="6212"/>
      <c r="L299" s="6212"/>
      <c r="M299" s="6212"/>
      <c r="N299" s="6212"/>
      <c r="O299" s="6212"/>
      <c r="P299" s="6212"/>
      <c r="Q299" s="6213"/>
      <c r="R299" s="426"/>
      <c r="S299" s="420"/>
      <c r="T299" s="420"/>
      <c r="U299" s="854"/>
      <c r="V299" s="6211"/>
      <c r="W299" s="6212"/>
      <c r="X299" s="6212"/>
      <c r="Y299" s="6212"/>
      <c r="Z299" s="6212"/>
      <c r="AA299" s="6212"/>
      <c r="AB299" s="6212"/>
      <c r="AC299" s="6212"/>
      <c r="AD299" s="6212"/>
      <c r="AE299" s="6212"/>
      <c r="AF299" s="6212"/>
      <c r="AG299" s="6212"/>
      <c r="AH299" s="6212"/>
      <c r="AI299" s="6212"/>
      <c r="AJ299" s="6213"/>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19"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20"/>
      <c r="E301" s="6220"/>
      <c r="F301" s="6220"/>
      <c r="G301" s="6221"/>
      <c r="H301" s="430" t="s">
        <v>1328</v>
      </c>
      <c r="I301" s="431">
        <f>B301</f>
        <v>86</v>
      </c>
      <c r="J301" s="6222" t="s">
        <v>6329</v>
      </c>
      <c r="K301" s="6222"/>
      <c r="L301" s="6222"/>
      <c r="M301" s="6183" t="e">
        <f>IF(C301=0,"",VLOOKUP(C301,'Tablas Magia'!$D$6:$Z$680,2,FALSE))</f>
        <v>#N/A</v>
      </c>
      <c r="N301" s="6183"/>
      <c r="O301" s="1853"/>
      <c r="P301" s="6214" t="str">
        <f>IFERROR(IF(M301="Libre Acceso","Aprendido",IF(IFERROR(VLOOKUP(M301,Místicos!$C$15:$H$25,6,0)&gt;=I301,FALSE),"Aprendido",IF(IFERROR(VLOOKUP(M301,Místicos!$E$15:$H$25,4,0)&gt;=I301,FALSE),"Aprendido",""))),"")</f>
        <v/>
      </c>
      <c r="Q301" s="6215"/>
      <c r="R301" s="426"/>
      <c r="S301" s="420"/>
      <c r="T301" s="420"/>
      <c r="U301" s="854">
        <f>U290+2</f>
        <v>96</v>
      </c>
      <c r="V301" s="6219"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30"/>
      <c r="X301" s="6230"/>
      <c r="Y301" s="6230"/>
      <c r="Z301" s="6230"/>
      <c r="AA301" s="430" t="s">
        <v>1328</v>
      </c>
      <c r="AB301" s="431">
        <f>U301</f>
        <v>96</v>
      </c>
      <c r="AC301" s="6222" t="s">
        <v>6329</v>
      </c>
      <c r="AD301" s="6222"/>
      <c r="AE301" s="6222"/>
      <c r="AF301" s="6183" t="e">
        <f>IF(V301=0,"",VLOOKUP(V301,'Tablas Magia'!$D$6:$Z$680,2,FALSE))</f>
        <v>#N/A</v>
      </c>
      <c r="AG301" s="6183"/>
      <c r="AH301" s="1853"/>
      <c r="AI301" s="6214" t="str">
        <f>IFERROR(IF(AF301="Libre Acceso","Aprendido",IF(IFERROR(VLOOKUP(AF301,Místicos!$C$15:$H$25,6,0)&gt;=AB301,FALSE),"Aprendido",IF(IFERROR(VLOOKUP(AF301,Místicos!$E$15:$H$25,4,0)&gt;=AB301,FALSE),"Aprendido",""))),"")</f>
        <v/>
      </c>
      <c r="AJ301" s="6215"/>
      <c r="AK301" s="426"/>
      <c r="AL301" s="420"/>
    </row>
    <row r="302" spans="1:38" ht="12" customHeight="1" x14ac:dyDescent="0.2">
      <c r="A302" s="420"/>
      <c r="B302" s="854"/>
      <c r="C302" s="6198" t="s">
        <v>6330</v>
      </c>
      <c r="D302" s="6228"/>
      <c r="E302" s="2760" t="s">
        <v>6331</v>
      </c>
      <c r="F302" s="2760" t="s">
        <v>1512</v>
      </c>
      <c r="G302" s="2760" t="s">
        <v>2862</v>
      </c>
      <c r="H302" s="2761" t="s">
        <v>1840</v>
      </c>
      <c r="I302" s="6226" t="e">
        <f>IF(C301=0,"",VLOOKUP(C301,'Tablas Magia'!$D$6:$Z$680,5,FALSE))</f>
        <v>#N/A</v>
      </c>
      <c r="J302" s="6226"/>
      <c r="K302" s="6229" t="s">
        <v>6332</v>
      </c>
      <c r="L302" s="6229"/>
      <c r="M302" s="6226" t="e">
        <f>IF(C301=0,"",VLOOKUP(C301,'Tablas Magia'!$D$6:$Z$680,6,FALSE))</f>
        <v>#N/A</v>
      </c>
      <c r="N302" s="6226"/>
      <c r="O302" s="6227" t="s">
        <v>6333</v>
      </c>
      <c r="P302" s="6227"/>
      <c r="Q302" s="2762" t="e">
        <f>IF(C301=0,"",VLOOKUP(C301,'Tablas Magia'!$D$6:$Z$680,4,FALSE))</f>
        <v>#N/A</v>
      </c>
      <c r="R302" s="426"/>
      <c r="S302" s="420"/>
      <c r="T302" s="420"/>
      <c r="U302" s="854"/>
      <c r="V302" s="6198" t="s">
        <v>6330</v>
      </c>
      <c r="W302" s="6231"/>
      <c r="X302" s="1862" t="s">
        <v>6331</v>
      </c>
      <c r="Y302" s="1862" t="s">
        <v>1512</v>
      </c>
      <c r="Z302" s="1862" t="s">
        <v>2862</v>
      </c>
      <c r="AA302" s="1863" t="s">
        <v>1840</v>
      </c>
      <c r="AB302" s="6232" t="e">
        <f>IF(V301=0,"",VLOOKUP(V301,'Tablas Magia'!$D$6:$Z$680,5,FALSE))</f>
        <v>#N/A</v>
      </c>
      <c r="AC302" s="6232"/>
      <c r="AD302" s="6233" t="s">
        <v>6332</v>
      </c>
      <c r="AE302" s="6233"/>
      <c r="AF302" s="6232" t="e">
        <f>IF(V301=0,"",VLOOKUP(V301,'Tablas Magia'!$D$6:$Z$680,6,FALSE))</f>
        <v>#N/A</v>
      </c>
      <c r="AG302" s="6232"/>
      <c r="AH302" s="6234" t="s">
        <v>6333</v>
      </c>
      <c r="AI302" s="6234"/>
      <c r="AJ302" s="1864" t="e">
        <f>IF(V301=0,"",VLOOKUP(V301,'Tablas Magia'!$D$6:$Z$680,4,FALSE))</f>
        <v>#N/A</v>
      </c>
      <c r="AK302" s="426"/>
      <c r="AL302" s="420"/>
    </row>
    <row r="303" spans="1:38" ht="12" customHeight="1" x14ac:dyDescent="0.2">
      <c r="A303" s="420"/>
      <c r="B303" s="854"/>
      <c r="C303" s="6238" t="s">
        <v>1368</v>
      </c>
      <c r="D303" s="6239"/>
      <c r="E303" s="2763" t="e">
        <f>IF(C301=0,"",VLOOKUP(C301,'Tablas Magia'!$D$6:$Z$680,7,FALSE))</f>
        <v>#N/A</v>
      </c>
      <c r="F303" s="2763" t="e">
        <f>IF(C301=0,"",VLOOKUP(C301,'Tablas Magia'!$D$6:$Z$680,11,FALSE))</f>
        <v>#N/A</v>
      </c>
      <c r="G303" s="436" t="e">
        <f>IF(C301=0,"",VLOOKUP(C301,'Tablas Magia'!$D$6:$Z$680,15,FALSE))</f>
        <v>#N/A</v>
      </c>
      <c r="H303" s="6223" t="e">
        <f>IF(C301=0,"",VLOOKUP(C301,'Tablas Magia'!$D$6:$Z$680,19,FALSE))</f>
        <v>#N/A</v>
      </c>
      <c r="I303" s="6224"/>
      <c r="J303" s="6224"/>
      <c r="K303" s="6224"/>
      <c r="L303" s="6224"/>
      <c r="M303" s="6224"/>
      <c r="N303" s="6224"/>
      <c r="O303" s="6224"/>
      <c r="P303" s="6224"/>
      <c r="Q303" s="6225"/>
      <c r="R303" s="426"/>
      <c r="S303" s="420"/>
      <c r="T303" s="420"/>
      <c r="U303" s="854"/>
      <c r="V303" s="6190" t="s">
        <v>1368</v>
      </c>
      <c r="W303" s="6191"/>
      <c r="X303" s="435" t="e">
        <f>IF(V301=0,"",VLOOKUP(V301,'Tablas Magia'!$D$6:$Z$680,7,FALSE))</f>
        <v>#N/A</v>
      </c>
      <c r="Y303" s="435" t="e">
        <f>IF(V301=0,"",VLOOKUP(V301,'Tablas Magia'!$D$6:$Z$680,11,FALSE))</f>
        <v>#N/A</v>
      </c>
      <c r="Z303" s="436" t="e">
        <f>IF(V301=0,"",VLOOKUP(V301,'Tablas Magia'!$D$6:$Z$680,15,FALSE))</f>
        <v>#N/A</v>
      </c>
      <c r="AA303" s="6192" t="e">
        <f>IF(V301=0,"",VLOOKUP(V301,'Tablas Magia'!$D$6:$Z$680,19,FALSE))</f>
        <v>#N/A</v>
      </c>
      <c r="AB303" s="6193"/>
      <c r="AC303" s="6193"/>
      <c r="AD303" s="6193"/>
      <c r="AE303" s="6193"/>
      <c r="AF303" s="6193"/>
      <c r="AG303" s="6193"/>
      <c r="AH303" s="6193"/>
      <c r="AI303" s="6193"/>
      <c r="AJ303" s="6194"/>
      <c r="AK303" s="426"/>
      <c r="AL303" s="420"/>
    </row>
    <row r="304" spans="1:38" ht="12" customHeight="1" x14ac:dyDescent="0.2">
      <c r="A304" s="420"/>
      <c r="B304" s="854"/>
      <c r="C304" s="6185" t="s">
        <v>3233</v>
      </c>
      <c r="D304" s="6186"/>
      <c r="E304" s="2764" t="e">
        <f>IF(C301=0,"",VLOOKUP(C301,'Tablas Magia'!$D$6:$Z$680,8,FALSE))</f>
        <v>#N/A</v>
      </c>
      <c r="F304" s="2764" t="e">
        <f>IF(C301=0,"",VLOOKUP(C301,'Tablas Magia'!$D$6:$Z$680,12,FALSE))</f>
        <v>#N/A</v>
      </c>
      <c r="G304" s="438" t="e">
        <f>IF(C301=0,"",VLOOKUP(C301,'Tablas Magia'!$D$6:$Z$680,16,FALSE))</f>
        <v>#N/A</v>
      </c>
      <c r="H304" s="6187" t="e">
        <f>IF(C301=0,"",VLOOKUP(C301,'Tablas Magia'!$D$6:$Z$680,20,FALSE))</f>
        <v>#N/A</v>
      </c>
      <c r="I304" s="6217"/>
      <c r="J304" s="6217"/>
      <c r="K304" s="6217"/>
      <c r="L304" s="6217"/>
      <c r="M304" s="6217"/>
      <c r="N304" s="6217"/>
      <c r="O304" s="6217"/>
      <c r="P304" s="6217"/>
      <c r="Q304" s="6189"/>
      <c r="R304" s="426"/>
      <c r="S304" s="420"/>
      <c r="T304" s="420"/>
      <c r="U304" s="854"/>
      <c r="V304" s="6185" t="s">
        <v>3233</v>
      </c>
      <c r="W304" s="6186"/>
      <c r="X304" s="437" t="e">
        <f>IF(V301=0,"",VLOOKUP(V301,'Tablas Magia'!$D$6:$Z$680,8,FALSE))</f>
        <v>#N/A</v>
      </c>
      <c r="Y304" s="437" t="e">
        <f>IF(V301=0,"",VLOOKUP(V301,'Tablas Magia'!$D$6:$Z$680,12,FALSE))</f>
        <v>#N/A</v>
      </c>
      <c r="Z304" s="438" t="e">
        <f>IF(V301=0,"",VLOOKUP(V301,'Tablas Magia'!$D$6:$Z$680,16,FALSE))</f>
        <v>#N/A</v>
      </c>
      <c r="AA304" s="6187" t="e">
        <f>IF(V301=0,"",VLOOKUP(V301,'Tablas Magia'!$D$6:$Z$680,20,FALSE))</f>
        <v>#N/A</v>
      </c>
      <c r="AB304" s="6188"/>
      <c r="AC304" s="6188"/>
      <c r="AD304" s="6188"/>
      <c r="AE304" s="6188"/>
      <c r="AF304" s="6188"/>
      <c r="AG304" s="6188"/>
      <c r="AH304" s="6188"/>
      <c r="AI304" s="6188"/>
      <c r="AJ304" s="6189"/>
      <c r="AK304" s="426"/>
      <c r="AL304" s="420"/>
    </row>
    <row r="305" spans="1:38" ht="12" customHeight="1" x14ac:dyDescent="0.2">
      <c r="A305" s="420"/>
      <c r="B305" s="854"/>
      <c r="C305" s="6190" t="s">
        <v>3234</v>
      </c>
      <c r="D305" s="6191"/>
      <c r="E305" s="2763" t="e">
        <f>IF(C301=0,"",VLOOKUP(C301,'Tablas Magia'!$D$6:$Z$680,9,FALSE))</f>
        <v>#N/A</v>
      </c>
      <c r="F305" s="2763" t="e">
        <f>IF(C301=0,"",VLOOKUP(C301,'Tablas Magia'!$D$6:$Z$680,13,FALSE))</f>
        <v>#N/A</v>
      </c>
      <c r="G305" s="436" t="e">
        <f>IF(C301=0,"",VLOOKUP(C301,'Tablas Magia'!$D$6:$Z$680,17,FALSE))</f>
        <v>#N/A</v>
      </c>
      <c r="H305" s="6192" t="e">
        <f>IF(C301=0,"",VLOOKUP(C301,'Tablas Magia'!$D$6:$Z$680,21,FALSE))</f>
        <v>#N/A</v>
      </c>
      <c r="I305" s="6216"/>
      <c r="J305" s="6216"/>
      <c r="K305" s="6216"/>
      <c r="L305" s="6216"/>
      <c r="M305" s="6216"/>
      <c r="N305" s="6216"/>
      <c r="O305" s="6216"/>
      <c r="P305" s="6216"/>
      <c r="Q305" s="6194"/>
      <c r="R305" s="426"/>
      <c r="S305" s="420"/>
      <c r="T305" s="420"/>
      <c r="U305" s="854"/>
      <c r="V305" s="6190" t="s">
        <v>3234</v>
      </c>
      <c r="W305" s="6191"/>
      <c r="X305" s="435" t="e">
        <f>IF(V301=0,"",VLOOKUP(V301,'Tablas Magia'!$D$6:$Z$680,9,FALSE))</f>
        <v>#N/A</v>
      </c>
      <c r="Y305" s="435" t="e">
        <f>IF(V301=0,"",VLOOKUP(V301,'Tablas Magia'!$D$6:$Z$680,13,FALSE))</f>
        <v>#N/A</v>
      </c>
      <c r="Z305" s="436" t="e">
        <f>IF(V301=0,"",VLOOKUP(V301,'Tablas Magia'!$D$6:$Z$680,17,FALSE))</f>
        <v>#N/A</v>
      </c>
      <c r="AA305" s="6192" t="e">
        <f>IF(V301=0,"",VLOOKUP(V301,'Tablas Magia'!$D$6:$Z$680,21,FALSE))</f>
        <v>#N/A</v>
      </c>
      <c r="AB305" s="6193"/>
      <c r="AC305" s="6193"/>
      <c r="AD305" s="6193"/>
      <c r="AE305" s="6193"/>
      <c r="AF305" s="6193"/>
      <c r="AG305" s="6193"/>
      <c r="AH305" s="6193"/>
      <c r="AI305" s="6193"/>
      <c r="AJ305" s="6194"/>
      <c r="AK305" s="426"/>
      <c r="AL305" s="420"/>
    </row>
    <row r="306" spans="1:38" ht="12" customHeight="1" thickBot="1" x14ac:dyDescent="0.25">
      <c r="A306" s="420"/>
      <c r="B306" s="854"/>
      <c r="C306" s="6200" t="s">
        <v>3235</v>
      </c>
      <c r="D306" s="6201"/>
      <c r="E306" s="439" t="e">
        <f>IF(C301=0,"",VLOOKUP(C301,'Tablas Magia'!$D$6:$Z$680,10,FALSE))</f>
        <v>#N/A</v>
      </c>
      <c r="F306" s="439" t="e">
        <f>IF(C301=0,"",VLOOKUP(C301,'Tablas Magia'!$D$6:$Z$680,14,FALSE))</f>
        <v>#N/A</v>
      </c>
      <c r="G306" s="440" t="e">
        <f>IF(C301=0,"",VLOOKUP(C301,'Tablas Magia'!$D$6:$Z$680,18,FALSE))</f>
        <v>#N/A</v>
      </c>
      <c r="H306" s="6202" t="e">
        <f>IF(C301=0,"",VLOOKUP(C301,'Tablas Magia'!$D$6:$Z$680,22,FALSE))</f>
        <v>#N/A</v>
      </c>
      <c r="I306" s="6203"/>
      <c r="J306" s="6203"/>
      <c r="K306" s="6203"/>
      <c r="L306" s="6203"/>
      <c r="M306" s="6203"/>
      <c r="N306" s="6203"/>
      <c r="O306" s="6203"/>
      <c r="P306" s="6203"/>
      <c r="Q306" s="6204"/>
      <c r="R306" s="426"/>
      <c r="S306" s="420"/>
      <c r="T306" s="420"/>
      <c r="U306" s="854"/>
      <c r="V306" s="6200" t="s">
        <v>3235</v>
      </c>
      <c r="W306" s="6201"/>
      <c r="X306" s="439" t="e">
        <f>IF(V301=0,"",VLOOKUP(V301,'Tablas Magia'!$D$6:$Z$680,10,FALSE))</f>
        <v>#N/A</v>
      </c>
      <c r="Y306" s="439" t="e">
        <f>IF(V301=0,"",VLOOKUP(V301,'Tablas Magia'!$D$6:$Z$680,14,FALSE))</f>
        <v>#N/A</v>
      </c>
      <c r="Z306" s="440" t="e">
        <f>IF(V301=0,"",VLOOKUP(V301,'Tablas Magia'!$D$6:$Z$680,18,FALSE))</f>
        <v>#N/A</v>
      </c>
      <c r="AA306" s="6202" t="e">
        <f>IF(V301=0,"",VLOOKUP(V301,'Tablas Magia'!$D$6:$Z$680,22,FALSE))</f>
        <v>#N/A</v>
      </c>
      <c r="AB306" s="6203"/>
      <c r="AC306" s="6203"/>
      <c r="AD306" s="6203"/>
      <c r="AE306" s="6203"/>
      <c r="AF306" s="6203"/>
      <c r="AG306" s="6203"/>
      <c r="AH306" s="6203"/>
      <c r="AI306" s="6203"/>
      <c r="AJ306" s="6204"/>
      <c r="AK306" s="426"/>
      <c r="AL306" s="420"/>
    </row>
    <row r="307" spans="1:38" ht="12" customHeight="1" x14ac:dyDescent="0.2">
      <c r="A307" s="420"/>
      <c r="B307" s="854"/>
      <c r="C307" s="6205" t="e">
        <f>IF(C301=0,"",VLOOKUP(C301,'Tablas Magia'!$D$6:$Z$680,23,FALSE))</f>
        <v>#N/A</v>
      </c>
      <c r="D307" s="6206"/>
      <c r="E307" s="6206"/>
      <c r="F307" s="6206"/>
      <c r="G307" s="6206"/>
      <c r="H307" s="6206"/>
      <c r="I307" s="6206"/>
      <c r="J307" s="6206"/>
      <c r="K307" s="6206"/>
      <c r="L307" s="6206"/>
      <c r="M307" s="6206"/>
      <c r="N307" s="6206"/>
      <c r="O307" s="6206"/>
      <c r="P307" s="6206"/>
      <c r="Q307" s="6207"/>
      <c r="R307" s="426"/>
      <c r="S307" s="420"/>
      <c r="T307" s="420"/>
      <c r="U307" s="854"/>
      <c r="V307" s="6205" t="e">
        <f>IF(V301=0,"",VLOOKUP(V301,'Tablas Magia'!$D$6:$Z$680,23,FALSE))</f>
        <v>#N/A</v>
      </c>
      <c r="W307" s="6206"/>
      <c r="X307" s="6206"/>
      <c r="Y307" s="6206"/>
      <c r="Z307" s="6206"/>
      <c r="AA307" s="6206"/>
      <c r="AB307" s="6206"/>
      <c r="AC307" s="6206"/>
      <c r="AD307" s="6206"/>
      <c r="AE307" s="6206"/>
      <c r="AF307" s="6206"/>
      <c r="AG307" s="6206"/>
      <c r="AH307" s="6206"/>
      <c r="AI307" s="6206"/>
      <c r="AJ307" s="6207"/>
      <c r="AK307" s="426"/>
      <c r="AL307" s="420"/>
    </row>
    <row r="308" spans="1:38" ht="12" customHeight="1" x14ac:dyDescent="0.2">
      <c r="A308" s="420"/>
      <c r="B308" s="854"/>
      <c r="C308" s="6208"/>
      <c r="D308" s="6218"/>
      <c r="E308" s="6218"/>
      <c r="F308" s="6218"/>
      <c r="G308" s="6218"/>
      <c r="H308" s="6218"/>
      <c r="I308" s="6218"/>
      <c r="J308" s="6218"/>
      <c r="K308" s="6218"/>
      <c r="L308" s="6218"/>
      <c r="M308" s="6218"/>
      <c r="N308" s="6218"/>
      <c r="O308" s="6218"/>
      <c r="P308" s="6218"/>
      <c r="Q308" s="6210"/>
      <c r="R308" s="426"/>
      <c r="S308" s="420"/>
      <c r="T308" s="420"/>
      <c r="U308" s="854"/>
      <c r="V308" s="6208"/>
      <c r="W308" s="6209"/>
      <c r="X308" s="6209"/>
      <c r="Y308" s="6209"/>
      <c r="Z308" s="6209"/>
      <c r="AA308" s="6209"/>
      <c r="AB308" s="6209"/>
      <c r="AC308" s="6209"/>
      <c r="AD308" s="6209"/>
      <c r="AE308" s="6209"/>
      <c r="AF308" s="6209"/>
      <c r="AG308" s="6209"/>
      <c r="AH308" s="6209"/>
      <c r="AI308" s="6209"/>
      <c r="AJ308" s="6210"/>
      <c r="AK308" s="426"/>
      <c r="AL308" s="420"/>
    </row>
    <row r="309" spans="1:38" ht="12" customHeight="1" x14ac:dyDescent="0.2">
      <c r="A309" s="420"/>
      <c r="B309" s="854"/>
      <c r="C309" s="6208"/>
      <c r="D309" s="6218"/>
      <c r="E309" s="6218"/>
      <c r="F309" s="6218"/>
      <c r="G309" s="6218"/>
      <c r="H309" s="6218"/>
      <c r="I309" s="6218"/>
      <c r="J309" s="6218"/>
      <c r="K309" s="6218"/>
      <c r="L309" s="6218"/>
      <c r="M309" s="6218"/>
      <c r="N309" s="6218"/>
      <c r="O309" s="6218"/>
      <c r="P309" s="6218"/>
      <c r="Q309" s="6210"/>
      <c r="R309" s="426"/>
      <c r="S309" s="420"/>
      <c r="T309" s="420"/>
      <c r="U309" s="854"/>
      <c r="V309" s="6208"/>
      <c r="W309" s="6209"/>
      <c r="X309" s="6209"/>
      <c r="Y309" s="6209"/>
      <c r="Z309" s="6209"/>
      <c r="AA309" s="6209"/>
      <c r="AB309" s="6209"/>
      <c r="AC309" s="6209"/>
      <c r="AD309" s="6209"/>
      <c r="AE309" s="6209"/>
      <c r="AF309" s="6209"/>
      <c r="AG309" s="6209"/>
      <c r="AH309" s="6209"/>
      <c r="AI309" s="6209"/>
      <c r="AJ309" s="6210"/>
      <c r="AK309" s="426"/>
      <c r="AL309" s="420"/>
    </row>
    <row r="310" spans="1:38" ht="12" customHeight="1" thickBot="1" x14ac:dyDescent="0.25">
      <c r="A310" s="420"/>
      <c r="B310" s="854"/>
      <c r="C310" s="6211"/>
      <c r="D310" s="6212"/>
      <c r="E310" s="6212"/>
      <c r="F310" s="6212"/>
      <c r="G310" s="6212"/>
      <c r="H310" s="6212"/>
      <c r="I310" s="6212"/>
      <c r="J310" s="6212"/>
      <c r="K310" s="6212"/>
      <c r="L310" s="6212"/>
      <c r="M310" s="6212"/>
      <c r="N310" s="6212"/>
      <c r="O310" s="6212"/>
      <c r="P310" s="6212"/>
      <c r="Q310" s="6213"/>
      <c r="R310" s="426"/>
      <c r="S310" s="420"/>
      <c r="T310" s="420"/>
      <c r="U310" s="854"/>
      <c r="V310" s="6211"/>
      <c r="W310" s="6212"/>
      <c r="X310" s="6212"/>
      <c r="Y310" s="6212"/>
      <c r="Z310" s="6212"/>
      <c r="AA310" s="6212"/>
      <c r="AB310" s="6212"/>
      <c r="AC310" s="6212"/>
      <c r="AD310" s="6212"/>
      <c r="AE310" s="6212"/>
      <c r="AF310" s="6212"/>
      <c r="AG310" s="6212"/>
      <c r="AH310" s="6212"/>
      <c r="AI310" s="6212"/>
      <c r="AJ310" s="6213"/>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19"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20"/>
      <c r="E312" s="6220"/>
      <c r="F312" s="6220"/>
      <c r="G312" s="6221"/>
      <c r="H312" s="430" t="s">
        <v>1328</v>
      </c>
      <c r="I312" s="431">
        <f>B312</f>
        <v>88</v>
      </c>
      <c r="J312" s="6222" t="s">
        <v>6329</v>
      </c>
      <c r="K312" s="6222"/>
      <c r="L312" s="6222"/>
      <c r="M312" s="6183" t="e">
        <f>IF(C312=0,"",VLOOKUP(C312,'Tablas Magia'!$D$6:$Z$680,2,FALSE))</f>
        <v>#N/A</v>
      </c>
      <c r="N312" s="6183"/>
      <c r="O312" s="1853"/>
      <c r="P312" s="6214" t="str">
        <f>IFERROR(IF(M312="Libre Acceso","Aprendido",IF(IFERROR(VLOOKUP(M312,Místicos!$C$15:$H$25,6,0)&gt;=I312,FALSE),"Aprendido",IF(IFERROR(VLOOKUP(M312,Místicos!$E$15:$H$25,4,0)&gt;=I312,FALSE),"Aprendido",""))),"")</f>
        <v/>
      </c>
      <c r="Q312" s="6215"/>
      <c r="R312" s="426"/>
      <c r="S312" s="420"/>
      <c r="T312" s="420"/>
      <c r="U312" s="854">
        <f>U301+2</f>
        <v>98</v>
      </c>
      <c r="V312" s="6219"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30"/>
      <c r="X312" s="6230"/>
      <c r="Y312" s="6230"/>
      <c r="Z312" s="6230"/>
      <c r="AA312" s="430" t="s">
        <v>1328</v>
      </c>
      <c r="AB312" s="431">
        <f>U312</f>
        <v>98</v>
      </c>
      <c r="AC312" s="6222" t="s">
        <v>6329</v>
      </c>
      <c r="AD312" s="6222"/>
      <c r="AE312" s="6222"/>
      <c r="AF312" s="6183" t="e">
        <f>IF(V312=0,"",VLOOKUP(V312,'Tablas Magia'!$D$6:$Z$680,2,FALSE))</f>
        <v>#N/A</v>
      </c>
      <c r="AG312" s="6183"/>
      <c r="AH312" s="1853"/>
      <c r="AI312" s="6214" t="str">
        <f>IFERROR(IF(AF312="Libre Acceso","Aprendido",IF(IFERROR(VLOOKUP(AF312,Místicos!$C$15:$H$25,6,0)&gt;=AB312,FALSE),"Aprendido",IF(IFERROR(VLOOKUP(AF312,Místicos!$E$15:$H$25,4,0)&gt;=AB312,FALSE),"Aprendido",""))),"")</f>
        <v/>
      </c>
      <c r="AJ312" s="6215"/>
      <c r="AK312" s="426"/>
      <c r="AL312" s="420"/>
    </row>
    <row r="313" spans="1:38" ht="12" customHeight="1" x14ac:dyDescent="0.2">
      <c r="A313" s="420"/>
      <c r="B313" s="854"/>
      <c r="C313" s="6198" t="s">
        <v>6330</v>
      </c>
      <c r="D313" s="6228"/>
      <c r="E313" s="2760" t="s">
        <v>6331</v>
      </c>
      <c r="F313" s="2760" t="s">
        <v>1512</v>
      </c>
      <c r="G313" s="2760" t="s">
        <v>2862</v>
      </c>
      <c r="H313" s="2761" t="s">
        <v>1840</v>
      </c>
      <c r="I313" s="6226" t="e">
        <f>IF(C312=0,"",VLOOKUP(C312,'Tablas Magia'!$D$6:$Z$680,5,FALSE))</f>
        <v>#N/A</v>
      </c>
      <c r="J313" s="6226"/>
      <c r="K313" s="6229" t="s">
        <v>6332</v>
      </c>
      <c r="L313" s="6229"/>
      <c r="M313" s="6226" t="e">
        <f>IF(C312=0,"",VLOOKUP(C312,'Tablas Magia'!$D$6:$Z$680,6,FALSE))</f>
        <v>#N/A</v>
      </c>
      <c r="N313" s="6226"/>
      <c r="O313" s="6227" t="s">
        <v>6333</v>
      </c>
      <c r="P313" s="6227"/>
      <c r="Q313" s="2762" t="e">
        <f>IF(C312=0,"",VLOOKUP(C312,'Tablas Magia'!$D$6:$Z$680,4,FALSE))</f>
        <v>#N/A</v>
      </c>
      <c r="R313" s="426"/>
      <c r="S313" s="420"/>
      <c r="T313" s="420"/>
      <c r="U313" s="854"/>
      <c r="V313" s="6198" t="s">
        <v>6330</v>
      </c>
      <c r="W313" s="6231"/>
      <c r="X313" s="1862" t="s">
        <v>6331</v>
      </c>
      <c r="Y313" s="1862" t="s">
        <v>1512</v>
      </c>
      <c r="Z313" s="1862" t="s">
        <v>2862</v>
      </c>
      <c r="AA313" s="1863" t="s">
        <v>1840</v>
      </c>
      <c r="AB313" s="6232" t="e">
        <f>IF(V312=0,"",VLOOKUP(V312,'Tablas Magia'!$D$6:$Z$680,5,FALSE))</f>
        <v>#N/A</v>
      </c>
      <c r="AC313" s="6232"/>
      <c r="AD313" s="6233" t="s">
        <v>6332</v>
      </c>
      <c r="AE313" s="6233"/>
      <c r="AF313" s="6232" t="e">
        <f>IF(V312=0,"",VLOOKUP(V312,'Tablas Magia'!$D$6:$Z$680,6,FALSE))</f>
        <v>#N/A</v>
      </c>
      <c r="AG313" s="6232"/>
      <c r="AH313" s="6234" t="s">
        <v>6333</v>
      </c>
      <c r="AI313" s="6234"/>
      <c r="AJ313" s="1864" t="e">
        <f>IF(V312=0,"",VLOOKUP(V312,'Tablas Magia'!$D$6:$Z$680,4,FALSE))</f>
        <v>#N/A</v>
      </c>
      <c r="AK313" s="426"/>
      <c r="AL313" s="420"/>
    </row>
    <row r="314" spans="1:38" ht="12" customHeight="1" x14ac:dyDescent="0.2">
      <c r="A314" s="420"/>
      <c r="B314" s="854"/>
      <c r="C314" s="6238" t="s">
        <v>1368</v>
      </c>
      <c r="D314" s="6239"/>
      <c r="E314" s="2763" t="e">
        <f>IF(C312=0,"",VLOOKUP(C312,'Tablas Magia'!$D$6:$Z$680,7,FALSE))</f>
        <v>#N/A</v>
      </c>
      <c r="F314" s="2763" t="e">
        <f>IF(C312=0,"",VLOOKUP(C312,'Tablas Magia'!$D$6:$Z$680,11,FALSE))</f>
        <v>#N/A</v>
      </c>
      <c r="G314" s="436" t="e">
        <f>IF(C312=0,"",VLOOKUP(C312,'Tablas Magia'!$D$6:$Z$680,15,FALSE))</f>
        <v>#N/A</v>
      </c>
      <c r="H314" s="6223" t="e">
        <f>IF(C312=0,"",VLOOKUP(C312,'Tablas Magia'!$D$6:$Z$680,19,FALSE))</f>
        <v>#N/A</v>
      </c>
      <c r="I314" s="6224"/>
      <c r="J314" s="6224"/>
      <c r="K314" s="6224"/>
      <c r="L314" s="6224"/>
      <c r="M314" s="6224"/>
      <c r="N314" s="6224"/>
      <c r="O314" s="6224"/>
      <c r="P314" s="6224"/>
      <c r="Q314" s="6225"/>
      <c r="R314" s="426"/>
      <c r="S314" s="420"/>
      <c r="T314" s="420"/>
      <c r="U314" s="854"/>
      <c r="V314" s="6190" t="s">
        <v>1368</v>
      </c>
      <c r="W314" s="6191"/>
      <c r="X314" s="435" t="e">
        <f>IF(V312=0,"",VLOOKUP(V312,'Tablas Magia'!$D$6:$Z$680,7,FALSE))</f>
        <v>#N/A</v>
      </c>
      <c r="Y314" s="435" t="e">
        <f>IF(V312=0,"",VLOOKUP(V312,'Tablas Magia'!$D$6:$Z$680,11,FALSE))</f>
        <v>#N/A</v>
      </c>
      <c r="Z314" s="436" t="e">
        <f>IF(V312=0,"",VLOOKUP(V312,'Tablas Magia'!$D$6:$Z$680,15,FALSE))</f>
        <v>#N/A</v>
      </c>
      <c r="AA314" s="6192" t="e">
        <f>IF(V312=0,"",VLOOKUP(V312,'Tablas Magia'!$D$6:$Z$680,19,FALSE))</f>
        <v>#N/A</v>
      </c>
      <c r="AB314" s="6193"/>
      <c r="AC314" s="6193"/>
      <c r="AD314" s="6193"/>
      <c r="AE314" s="6193"/>
      <c r="AF314" s="6193"/>
      <c r="AG314" s="6193"/>
      <c r="AH314" s="6193"/>
      <c r="AI314" s="6193"/>
      <c r="AJ314" s="6194"/>
      <c r="AK314" s="426"/>
      <c r="AL314" s="420"/>
    </row>
    <row r="315" spans="1:38" ht="12" customHeight="1" x14ac:dyDescent="0.2">
      <c r="A315" s="420"/>
      <c r="B315" s="854"/>
      <c r="C315" s="6185" t="s">
        <v>3233</v>
      </c>
      <c r="D315" s="6186"/>
      <c r="E315" s="2764" t="e">
        <f>IF(C312=0,"",VLOOKUP(C312,'Tablas Magia'!$D$6:$Z$680,8,FALSE))</f>
        <v>#N/A</v>
      </c>
      <c r="F315" s="2764" t="e">
        <f>IF(C312=0,"",VLOOKUP(C312,'Tablas Magia'!$D$6:$Z$680,12,FALSE))</f>
        <v>#N/A</v>
      </c>
      <c r="G315" s="438" t="e">
        <f>IF(C312=0,"",VLOOKUP(C312,'Tablas Magia'!$D$6:$Z$680,16,FALSE))</f>
        <v>#N/A</v>
      </c>
      <c r="H315" s="6187" t="e">
        <f>IF(C312=0,"",VLOOKUP(C312,'Tablas Magia'!$D$6:$Z$680,20,FALSE))</f>
        <v>#N/A</v>
      </c>
      <c r="I315" s="6217"/>
      <c r="J315" s="6217"/>
      <c r="K315" s="6217"/>
      <c r="L315" s="6217"/>
      <c r="M315" s="6217"/>
      <c r="N315" s="6217"/>
      <c r="O315" s="6217"/>
      <c r="P315" s="6217"/>
      <c r="Q315" s="6189"/>
      <c r="R315" s="426"/>
      <c r="S315" s="420"/>
      <c r="T315" s="420"/>
      <c r="U315" s="854"/>
      <c r="V315" s="6185" t="s">
        <v>3233</v>
      </c>
      <c r="W315" s="6186"/>
      <c r="X315" s="437" t="e">
        <f>IF(V312=0,"",VLOOKUP(V312,'Tablas Magia'!$D$6:$Z$680,8,FALSE))</f>
        <v>#N/A</v>
      </c>
      <c r="Y315" s="437" t="e">
        <f>IF(V312=0,"",VLOOKUP(V312,'Tablas Magia'!$D$6:$Z$680,12,FALSE))</f>
        <v>#N/A</v>
      </c>
      <c r="Z315" s="438" t="e">
        <f>IF(V312=0,"",VLOOKUP(V312,'Tablas Magia'!$D$6:$Z$680,16,FALSE))</f>
        <v>#N/A</v>
      </c>
      <c r="AA315" s="6187" t="e">
        <f>IF(V312=0,"",VLOOKUP(V312,'Tablas Magia'!$D$6:$Z$680,20,FALSE))</f>
        <v>#N/A</v>
      </c>
      <c r="AB315" s="6188"/>
      <c r="AC315" s="6188"/>
      <c r="AD315" s="6188"/>
      <c r="AE315" s="6188"/>
      <c r="AF315" s="6188"/>
      <c r="AG315" s="6188"/>
      <c r="AH315" s="6188"/>
      <c r="AI315" s="6188"/>
      <c r="AJ315" s="6189"/>
      <c r="AK315" s="426"/>
      <c r="AL315" s="420"/>
    </row>
    <row r="316" spans="1:38" ht="12" customHeight="1" x14ac:dyDescent="0.2">
      <c r="A316" s="420"/>
      <c r="B316" s="854"/>
      <c r="C316" s="6190" t="s">
        <v>3234</v>
      </c>
      <c r="D316" s="6191"/>
      <c r="E316" s="2763" t="e">
        <f>IF(C312=0,"",VLOOKUP(C312,'Tablas Magia'!$D$6:$Z$680,9,FALSE))</f>
        <v>#N/A</v>
      </c>
      <c r="F316" s="2763" t="e">
        <f>IF(C312=0,"",VLOOKUP(C312,'Tablas Magia'!$D$6:$Z$680,13,FALSE))</f>
        <v>#N/A</v>
      </c>
      <c r="G316" s="436" t="e">
        <f>IF(C312=0,"",VLOOKUP(C312,'Tablas Magia'!$D$6:$Z$680,17,FALSE))</f>
        <v>#N/A</v>
      </c>
      <c r="H316" s="6192" t="e">
        <f>IF(C312=0,"",VLOOKUP(C312,'Tablas Magia'!$D$6:$Z$680,21,FALSE))</f>
        <v>#N/A</v>
      </c>
      <c r="I316" s="6216"/>
      <c r="J316" s="6216"/>
      <c r="K316" s="6216"/>
      <c r="L316" s="6216"/>
      <c r="M316" s="6216"/>
      <c r="N316" s="6216"/>
      <c r="O316" s="6216"/>
      <c r="P316" s="6216"/>
      <c r="Q316" s="6194"/>
      <c r="R316" s="426"/>
      <c r="S316" s="420"/>
      <c r="T316" s="420"/>
      <c r="U316" s="854"/>
      <c r="V316" s="6190" t="s">
        <v>3234</v>
      </c>
      <c r="W316" s="6191"/>
      <c r="X316" s="435" t="e">
        <f>IF(V312=0,"",VLOOKUP(V312,'Tablas Magia'!$D$6:$Z$680,9,FALSE))</f>
        <v>#N/A</v>
      </c>
      <c r="Y316" s="435" t="e">
        <f>IF(V312=0,"",VLOOKUP(V312,'Tablas Magia'!$D$6:$Z$680,13,FALSE))</f>
        <v>#N/A</v>
      </c>
      <c r="Z316" s="436" t="e">
        <f>IF(V312=0,"",VLOOKUP(V312,'Tablas Magia'!$D$6:$Z$680,17,FALSE))</f>
        <v>#N/A</v>
      </c>
      <c r="AA316" s="6192" t="e">
        <f>IF(V312=0,"",VLOOKUP(V312,'Tablas Magia'!$D$6:$Z$680,21,FALSE))</f>
        <v>#N/A</v>
      </c>
      <c r="AB316" s="6193"/>
      <c r="AC316" s="6193"/>
      <c r="AD316" s="6193"/>
      <c r="AE316" s="6193"/>
      <c r="AF316" s="6193"/>
      <c r="AG316" s="6193"/>
      <c r="AH316" s="6193"/>
      <c r="AI316" s="6193"/>
      <c r="AJ316" s="6194"/>
      <c r="AK316" s="426"/>
      <c r="AL316" s="420"/>
    </row>
    <row r="317" spans="1:38" ht="12" customHeight="1" thickBot="1" x14ac:dyDescent="0.25">
      <c r="A317" s="420"/>
      <c r="B317" s="854"/>
      <c r="C317" s="6200" t="s">
        <v>3235</v>
      </c>
      <c r="D317" s="6201"/>
      <c r="E317" s="439" t="e">
        <f>IF(C312=0,"",VLOOKUP(C312,'Tablas Magia'!$D$6:$Z$680,10,FALSE))</f>
        <v>#N/A</v>
      </c>
      <c r="F317" s="439" t="e">
        <f>IF(C312=0,"",VLOOKUP(C312,'Tablas Magia'!$D$6:$Z$680,14,FALSE))</f>
        <v>#N/A</v>
      </c>
      <c r="G317" s="440" t="e">
        <f>IF(C312=0,"",VLOOKUP(C312,'Tablas Magia'!$D$6:$Z$680,18,FALSE))</f>
        <v>#N/A</v>
      </c>
      <c r="H317" s="6202" t="e">
        <f>IF(C312=0,"",VLOOKUP(C312,'Tablas Magia'!$D$6:$Z$680,22,FALSE))</f>
        <v>#N/A</v>
      </c>
      <c r="I317" s="6203"/>
      <c r="J317" s="6203"/>
      <c r="K317" s="6203"/>
      <c r="L317" s="6203"/>
      <c r="M317" s="6203"/>
      <c r="N317" s="6203"/>
      <c r="O317" s="6203"/>
      <c r="P317" s="6203"/>
      <c r="Q317" s="6204"/>
      <c r="R317" s="426"/>
      <c r="S317" s="420"/>
      <c r="T317" s="420"/>
      <c r="U317" s="854"/>
      <c r="V317" s="6200" t="s">
        <v>3235</v>
      </c>
      <c r="W317" s="6201"/>
      <c r="X317" s="439" t="e">
        <f>IF(V312=0,"",VLOOKUP(V312,'Tablas Magia'!$D$6:$Z$680,10,FALSE))</f>
        <v>#N/A</v>
      </c>
      <c r="Y317" s="439" t="e">
        <f>IF(V312=0,"",VLOOKUP(V312,'Tablas Magia'!$D$6:$Z$680,14,FALSE))</f>
        <v>#N/A</v>
      </c>
      <c r="Z317" s="440" t="e">
        <f>IF(V312=0,"",VLOOKUP(V312,'Tablas Magia'!$D$6:$Z$680,18,FALSE))</f>
        <v>#N/A</v>
      </c>
      <c r="AA317" s="6202" t="e">
        <f>IF(V312=0,"",VLOOKUP(V312,'Tablas Magia'!$D$6:$Z$680,22,FALSE))</f>
        <v>#N/A</v>
      </c>
      <c r="AB317" s="6203"/>
      <c r="AC317" s="6203"/>
      <c r="AD317" s="6203"/>
      <c r="AE317" s="6203"/>
      <c r="AF317" s="6203"/>
      <c r="AG317" s="6203"/>
      <c r="AH317" s="6203"/>
      <c r="AI317" s="6203"/>
      <c r="AJ317" s="6204"/>
      <c r="AK317" s="426"/>
      <c r="AL317" s="420"/>
    </row>
    <row r="318" spans="1:38" ht="12" customHeight="1" x14ac:dyDescent="0.2">
      <c r="A318" s="420"/>
      <c r="B318" s="854"/>
      <c r="C318" s="6205" t="e">
        <f>IF(C312=0,"",VLOOKUP(C312,'Tablas Magia'!$D$6:$Z$680,23,FALSE))</f>
        <v>#N/A</v>
      </c>
      <c r="D318" s="6206"/>
      <c r="E318" s="6206"/>
      <c r="F318" s="6206"/>
      <c r="G318" s="6206"/>
      <c r="H318" s="6206"/>
      <c r="I318" s="6206"/>
      <c r="J318" s="6206"/>
      <c r="K318" s="6206"/>
      <c r="L318" s="6206"/>
      <c r="M318" s="6206"/>
      <c r="N318" s="6206"/>
      <c r="O318" s="6206"/>
      <c r="P318" s="6206"/>
      <c r="Q318" s="6207"/>
      <c r="R318" s="426"/>
      <c r="S318" s="420"/>
      <c r="T318" s="420"/>
      <c r="U318" s="854"/>
      <c r="V318" s="6205" t="e">
        <f>IF(V312=0,"",VLOOKUP(V312,'Tablas Magia'!$D$6:$Z$680,23,FALSE))</f>
        <v>#N/A</v>
      </c>
      <c r="W318" s="6206"/>
      <c r="X318" s="6206"/>
      <c r="Y318" s="6206"/>
      <c r="Z318" s="6206"/>
      <c r="AA318" s="6206"/>
      <c r="AB318" s="6206"/>
      <c r="AC318" s="6206"/>
      <c r="AD318" s="6206"/>
      <c r="AE318" s="6206"/>
      <c r="AF318" s="6206"/>
      <c r="AG318" s="6206"/>
      <c r="AH318" s="6206"/>
      <c r="AI318" s="6206"/>
      <c r="AJ318" s="6207"/>
      <c r="AK318" s="426"/>
      <c r="AL318" s="420"/>
    </row>
    <row r="319" spans="1:38" ht="12" customHeight="1" x14ac:dyDescent="0.2">
      <c r="A319" s="420"/>
      <c r="B319" s="854"/>
      <c r="C319" s="6208"/>
      <c r="D319" s="6218"/>
      <c r="E319" s="6218"/>
      <c r="F319" s="6218"/>
      <c r="G319" s="6218"/>
      <c r="H319" s="6218"/>
      <c r="I319" s="6218"/>
      <c r="J319" s="6218"/>
      <c r="K319" s="6218"/>
      <c r="L319" s="6218"/>
      <c r="M319" s="6218"/>
      <c r="N319" s="6218"/>
      <c r="O319" s="6218"/>
      <c r="P319" s="6218"/>
      <c r="Q319" s="6210"/>
      <c r="R319" s="426"/>
      <c r="S319" s="420"/>
      <c r="T319" s="420"/>
      <c r="U319" s="854"/>
      <c r="V319" s="6208"/>
      <c r="W319" s="6209"/>
      <c r="X319" s="6209"/>
      <c r="Y319" s="6209"/>
      <c r="Z319" s="6209"/>
      <c r="AA319" s="6209"/>
      <c r="AB319" s="6209"/>
      <c r="AC319" s="6209"/>
      <c r="AD319" s="6209"/>
      <c r="AE319" s="6209"/>
      <c r="AF319" s="6209"/>
      <c r="AG319" s="6209"/>
      <c r="AH319" s="6209"/>
      <c r="AI319" s="6209"/>
      <c r="AJ319" s="6210"/>
      <c r="AK319" s="426"/>
      <c r="AL319" s="420"/>
    </row>
    <row r="320" spans="1:38" ht="12" customHeight="1" x14ac:dyDescent="0.2">
      <c r="A320" s="420"/>
      <c r="B320" s="854"/>
      <c r="C320" s="6208"/>
      <c r="D320" s="6218"/>
      <c r="E320" s="6218"/>
      <c r="F320" s="6218"/>
      <c r="G320" s="6218"/>
      <c r="H320" s="6218"/>
      <c r="I320" s="6218"/>
      <c r="J320" s="6218"/>
      <c r="K320" s="6218"/>
      <c r="L320" s="6218"/>
      <c r="M320" s="6218"/>
      <c r="N320" s="6218"/>
      <c r="O320" s="6218"/>
      <c r="P320" s="6218"/>
      <c r="Q320" s="6210"/>
      <c r="R320" s="426"/>
      <c r="S320" s="420"/>
      <c r="T320" s="420"/>
      <c r="U320" s="854"/>
      <c r="V320" s="6208"/>
      <c r="W320" s="6209"/>
      <c r="X320" s="6209"/>
      <c r="Y320" s="6209"/>
      <c r="Z320" s="6209"/>
      <c r="AA320" s="6209"/>
      <c r="AB320" s="6209"/>
      <c r="AC320" s="6209"/>
      <c r="AD320" s="6209"/>
      <c r="AE320" s="6209"/>
      <c r="AF320" s="6209"/>
      <c r="AG320" s="6209"/>
      <c r="AH320" s="6209"/>
      <c r="AI320" s="6209"/>
      <c r="AJ320" s="6210"/>
      <c r="AK320" s="426"/>
      <c r="AL320" s="420"/>
    </row>
    <row r="321" spans="1:38" ht="12" customHeight="1" thickBot="1" x14ac:dyDescent="0.25">
      <c r="A321" s="420"/>
      <c r="B321" s="854"/>
      <c r="C321" s="6211"/>
      <c r="D321" s="6212"/>
      <c r="E321" s="6212"/>
      <c r="F321" s="6212"/>
      <c r="G321" s="6212"/>
      <c r="H321" s="6212"/>
      <c r="I321" s="6212"/>
      <c r="J321" s="6212"/>
      <c r="K321" s="6212"/>
      <c r="L321" s="6212"/>
      <c r="M321" s="6212"/>
      <c r="N321" s="6212"/>
      <c r="O321" s="6212"/>
      <c r="P321" s="6212"/>
      <c r="Q321" s="6213"/>
      <c r="R321" s="426"/>
      <c r="S321" s="420"/>
      <c r="T321" s="420"/>
      <c r="U321" s="854"/>
      <c r="V321" s="6211"/>
      <c r="W321" s="6212"/>
      <c r="X321" s="6212"/>
      <c r="Y321" s="6212"/>
      <c r="Z321" s="6212"/>
      <c r="AA321" s="6212"/>
      <c r="AB321" s="6212"/>
      <c r="AC321" s="6212"/>
      <c r="AD321" s="6212"/>
      <c r="AE321" s="6212"/>
      <c r="AF321" s="6212"/>
      <c r="AG321" s="6212"/>
      <c r="AH321" s="6212"/>
      <c r="AI321" s="6212"/>
      <c r="AJ321" s="6213"/>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19"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20"/>
      <c r="E323" s="6220"/>
      <c r="F323" s="6220"/>
      <c r="G323" s="6221"/>
      <c r="H323" s="430" t="s">
        <v>1328</v>
      </c>
      <c r="I323" s="431">
        <f>B323</f>
        <v>90</v>
      </c>
      <c r="J323" s="6222" t="s">
        <v>6329</v>
      </c>
      <c r="K323" s="6222"/>
      <c r="L323" s="6222"/>
      <c r="M323" s="6183" t="e">
        <f>IF(C323=0,"",VLOOKUP(C323,'Tablas Magia'!$D$6:$Z$680,2,FALSE))</f>
        <v>#N/A</v>
      </c>
      <c r="N323" s="6183"/>
      <c r="O323" s="1853"/>
      <c r="P323" s="6214" t="str">
        <f>IFERROR(IF(M323="Libre Acceso","Aprendido",IF(IFERROR(VLOOKUP(M323,Místicos!$C$15:$H$25,6,0)&gt;=I323,FALSE),"Aprendido",IF(IFERROR(VLOOKUP(M323,Místicos!$E$15:$H$25,4,0)&gt;=I323,FALSE),"Aprendido",""))),"")</f>
        <v/>
      </c>
      <c r="Q323" s="6215"/>
      <c r="R323" s="426"/>
      <c r="S323" s="420"/>
      <c r="T323" s="420"/>
      <c r="U323" s="854">
        <f>U312+2</f>
        <v>100</v>
      </c>
      <c r="V323" s="6219"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30"/>
      <c r="X323" s="6230"/>
      <c r="Y323" s="6230"/>
      <c r="Z323" s="6230"/>
      <c r="AA323" s="430" t="s">
        <v>1328</v>
      </c>
      <c r="AB323" s="431">
        <f>U323</f>
        <v>100</v>
      </c>
      <c r="AC323" s="6222" t="s">
        <v>6329</v>
      </c>
      <c r="AD323" s="6222"/>
      <c r="AE323" s="6222"/>
      <c r="AF323" s="6183" t="e">
        <f>IF(V323=0,"",VLOOKUP(V323,'Tablas Magia'!$D$6:$Z$680,2,FALSE))</f>
        <v>#N/A</v>
      </c>
      <c r="AG323" s="6183"/>
      <c r="AH323" s="1853"/>
      <c r="AI323" s="6214" t="str">
        <f>IFERROR(IF(AF323="Libre Acceso","Aprendido",IF(IFERROR(VLOOKUP(AF323,Místicos!$C$15:$H$25,6,0)&gt;=AB323,FALSE),"Aprendido",IF(IFERROR(VLOOKUP(AF323,Místicos!$E$15:$H$25,4,0)&gt;=AB323,FALSE),"Aprendido",""))),"")</f>
        <v/>
      </c>
      <c r="AJ323" s="6215"/>
      <c r="AK323" s="426"/>
      <c r="AL323" s="420"/>
    </row>
    <row r="324" spans="1:38" ht="12" customHeight="1" x14ac:dyDescent="0.2">
      <c r="A324" s="420"/>
      <c r="B324" s="854"/>
      <c r="C324" s="6198" t="s">
        <v>6330</v>
      </c>
      <c r="D324" s="6228"/>
      <c r="E324" s="2760" t="s">
        <v>6331</v>
      </c>
      <c r="F324" s="2760" t="s">
        <v>1512</v>
      </c>
      <c r="G324" s="2760" t="s">
        <v>2862</v>
      </c>
      <c r="H324" s="2761" t="s">
        <v>1840</v>
      </c>
      <c r="I324" s="6226" t="e">
        <f>IF(C323=0,"",VLOOKUP(C323,'Tablas Magia'!$D$6:$Z$680,5,FALSE))</f>
        <v>#N/A</v>
      </c>
      <c r="J324" s="6226"/>
      <c r="K324" s="6229" t="s">
        <v>6332</v>
      </c>
      <c r="L324" s="6229"/>
      <c r="M324" s="6226" t="e">
        <f>IF(C323=0,"",VLOOKUP(C323,'Tablas Magia'!$D$6:$Z$680,6,FALSE))</f>
        <v>#N/A</v>
      </c>
      <c r="N324" s="6226"/>
      <c r="O324" s="6227" t="s">
        <v>6333</v>
      </c>
      <c r="P324" s="6227"/>
      <c r="Q324" s="2762" t="e">
        <f>IF(C323=0,"",VLOOKUP(C323,'Tablas Magia'!$D$6:$Z$680,4,FALSE))</f>
        <v>#N/A</v>
      </c>
      <c r="R324" s="426"/>
      <c r="S324" s="420"/>
      <c r="T324" s="420"/>
      <c r="U324" s="854"/>
      <c r="V324" s="6198" t="s">
        <v>6330</v>
      </c>
      <c r="W324" s="6231"/>
      <c r="X324" s="1862" t="s">
        <v>6331</v>
      </c>
      <c r="Y324" s="1862" t="s">
        <v>1512</v>
      </c>
      <c r="Z324" s="1862" t="s">
        <v>2862</v>
      </c>
      <c r="AA324" s="1863" t="s">
        <v>1840</v>
      </c>
      <c r="AB324" s="6232" t="e">
        <f>IF(V323=0,"",VLOOKUP(V323,'Tablas Magia'!$D$6:$Z$680,5,FALSE))</f>
        <v>#N/A</v>
      </c>
      <c r="AC324" s="6232"/>
      <c r="AD324" s="6233" t="s">
        <v>6332</v>
      </c>
      <c r="AE324" s="6233"/>
      <c r="AF324" s="6232" t="e">
        <f>IF(V323=0,"",VLOOKUP(V323,'Tablas Magia'!$D$6:$Z$680,6,FALSE))</f>
        <v>#N/A</v>
      </c>
      <c r="AG324" s="6232"/>
      <c r="AH324" s="6234" t="s">
        <v>6333</v>
      </c>
      <c r="AI324" s="6234"/>
      <c r="AJ324" s="1864" t="e">
        <f>IF(V323=0,"",VLOOKUP(V323,'Tablas Magia'!$D$6:$Z$680,4,FALSE))</f>
        <v>#N/A</v>
      </c>
      <c r="AK324" s="426"/>
      <c r="AL324" s="420"/>
    </row>
    <row r="325" spans="1:38" ht="12" customHeight="1" x14ac:dyDescent="0.2">
      <c r="A325" s="420"/>
      <c r="B325" s="854"/>
      <c r="C325" s="6238" t="s">
        <v>1368</v>
      </c>
      <c r="D325" s="6239"/>
      <c r="E325" s="2763" t="e">
        <f>IF(C323=0,"",VLOOKUP(C323,'Tablas Magia'!$D$6:$Z$680,7,FALSE))</f>
        <v>#N/A</v>
      </c>
      <c r="F325" s="2763" t="e">
        <f>IF(C323=0,"",VLOOKUP(C323,'Tablas Magia'!$D$6:$Z$680,11,FALSE))</f>
        <v>#N/A</v>
      </c>
      <c r="G325" s="436" t="e">
        <f>IF(C323=0,"",VLOOKUP(C323,'Tablas Magia'!$D$6:$Z$680,15,FALSE))</f>
        <v>#N/A</v>
      </c>
      <c r="H325" s="6223" t="e">
        <f>IF(C323=0,"",VLOOKUP(C323,'Tablas Magia'!$D$6:$Z$680,19,FALSE))</f>
        <v>#N/A</v>
      </c>
      <c r="I325" s="6224"/>
      <c r="J325" s="6224"/>
      <c r="K325" s="6224"/>
      <c r="L325" s="6224"/>
      <c r="M325" s="6224"/>
      <c r="N325" s="6224"/>
      <c r="O325" s="6224"/>
      <c r="P325" s="6224"/>
      <c r="Q325" s="6225"/>
      <c r="R325" s="426"/>
      <c r="S325" s="420"/>
      <c r="T325" s="420"/>
      <c r="U325" s="854"/>
      <c r="V325" s="6190" t="s">
        <v>1368</v>
      </c>
      <c r="W325" s="6191"/>
      <c r="X325" s="435" t="e">
        <f>IF(V323=0,"",VLOOKUP(V323,'Tablas Magia'!$D$6:$Z$680,7,FALSE))</f>
        <v>#N/A</v>
      </c>
      <c r="Y325" s="435" t="e">
        <f>IF(V323=0,"",VLOOKUP(V323,'Tablas Magia'!$D$6:$Z$680,11,FALSE))</f>
        <v>#N/A</v>
      </c>
      <c r="Z325" s="436" t="e">
        <f>IF(V323=0,"",VLOOKUP(V323,'Tablas Magia'!$D$6:$Z$680,15,FALSE))</f>
        <v>#N/A</v>
      </c>
      <c r="AA325" s="6192" t="e">
        <f>IF(V323=0,"",VLOOKUP(V323,'Tablas Magia'!$D$6:$Z$680,19,FALSE))</f>
        <v>#N/A</v>
      </c>
      <c r="AB325" s="6193"/>
      <c r="AC325" s="6193"/>
      <c r="AD325" s="6193"/>
      <c r="AE325" s="6193"/>
      <c r="AF325" s="6193"/>
      <c r="AG325" s="6193"/>
      <c r="AH325" s="6193"/>
      <c r="AI325" s="6193"/>
      <c r="AJ325" s="6194"/>
      <c r="AK325" s="426"/>
      <c r="AL325" s="420"/>
    </row>
    <row r="326" spans="1:38" ht="12" customHeight="1" x14ac:dyDescent="0.2">
      <c r="A326" s="420"/>
      <c r="B326" s="854"/>
      <c r="C326" s="6185" t="s">
        <v>3233</v>
      </c>
      <c r="D326" s="6186"/>
      <c r="E326" s="2764" t="e">
        <f>IF(C323=0,"",VLOOKUP(C323,'Tablas Magia'!$D$6:$Z$680,8,FALSE))</f>
        <v>#N/A</v>
      </c>
      <c r="F326" s="2764" t="e">
        <f>IF(C323=0,"",VLOOKUP(C323,'Tablas Magia'!$D$6:$Z$680,12,FALSE))</f>
        <v>#N/A</v>
      </c>
      <c r="G326" s="438" t="e">
        <f>IF(C323=0,"",VLOOKUP(C323,'Tablas Magia'!$D$6:$Z$680,16,FALSE))</f>
        <v>#N/A</v>
      </c>
      <c r="H326" s="6187" t="e">
        <f>IF(C323=0,"",VLOOKUP(C323,'Tablas Magia'!$D$6:$Z$680,20,FALSE))</f>
        <v>#N/A</v>
      </c>
      <c r="I326" s="6217"/>
      <c r="J326" s="6217"/>
      <c r="K326" s="6217"/>
      <c r="L326" s="6217"/>
      <c r="M326" s="6217"/>
      <c r="N326" s="6217"/>
      <c r="O326" s="6217"/>
      <c r="P326" s="6217"/>
      <c r="Q326" s="6189"/>
      <c r="R326" s="426"/>
      <c r="S326" s="420"/>
      <c r="T326" s="420"/>
      <c r="U326" s="854"/>
      <c r="V326" s="6185" t="s">
        <v>3233</v>
      </c>
      <c r="W326" s="6186"/>
      <c r="X326" s="437" t="e">
        <f>IF(V323=0,"",VLOOKUP(V323,'Tablas Magia'!$D$6:$Z$680,8,FALSE))</f>
        <v>#N/A</v>
      </c>
      <c r="Y326" s="437" t="e">
        <f>IF(V323=0,"",VLOOKUP(V323,'Tablas Magia'!$D$6:$Z$680,12,FALSE))</f>
        <v>#N/A</v>
      </c>
      <c r="Z326" s="438" t="e">
        <f>IF(V323=0,"",VLOOKUP(V323,'Tablas Magia'!$D$6:$Z$680,16,FALSE))</f>
        <v>#N/A</v>
      </c>
      <c r="AA326" s="6187" t="e">
        <f>IF(V323=0,"",VLOOKUP(V323,'Tablas Magia'!$D$6:$Z$680,20,FALSE))</f>
        <v>#N/A</v>
      </c>
      <c r="AB326" s="6188"/>
      <c r="AC326" s="6188"/>
      <c r="AD326" s="6188"/>
      <c r="AE326" s="6188"/>
      <c r="AF326" s="6188"/>
      <c r="AG326" s="6188"/>
      <c r="AH326" s="6188"/>
      <c r="AI326" s="6188"/>
      <c r="AJ326" s="6189"/>
      <c r="AK326" s="426"/>
      <c r="AL326" s="420"/>
    </row>
    <row r="327" spans="1:38" ht="12" customHeight="1" x14ac:dyDescent="0.2">
      <c r="A327" s="420"/>
      <c r="B327" s="854"/>
      <c r="C327" s="6190" t="s">
        <v>3234</v>
      </c>
      <c r="D327" s="6191"/>
      <c r="E327" s="2763" t="e">
        <f>IF(C323=0,"",VLOOKUP(C323,'Tablas Magia'!$D$6:$Z$680,9,FALSE))</f>
        <v>#N/A</v>
      </c>
      <c r="F327" s="2763" t="e">
        <f>IF(C323=0,"",VLOOKUP(C323,'Tablas Magia'!$D$6:$Z$680,13,FALSE))</f>
        <v>#N/A</v>
      </c>
      <c r="G327" s="436" t="e">
        <f>IF(C323=0,"",VLOOKUP(C323,'Tablas Magia'!$D$6:$Z$680,17,FALSE))</f>
        <v>#N/A</v>
      </c>
      <c r="H327" s="6192" t="e">
        <f>IF(C323=0,"",VLOOKUP(C323,'Tablas Magia'!$D$6:$Z$680,21,FALSE))</f>
        <v>#N/A</v>
      </c>
      <c r="I327" s="6216"/>
      <c r="J327" s="6216"/>
      <c r="K327" s="6216"/>
      <c r="L327" s="6216"/>
      <c r="M327" s="6216"/>
      <c r="N327" s="6216"/>
      <c r="O327" s="6216"/>
      <c r="P327" s="6216"/>
      <c r="Q327" s="6194"/>
      <c r="R327" s="426"/>
      <c r="S327" s="420"/>
      <c r="T327" s="420"/>
      <c r="U327" s="854"/>
      <c r="V327" s="6190" t="s">
        <v>3234</v>
      </c>
      <c r="W327" s="6191"/>
      <c r="X327" s="435" t="e">
        <f>IF(V323=0,"",VLOOKUP(V323,'Tablas Magia'!$D$6:$Z$680,9,FALSE))</f>
        <v>#N/A</v>
      </c>
      <c r="Y327" s="435" t="e">
        <f>IF(V323=0,"",VLOOKUP(V323,'Tablas Magia'!$D$6:$Z$680,13,FALSE))</f>
        <v>#N/A</v>
      </c>
      <c r="Z327" s="436" t="e">
        <f>IF(V323=0,"",VLOOKUP(V323,'Tablas Magia'!$D$6:$Z$680,17,FALSE))</f>
        <v>#N/A</v>
      </c>
      <c r="AA327" s="6192" t="e">
        <f>IF(V323=0,"",VLOOKUP(V323,'Tablas Magia'!$D$6:$Z$680,21,FALSE))</f>
        <v>#N/A</v>
      </c>
      <c r="AB327" s="6193"/>
      <c r="AC327" s="6193"/>
      <c r="AD327" s="6193"/>
      <c r="AE327" s="6193"/>
      <c r="AF327" s="6193"/>
      <c r="AG327" s="6193"/>
      <c r="AH327" s="6193"/>
      <c r="AI327" s="6193"/>
      <c r="AJ327" s="6194"/>
      <c r="AK327" s="426"/>
      <c r="AL327" s="420"/>
    </row>
    <row r="328" spans="1:38" ht="12" customHeight="1" thickBot="1" x14ac:dyDescent="0.25">
      <c r="A328" s="420"/>
      <c r="B328" s="854"/>
      <c r="C328" s="6200" t="s">
        <v>3235</v>
      </c>
      <c r="D328" s="6201"/>
      <c r="E328" s="439" t="e">
        <f>IF(C323=0,"",VLOOKUP(C323,'Tablas Magia'!$D$6:$Z$680,10,FALSE))</f>
        <v>#N/A</v>
      </c>
      <c r="F328" s="439" t="e">
        <f>IF(C323=0,"",VLOOKUP(C323,'Tablas Magia'!$D$6:$Z$680,14,FALSE))</f>
        <v>#N/A</v>
      </c>
      <c r="G328" s="440" t="e">
        <f>IF(C323=0,"",VLOOKUP(C323,'Tablas Magia'!$D$6:$Z$680,18,FALSE))</f>
        <v>#N/A</v>
      </c>
      <c r="H328" s="6202" t="e">
        <f>IF(C323=0,"",VLOOKUP(C323,'Tablas Magia'!$D$6:$Z$680,22,FALSE))</f>
        <v>#N/A</v>
      </c>
      <c r="I328" s="6203"/>
      <c r="J328" s="6203"/>
      <c r="K328" s="6203"/>
      <c r="L328" s="6203"/>
      <c r="M328" s="6203"/>
      <c r="N328" s="6203"/>
      <c r="O328" s="6203"/>
      <c r="P328" s="6203"/>
      <c r="Q328" s="6204"/>
      <c r="R328" s="426"/>
      <c r="S328" s="420"/>
      <c r="T328" s="420"/>
      <c r="U328" s="854"/>
      <c r="V328" s="6200" t="s">
        <v>3235</v>
      </c>
      <c r="W328" s="6201"/>
      <c r="X328" s="439" t="e">
        <f>IF(V323=0,"",VLOOKUP(V323,'Tablas Magia'!$D$6:$Z$680,10,FALSE))</f>
        <v>#N/A</v>
      </c>
      <c r="Y328" s="439" t="e">
        <f>IF(V323=0,"",VLOOKUP(V323,'Tablas Magia'!$D$6:$Z$680,14,FALSE))</f>
        <v>#N/A</v>
      </c>
      <c r="Z328" s="440" t="e">
        <f>IF(V323=0,"",VLOOKUP(V323,'Tablas Magia'!$D$6:$Z$680,18,FALSE))</f>
        <v>#N/A</v>
      </c>
      <c r="AA328" s="6202" t="e">
        <f>IF(V323=0,"",VLOOKUP(V323,'Tablas Magia'!$D$6:$Z$680,22,FALSE))</f>
        <v>#N/A</v>
      </c>
      <c r="AB328" s="6203"/>
      <c r="AC328" s="6203"/>
      <c r="AD328" s="6203"/>
      <c r="AE328" s="6203"/>
      <c r="AF328" s="6203"/>
      <c r="AG328" s="6203"/>
      <c r="AH328" s="6203"/>
      <c r="AI328" s="6203"/>
      <c r="AJ328" s="6204"/>
      <c r="AK328" s="426"/>
      <c r="AL328" s="420"/>
    </row>
    <row r="329" spans="1:38" ht="12" customHeight="1" x14ac:dyDescent="0.2">
      <c r="A329" s="420"/>
      <c r="B329" s="854"/>
      <c r="C329" s="6205" t="e">
        <f>IF(C323=0,"",VLOOKUP(C323,'Tablas Magia'!$D$6:$Z$680,23,FALSE))</f>
        <v>#N/A</v>
      </c>
      <c r="D329" s="6206"/>
      <c r="E329" s="6206"/>
      <c r="F329" s="6206"/>
      <c r="G329" s="6206"/>
      <c r="H329" s="6206"/>
      <c r="I329" s="6206"/>
      <c r="J329" s="6206"/>
      <c r="K329" s="6206"/>
      <c r="L329" s="6206"/>
      <c r="M329" s="6206"/>
      <c r="N329" s="6206"/>
      <c r="O329" s="6206"/>
      <c r="P329" s="6206"/>
      <c r="Q329" s="6207"/>
      <c r="R329" s="426"/>
      <c r="S329" s="420"/>
      <c r="T329" s="420"/>
      <c r="U329" s="854"/>
      <c r="V329" s="6205" t="e">
        <f>IF(V323=0,"",VLOOKUP(V323,'Tablas Magia'!$D$6:$Z$680,23,FALSE))</f>
        <v>#N/A</v>
      </c>
      <c r="W329" s="6206"/>
      <c r="X329" s="6206"/>
      <c r="Y329" s="6206"/>
      <c r="Z329" s="6206"/>
      <c r="AA329" s="6206"/>
      <c r="AB329" s="6206"/>
      <c r="AC329" s="6206"/>
      <c r="AD329" s="6206"/>
      <c r="AE329" s="6206"/>
      <c r="AF329" s="6206"/>
      <c r="AG329" s="6206"/>
      <c r="AH329" s="6206"/>
      <c r="AI329" s="6206"/>
      <c r="AJ329" s="6207"/>
      <c r="AK329" s="426"/>
      <c r="AL329" s="420"/>
    </row>
    <row r="330" spans="1:38" ht="12" customHeight="1" x14ac:dyDescent="0.2">
      <c r="A330" s="420"/>
      <c r="B330" s="854"/>
      <c r="C330" s="6208"/>
      <c r="D330" s="6218"/>
      <c r="E330" s="6218"/>
      <c r="F330" s="6218"/>
      <c r="G330" s="6218"/>
      <c r="H330" s="6218"/>
      <c r="I330" s="6218"/>
      <c r="J330" s="6218"/>
      <c r="K330" s="6218"/>
      <c r="L330" s="6218"/>
      <c r="M330" s="6218"/>
      <c r="N330" s="6218"/>
      <c r="O330" s="6218"/>
      <c r="P330" s="6218"/>
      <c r="Q330" s="6210"/>
      <c r="R330" s="426"/>
      <c r="S330" s="420"/>
      <c r="T330" s="420"/>
      <c r="U330" s="854"/>
      <c r="V330" s="6208"/>
      <c r="W330" s="6209"/>
      <c r="X330" s="6209"/>
      <c r="Y330" s="6209"/>
      <c r="Z330" s="6209"/>
      <c r="AA330" s="6209"/>
      <c r="AB330" s="6209"/>
      <c r="AC330" s="6209"/>
      <c r="AD330" s="6209"/>
      <c r="AE330" s="6209"/>
      <c r="AF330" s="6209"/>
      <c r="AG330" s="6209"/>
      <c r="AH330" s="6209"/>
      <c r="AI330" s="6209"/>
      <c r="AJ330" s="6210"/>
      <c r="AK330" s="426"/>
      <c r="AL330" s="420"/>
    </row>
    <row r="331" spans="1:38" ht="12" customHeight="1" x14ac:dyDescent="0.2">
      <c r="A331" s="420"/>
      <c r="B331" s="854"/>
      <c r="C331" s="6208"/>
      <c r="D331" s="6218"/>
      <c r="E331" s="6218"/>
      <c r="F331" s="6218"/>
      <c r="G331" s="6218"/>
      <c r="H331" s="6218"/>
      <c r="I331" s="6218"/>
      <c r="J331" s="6218"/>
      <c r="K331" s="6218"/>
      <c r="L331" s="6218"/>
      <c r="M331" s="6218"/>
      <c r="N331" s="6218"/>
      <c r="O331" s="6218"/>
      <c r="P331" s="6218"/>
      <c r="Q331" s="6210"/>
      <c r="R331" s="426"/>
      <c r="S331" s="420"/>
      <c r="T331" s="420"/>
      <c r="U331" s="854"/>
      <c r="V331" s="6208"/>
      <c r="W331" s="6209"/>
      <c r="X331" s="6209"/>
      <c r="Y331" s="6209"/>
      <c r="Z331" s="6209"/>
      <c r="AA331" s="6209"/>
      <c r="AB331" s="6209"/>
      <c r="AC331" s="6209"/>
      <c r="AD331" s="6209"/>
      <c r="AE331" s="6209"/>
      <c r="AF331" s="6209"/>
      <c r="AG331" s="6209"/>
      <c r="AH331" s="6209"/>
      <c r="AI331" s="6209"/>
      <c r="AJ331" s="6210"/>
      <c r="AK331" s="426"/>
      <c r="AL331" s="420"/>
    </row>
    <row r="332" spans="1:38" ht="12" customHeight="1" thickBot="1" x14ac:dyDescent="0.25">
      <c r="A332" s="420"/>
      <c r="B332" s="854"/>
      <c r="C332" s="6211"/>
      <c r="D332" s="6212"/>
      <c r="E332" s="6212"/>
      <c r="F332" s="6212"/>
      <c r="G332" s="6212"/>
      <c r="H332" s="6212"/>
      <c r="I332" s="6212"/>
      <c r="J332" s="6212"/>
      <c r="K332" s="6212"/>
      <c r="L332" s="6212"/>
      <c r="M332" s="6212"/>
      <c r="N332" s="6212"/>
      <c r="O332" s="6212"/>
      <c r="P332" s="6212"/>
      <c r="Q332" s="6213"/>
      <c r="R332" s="426"/>
      <c r="S332" s="420"/>
      <c r="T332" s="420"/>
      <c r="U332" s="854"/>
      <c r="V332" s="6211"/>
      <c r="W332" s="6212"/>
      <c r="X332" s="6212"/>
      <c r="Y332" s="6212"/>
      <c r="Z332" s="6212"/>
      <c r="AA332" s="6212"/>
      <c r="AB332" s="6212"/>
      <c r="AC332" s="6212"/>
      <c r="AD332" s="6212"/>
      <c r="AE332" s="6212"/>
      <c r="AF332" s="6212"/>
      <c r="AG332" s="6212"/>
      <c r="AH332" s="6212"/>
      <c r="AI332" s="6212"/>
      <c r="AJ332" s="6213"/>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561" priority="2109" stopIfTrue="1">
      <formula>ISERROR(A1)</formula>
    </cfRule>
  </conditionalFormatting>
  <conditionalFormatting sqref="H22:M22 H23:Q23">
    <cfRule type="containsErrors" dxfId="560" priority="2069" stopIfTrue="1">
      <formula>ISERROR(H22)</formula>
    </cfRule>
  </conditionalFormatting>
  <conditionalFormatting sqref="H33:M33 H34:Q34">
    <cfRule type="containsErrors" dxfId="559" priority="2067" stopIfTrue="1">
      <formula>ISERROR(H33)</formula>
    </cfRule>
  </conditionalFormatting>
  <conditionalFormatting sqref="H44:M44 H45:Q45">
    <cfRule type="containsErrors" dxfId="558" priority="2065" stopIfTrue="1">
      <formula>ISERROR(H44)</formula>
    </cfRule>
  </conditionalFormatting>
  <conditionalFormatting sqref="H55:M55 H56:Q56">
    <cfRule type="containsErrors" dxfId="557" priority="2063" stopIfTrue="1">
      <formula>ISERROR(H55)</formula>
    </cfRule>
  </conditionalFormatting>
  <conditionalFormatting sqref="AA11:AF11 AA12:AJ12">
    <cfRule type="containsErrors" dxfId="556" priority="2061" stopIfTrue="1">
      <formula>ISERROR(AA11)</formula>
    </cfRule>
  </conditionalFormatting>
  <conditionalFormatting sqref="AA22:AF22 AA23:AJ23">
    <cfRule type="containsErrors" dxfId="555" priority="2059" stopIfTrue="1">
      <formula>ISERROR(AA22)</formula>
    </cfRule>
  </conditionalFormatting>
  <conditionalFormatting sqref="AA33:AF33 AA34:AJ34">
    <cfRule type="containsErrors" dxfId="554" priority="2057" stopIfTrue="1">
      <formula>ISERROR(AA33)</formula>
    </cfRule>
  </conditionalFormatting>
  <conditionalFormatting sqref="AA44:AF44 AA45:AJ45">
    <cfRule type="containsErrors" dxfId="553" priority="2055" stopIfTrue="1">
      <formula>ISERROR(AA44)</formula>
    </cfRule>
  </conditionalFormatting>
  <conditionalFormatting sqref="AA55:AF55 AA56:AJ56">
    <cfRule type="containsErrors" dxfId="552" priority="2053" stopIfTrue="1">
      <formula>ISERROR(AA55)</formula>
    </cfRule>
  </conditionalFormatting>
  <conditionalFormatting sqref="V10:AJ10">
    <cfRule type="containsErrors" dxfId="551" priority="1887" stopIfTrue="1">
      <formula>ISERROR(V10)</formula>
    </cfRule>
  </conditionalFormatting>
  <conditionalFormatting sqref="C10:Q10">
    <cfRule type="containsErrors" dxfId="550" priority="1884" stopIfTrue="1">
      <formula>ISERROR(C10)</formula>
    </cfRule>
  </conditionalFormatting>
  <conditionalFormatting sqref="P11 P22 P33 P44 P55 AI11 AI22 AI33 AI44 AI55">
    <cfRule type="expression" dxfId="549" priority="1600" stopIfTrue="1">
      <formula>$P$7&lt;&gt;"No"</formula>
    </cfRule>
    <cfRule type="containsText" dxfId="548" priority="1601" stopIfTrue="1" operator="containsText" text="Aprendido">
      <formula>NOT(ISERROR(SEARCH("Aprendido",P11)))</formula>
    </cfRule>
  </conditionalFormatting>
  <conditionalFormatting sqref="C11 C22 C33 C44 C55 V11 V22 V33 V44 V55">
    <cfRule type="expression" dxfId="547" priority="1029" stopIfTrue="1">
      <formula>$P$7="No"</formula>
    </cfRule>
    <cfRule type="expression" dxfId="546" priority="1030" stopIfTrue="1">
      <formula>AND($P$6&lt;&gt;0,I11&gt;$P$6)</formula>
    </cfRule>
    <cfRule type="expression" dxfId="545" priority="1031" stopIfTrue="1">
      <formula>M11="Vacío"</formula>
    </cfRule>
    <cfRule type="expression" dxfId="544" priority="1032" stopIfTrue="1">
      <formula>M11="Umbral"</formula>
    </cfRule>
    <cfRule type="expression" dxfId="543" priority="1033" stopIfTrue="1">
      <formula>M11="Tiempo"</formula>
    </cfRule>
    <cfRule type="expression" dxfId="542" priority="1034" stopIfTrue="1">
      <formula>M11="Sueños"</formula>
    </cfRule>
    <cfRule type="expression" dxfId="541" priority="1035" stopIfTrue="1">
      <formula>M11="Sangre"</formula>
    </cfRule>
    <cfRule type="expression" dxfId="540" priority="1036" stopIfTrue="1">
      <formula>M11="Conocimiento"</formula>
    </cfRule>
    <cfRule type="expression" dxfId="539" priority="1037" stopIfTrue="1">
      <formula>M11="Pecado"</formula>
    </cfRule>
    <cfRule type="expression" dxfId="538" priority="1038" stopIfTrue="1">
      <formula>M11="Paz"</formula>
    </cfRule>
    <cfRule type="expression" dxfId="537" priority="1039" stopIfTrue="1">
      <formula>M11="Nobleza"</formula>
    </cfRule>
    <cfRule type="expression" dxfId="536" priority="1040" stopIfTrue="1">
      <formula>M11="Musical"</formula>
    </cfRule>
    <cfRule type="expression" dxfId="535" priority="1041" stopIfTrue="1">
      <formula>M11="Muerte"</formula>
    </cfRule>
    <cfRule type="expression" dxfId="534" priority="1042" stopIfTrue="1">
      <formula>M11="Literae"</formula>
    </cfRule>
    <cfRule type="expression" dxfId="533" priority="1043" stopIfTrue="1">
      <formula>M11="Guerra"</formula>
    </cfRule>
    <cfRule type="expression" dxfId="532" priority="1044" stopIfTrue="1">
      <formula>M11="Caos"</formula>
    </cfRule>
    <cfRule type="expression" dxfId="531" priority="1045" stopIfTrue="1">
      <formula>M11="Nigromancia"</formula>
    </cfRule>
    <cfRule type="expression" dxfId="530" priority="1046" stopIfTrue="1">
      <formula>M11="Ilusión"</formula>
    </cfRule>
    <cfRule type="expression" dxfId="529" priority="1047" stopIfTrue="1">
      <formula>M11="Esencia"</formula>
    </cfRule>
    <cfRule type="expression" dxfId="528" priority="1048" stopIfTrue="1">
      <formula>M11="Tierra"</formula>
    </cfRule>
    <cfRule type="expression" dxfId="527" priority="1049" stopIfTrue="1">
      <formula>M11="Fuego"</formula>
    </cfRule>
    <cfRule type="expression" dxfId="526" priority="1050" stopIfTrue="1">
      <formula>M11="Agua"</formula>
    </cfRule>
    <cfRule type="expression" dxfId="525" priority="1051" stopIfTrue="1">
      <formula>M11="Aire"</formula>
    </cfRule>
    <cfRule type="expression" dxfId="524" priority="1052" stopIfTrue="1">
      <formula>M11="Destrucción"</formula>
    </cfRule>
    <cfRule type="expression" dxfId="523" priority="1053" stopIfTrue="1">
      <formula>M11="Creación"</formula>
    </cfRule>
    <cfRule type="expression" dxfId="522" priority="1054" stopIfTrue="1">
      <formula>M11="Oscuridad"</formula>
    </cfRule>
    <cfRule type="expression" dxfId="521"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520" priority="179" stopIfTrue="1">
      <formula>ISERROR(C78)</formula>
    </cfRule>
  </conditionalFormatting>
  <conditionalFormatting sqref="H89:M89 H90:Q90">
    <cfRule type="containsErrors" dxfId="519" priority="178" stopIfTrue="1">
      <formula>ISERROR(H89)</formula>
    </cfRule>
  </conditionalFormatting>
  <conditionalFormatting sqref="H100:M100 H101:Q101">
    <cfRule type="containsErrors" dxfId="518" priority="177" stopIfTrue="1">
      <formula>ISERROR(H100)</formula>
    </cfRule>
  </conditionalFormatting>
  <conditionalFormatting sqref="H111:M111 H112:Q112">
    <cfRule type="containsErrors" dxfId="517" priority="176" stopIfTrue="1">
      <formula>ISERROR(H111)</formula>
    </cfRule>
  </conditionalFormatting>
  <conditionalFormatting sqref="H122:M122 H123:Q123">
    <cfRule type="containsErrors" dxfId="516" priority="175" stopIfTrue="1">
      <formula>ISERROR(H122)</formula>
    </cfRule>
  </conditionalFormatting>
  <conditionalFormatting sqref="AA78:AF78 AA79:AJ79">
    <cfRule type="containsErrors" dxfId="515" priority="174" stopIfTrue="1">
      <formula>ISERROR(AA78)</formula>
    </cfRule>
  </conditionalFormatting>
  <conditionalFormatting sqref="AA89:AF89 AA90:AJ90">
    <cfRule type="containsErrors" dxfId="514" priority="173" stopIfTrue="1">
      <formula>ISERROR(AA89)</formula>
    </cfRule>
  </conditionalFormatting>
  <conditionalFormatting sqref="AA100:AF100 AA101:AJ101">
    <cfRule type="containsErrors" dxfId="513" priority="172" stopIfTrue="1">
      <formula>ISERROR(AA100)</formula>
    </cfRule>
  </conditionalFormatting>
  <conditionalFormatting sqref="AA111:AF111 AA112:AJ112">
    <cfRule type="containsErrors" dxfId="512" priority="171" stopIfTrue="1">
      <formula>ISERROR(AA111)</formula>
    </cfRule>
  </conditionalFormatting>
  <conditionalFormatting sqref="AA122:AF122 AA123:AJ123">
    <cfRule type="containsErrors" dxfId="511" priority="170" stopIfTrue="1">
      <formula>ISERROR(AA122)</formula>
    </cfRule>
  </conditionalFormatting>
  <conditionalFormatting sqref="V77:AJ77">
    <cfRule type="containsErrors" dxfId="510" priority="169" stopIfTrue="1">
      <formula>ISERROR(V77)</formula>
    </cfRule>
  </conditionalFormatting>
  <conditionalFormatting sqref="C77:Q77">
    <cfRule type="containsErrors" dxfId="509" priority="168" stopIfTrue="1">
      <formula>ISERROR(C77)</formula>
    </cfRule>
  </conditionalFormatting>
  <conditionalFormatting sqref="P78 P89 P100 P111 P122 AI78 AI89 AI100 AI111 AI122">
    <cfRule type="expression" dxfId="508" priority="166" stopIfTrue="1">
      <formula>$P$7&lt;&gt;"No"</formula>
    </cfRule>
    <cfRule type="containsText" dxfId="507" priority="167" stopIfTrue="1" operator="containsText" text="Aprendido">
      <formula>NOT(ISERROR(SEARCH("Aprendido",P78)))</formula>
    </cfRule>
  </conditionalFormatting>
  <conditionalFormatting sqref="C78 C89 C100 C111 C122 V78 V89 V100 V111 V122">
    <cfRule type="expression" dxfId="506" priority="139" stopIfTrue="1">
      <formula>$P$7="No"</formula>
    </cfRule>
    <cfRule type="expression" dxfId="505" priority="140" stopIfTrue="1">
      <formula>AND($P$6&lt;&gt;0,I78&gt;$P$6)</formula>
    </cfRule>
    <cfRule type="expression" dxfId="504" priority="141" stopIfTrue="1">
      <formula>M78="Vacío"</formula>
    </cfRule>
    <cfRule type="expression" dxfId="503" priority="142" stopIfTrue="1">
      <formula>M78="Umbral"</formula>
    </cfRule>
    <cfRule type="expression" dxfId="502" priority="143" stopIfTrue="1">
      <formula>M78="Tiempo"</formula>
    </cfRule>
    <cfRule type="expression" dxfId="501" priority="144" stopIfTrue="1">
      <formula>M78="Sueños"</formula>
    </cfRule>
    <cfRule type="expression" dxfId="500" priority="145" stopIfTrue="1">
      <formula>M78="Sangre"</formula>
    </cfRule>
    <cfRule type="expression" dxfId="499" priority="146" stopIfTrue="1">
      <formula>M78="Conocimiento"</formula>
    </cfRule>
    <cfRule type="expression" dxfId="498" priority="147" stopIfTrue="1">
      <formula>M78="Pecado"</formula>
    </cfRule>
    <cfRule type="expression" dxfId="497" priority="148" stopIfTrue="1">
      <formula>M78="Paz"</formula>
    </cfRule>
    <cfRule type="expression" dxfId="496" priority="149" stopIfTrue="1">
      <formula>M78="Nobleza"</formula>
    </cfRule>
    <cfRule type="expression" dxfId="495" priority="150" stopIfTrue="1">
      <formula>M78="Musical"</formula>
    </cfRule>
    <cfRule type="expression" dxfId="494" priority="151" stopIfTrue="1">
      <formula>M78="Muerte"</formula>
    </cfRule>
    <cfRule type="expression" dxfId="493" priority="152" stopIfTrue="1">
      <formula>M78="Literae"</formula>
    </cfRule>
    <cfRule type="expression" dxfId="492" priority="153" stopIfTrue="1">
      <formula>M78="Guerra"</formula>
    </cfRule>
    <cfRule type="expression" dxfId="491" priority="154" stopIfTrue="1">
      <formula>M78="Caos"</formula>
    </cfRule>
    <cfRule type="expression" dxfId="490" priority="155" stopIfTrue="1">
      <formula>M78="Nigromancia"</formula>
    </cfRule>
    <cfRule type="expression" dxfId="489" priority="156" stopIfTrue="1">
      <formula>M78="Ilusión"</formula>
    </cfRule>
    <cfRule type="expression" dxfId="488" priority="157" stopIfTrue="1">
      <formula>M78="Esencia"</formula>
    </cfRule>
    <cfRule type="expression" dxfId="487" priority="158" stopIfTrue="1">
      <formula>M78="Tierra"</formula>
    </cfRule>
    <cfRule type="expression" dxfId="486" priority="159" stopIfTrue="1">
      <formula>M78="Fuego"</formula>
    </cfRule>
    <cfRule type="expression" dxfId="485" priority="160" stopIfTrue="1">
      <formula>M78="Agua"</formula>
    </cfRule>
    <cfRule type="expression" dxfId="484" priority="161" stopIfTrue="1">
      <formula>M78="Aire"</formula>
    </cfRule>
    <cfRule type="expression" dxfId="483" priority="162" stopIfTrue="1">
      <formula>M78="Destrucción"</formula>
    </cfRule>
    <cfRule type="expression" dxfId="482" priority="163" stopIfTrue="1">
      <formula>M78="Creación"</formula>
    </cfRule>
    <cfRule type="expression" dxfId="481" priority="164" stopIfTrue="1">
      <formula>M78="Oscuridad"</formula>
    </cfRule>
    <cfRule type="expression" dxfId="480"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479" priority="138" stopIfTrue="1">
      <formula>ISERROR(C145)</formula>
    </cfRule>
  </conditionalFormatting>
  <conditionalFormatting sqref="H156:M156 H157:Q157">
    <cfRule type="containsErrors" dxfId="478" priority="137" stopIfTrue="1">
      <formula>ISERROR(H156)</formula>
    </cfRule>
  </conditionalFormatting>
  <conditionalFormatting sqref="H167:M167 H168:Q168">
    <cfRule type="containsErrors" dxfId="477" priority="136" stopIfTrue="1">
      <formula>ISERROR(H167)</formula>
    </cfRule>
  </conditionalFormatting>
  <conditionalFormatting sqref="H178:M178 H179:Q179">
    <cfRule type="containsErrors" dxfId="476" priority="135" stopIfTrue="1">
      <formula>ISERROR(H178)</formula>
    </cfRule>
  </conditionalFormatting>
  <conditionalFormatting sqref="H189:M189 H190:Q190">
    <cfRule type="containsErrors" dxfId="475" priority="134" stopIfTrue="1">
      <formula>ISERROR(H189)</formula>
    </cfRule>
  </conditionalFormatting>
  <conditionalFormatting sqref="AA145:AF145 AA146:AJ146">
    <cfRule type="containsErrors" dxfId="474" priority="133" stopIfTrue="1">
      <formula>ISERROR(AA145)</formula>
    </cfRule>
  </conditionalFormatting>
  <conditionalFormatting sqref="AA156:AF156 AA157:AJ157">
    <cfRule type="containsErrors" dxfId="473" priority="132" stopIfTrue="1">
      <formula>ISERROR(AA156)</formula>
    </cfRule>
  </conditionalFormatting>
  <conditionalFormatting sqref="AA167:AF167 AA168:AJ168">
    <cfRule type="containsErrors" dxfId="472" priority="131" stopIfTrue="1">
      <formula>ISERROR(AA167)</formula>
    </cfRule>
  </conditionalFormatting>
  <conditionalFormatting sqref="AA178:AF178 AA179:AJ179">
    <cfRule type="containsErrors" dxfId="471" priority="130" stopIfTrue="1">
      <formula>ISERROR(AA178)</formula>
    </cfRule>
  </conditionalFormatting>
  <conditionalFormatting sqref="AA189:AF189 AA190:AJ190">
    <cfRule type="containsErrors" dxfId="470" priority="129" stopIfTrue="1">
      <formula>ISERROR(AA189)</formula>
    </cfRule>
  </conditionalFormatting>
  <conditionalFormatting sqref="V144:AJ144">
    <cfRule type="containsErrors" dxfId="469" priority="128" stopIfTrue="1">
      <formula>ISERROR(V144)</formula>
    </cfRule>
  </conditionalFormatting>
  <conditionalFormatting sqref="C144:Q144">
    <cfRule type="containsErrors" dxfId="468" priority="127" stopIfTrue="1">
      <formula>ISERROR(C144)</formula>
    </cfRule>
  </conditionalFormatting>
  <conditionalFormatting sqref="P145 P156 P167 P178 P189 AI145 AI156 AI167 AI178 AI189">
    <cfRule type="expression" dxfId="467" priority="125" stopIfTrue="1">
      <formula>$P$7&lt;&gt;"No"</formula>
    </cfRule>
    <cfRule type="containsText" dxfId="466" priority="126" stopIfTrue="1" operator="containsText" text="Aprendido">
      <formula>NOT(ISERROR(SEARCH("Aprendido",P145)))</formula>
    </cfRule>
  </conditionalFormatting>
  <conditionalFormatting sqref="C145 C156 C167 C178 C189 V145 V156 V167 V178 V189">
    <cfRule type="expression" dxfId="465" priority="98" stopIfTrue="1">
      <formula>$P$7="No"</formula>
    </cfRule>
    <cfRule type="expression" dxfId="464" priority="99" stopIfTrue="1">
      <formula>AND($P$6&lt;&gt;0,I145&gt;$P$6)</formula>
    </cfRule>
    <cfRule type="expression" dxfId="463" priority="100" stopIfTrue="1">
      <formula>M145="Vacío"</formula>
    </cfRule>
    <cfRule type="expression" dxfId="462" priority="101" stopIfTrue="1">
      <formula>M145="Umbral"</formula>
    </cfRule>
    <cfRule type="expression" dxfId="461" priority="102" stopIfTrue="1">
      <formula>M145="Tiempo"</formula>
    </cfRule>
    <cfRule type="expression" dxfId="460" priority="103" stopIfTrue="1">
      <formula>M145="Sueños"</formula>
    </cfRule>
    <cfRule type="expression" dxfId="459" priority="104" stopIfTrue="1">
      <formula>M145="Sangre"</formula>
    </cfRule>
    <cfRule type="expression" dxfId="458" priority="105" stopIfTrue="1">
      <formula>M145="Conocimiento"</formula>
    </cfRule>
    <cfRule type="expression" dxfId="457" priority="106" stopIfTrue="1">
      <formula>M145="Pecado"</formula>
    </cfRule>
    <cfRule type="expression" dxfId="456" priority="107" stopIfTrue="1">
      <formula>M145="Paz"</formula>
    </cfRule>
    <cfRule type="expression" dxfId="455" priority="108" stopIfTrue="1">
      <formula>M145="Nobleza"</formula>
    </cfRule>
    <cfRule type="expression" dxfId="454" priority="109" stopIfTrue="1">
      <formula>M145="Musical"</formula>
    </cfRule>
    <cfRule type="expression" dxfId="453" priority="110" stopIfTrue="1">
      <formula>M145="Muerte"</formula>
    </cfRule>
    <cfRule type="expression" dxfId="452" priority="111" stopIfTrue="1">
      <formula>M145="Literae"</formula>
    </cfRule>
    <cfRule type="expression" dxfId="451" priority="112" stopIfTrue="1">
      <formula>M145="Guerra"</formula>
    </cfRule>
    <cfRule type="expression" dxfId="450" priority="113" stopIfTrue="1">
      <formula>M145="Caos"</formula>
    </cfRule>
    <cfRule type="expression" dxfId="449" priority="114" stopIfTrue="1">
      <formula>M145="Nigromancia"</formula>
    </cfRule>
    <cfRule type="expression" dxfId="448" priority="115" stopIfTrue="1">
      <formula>M145="Ilusión"</formula>
    </cfRule>
    <cfRule type="expression" dxfId="447" priority="116" stopIfTrue="1">
      <formula>M145="Esencia"</formula>
    </cfRule>
    <cfRule type="expression" dxfId="446" priority="117" stopIfTrue="1">
      <formula>M145="Tierra"</formula>
    </cfRule>
    <cfRule type="expression" dxfId="445" priority="118" stopIfTrue="1">
      <formula>M145="Fuego"</formula>
    </cfRule>
    <cfRule type="expression" dxfId="444" priority="119" stopIfTrue="1">
      <formula>M145="Agua"</formula>
    </cfRule>
    <cfRule type="expression" dxfId="443" priority="120" stopIfTrue="1">
      <formula>M145="Aire"</formula>
    </cfRule>
    <cfRule type="expression" dxfId="442" priority="121" stopIfTrue="1">
      <formula>M145="Destrucción"</formula>
    </cfRule>
    <cfRule type="expression" dxfId="441" priority="122" stopIfTrue="1">
      <formula>M145="Creación"</formula>
    </cfRule>
    <cfRule type="expression" dxfId="440" priority="123" stopIfTrue="1">
      <formula>M145="Oscuridad"</formula>
    </cfRule>
    <cfRule type="expression" dxfId="439"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438" priority="97" stopIfTrue="1">
      <formula>ISERROR(C212)</formula>
    </cfRule>
  </conditionalFormatting>
  <conditionalFormatting sqref="H223:M223 H224:Q224">
    <cfRule type="containsErrors" dxfId="437" priority="96" stopIfTrue="1">
      <formula>ISERROR(H223)</formula>
    </cfRule>
  </conditionalFormatting>
  <conditionalFormatting sqref="H234:M234 H235:Q235">
    <cfRule type="containsErrors" dxfId="436" priority="95" stopIfTrue="1">
      <formula>ISERROR(H234)</formula>
    </cfRule>
  </conditionalFormatting>
  <conditionalFormatting sqref="H245:M245 H246:Q246">
    <cfRule type="containsErrors" dxfId="435" priority="94" stopIfTrue="1">
      <formula>ISERROR(H245)</formula>
    </cfRule>
  </conditionalFormatting>
  <conditionalFormatting sqref="H256:M256 H257:Q257">
    <cfRule type="containsErrors" dxfId="434" priority="93" stopIfTrue="1">
      <formula>ISERROR(H256)</formula>
    </cfRule>
  </conditionalFormatting>
  <conditionalFormatting sqref="AA212:AF212 AA213:AJ213">
    <cfRule type="containsErrors" dxfId="433" priority="92" stopIfTrue="1">
      <formula>ISERROR(AA212)</formula>
    </cfRule>
  </conditionalFormatting>
  <conditionalFormatting sqref="AA223:AF223 AA224:AJ224">
    <cfRule type="containsErrors" dxfId="432" priority="91" stopIfTrue="1">
      <formula>ISERROR(AA223)</formula>
    </cfRule>
  </conditionalFormatting>
  <conditionalFormatting sqref="AA234:AF234 AA235:AJ235">
    <cfRule type="containsErrors" dxfId="431" priority="90" stopIfTrue="1">
      <formula>ISERROR(AA234)</formula>
    </cfRule>
  </conditionalFormatting>
  <conditionalFormatting sqref="AA245:AF245 AA246:AJ246">
    <cfRule type="containsErrors" dxfId="430" priority="89" stopIfTrue="1">
      <formula>ISERROR(AA245)</formula>
    </cfRule>
  </conditionalFormatting>
  <conditionalFormatting sqref="AA256:AF256 AA257:AJ257">
    <cfRule type="containsErrors" dxfId="429" priority="88" stopIfTrue="1">
      <formula>ISERROR(AA256)</formula>
    </cfRule>
  </conditionalFormatting>
  <conditionalFormatting sqref="V211:AJ211">
    <cfRule type="containsErrors" dxfId="428" priority="87" stopIfTrue="1">
      <formula>ISERROR(V211)</formula>
    </cfRule>
  </conditionalFormatting>
  <conditionalFormatting sqref="C211:Q211">
    <cfRule type="containsErrors" dxfId="427" priority="86" stopIfTrue="1">
      <formula>ISERROR(C211)</formula>
    </cfRule>
  </conditionalFormatting>
  <conditionalFormatting sqref="P212 P223 P234 P245 P256 AI212 AI223 AI234 AI245 AI256">
    <cfRule type="expression" dxfId="426" priority="84" stopIfTrue="1">
      <formula>$P$7&lt;&gt;"No"</formula>
    </cfRule>
    <cfRule type="containsText" dxfId="425" priority="85" stopIfTrue="1" operator="containsText" text="Aprendido">
      <formula>NOT(ISERROR(SEARCH("Aprendido",P212)))</formula>
    </cfRule>
  </conditionalFormatting>
  <conditionalFormatting sqref="C212 C223 C234 C245 C256 V212 V223 V234 V245 V256">
    <cfRule type="expression" dxfId="424" priority="57" stopIfTrue="1">
      <formula>$P$7="No"</formula>
    </cfRule>
    <cfRule type="expression" dxfId="423" priority="58" stopIfTrue="1">
      <formula>AND($P$6&lt;&gt;0,I212&gt;$P$6)</formula>
    </cfRule>
    <cfRule type="expression" dxfId="422" priority="59" stopIfTrue="1">
      <formula>M212="Vacío"</formula>
    </cfRule>
    <cfRule type="expression" dxfId="421" priority="60" stopIfTrue="1">
      <formula>M212="Umbral"</formula>
    </cfRule>
    <cfRule type="expression" dxfId="420" priority="61" stopIfTrue="1">
      <formula>M212="Tiempo"</formula>
    </cfRule>
    <cfRule type="expression" dxfId="419" priority="62" stopIfTrue="1">
      <formula>M212="Sueños"</formula>
    </cfRule>
    <cfRule type="expression" dxfId="418" priority="63" stopIfTrue="1">
      <formula>M212="Sangre"</formula>
    </cfRule>
    <cfRule type="expression" dxfId="417" priority="64" stopIfTrue="1">
      <formula>M212="Conocimiento"</formula>
    </cfRule>
    <cfRule type="expression" dxfId="416" priority="65" stopIfTrue="1">
      <formula>M212="Pecado"</formula>
    </cfRule>
    <cfRule type="expression" dxfId="415" priority="66" stopIfTrue="1">
      <formula>M212="Paz"</formula>
    </cfRule>
    <cfRule type="expression" dxfId="414" priority="67" stopIfTrue="1">
      <formula>M212="Nobleza"</formula>
    </cfRule>
    <cfRule type="expression" dxfId="413" priority="68" stopIfTrue="1">
      <formula>M212="Musical"</formula>
    </cfRule>
    <cfRule type="expression" dxfId="412" priority="69" stopIfTrue="1">
      <formula>M212="Muerte"</formula>
    </cfRule>
    <cfRule type="expression" dxfId="411" priority="70" stopIfTrue="1">
      <formula>M212="Literae"</formula>
    </cfRule>
    <cfRule type="expression" dxfId="410" priority="71" stopIfTrue="1">
      <formula>M212="Guerra"</formula>
    </cfRule>
    <cfRule type="expression" dxfId="409" priority="72" stopIfTrue="1">
      <formula>M212="Caos"</formula>
    </cfRule>
    <cfRule type="expression" dxfId="408" priority="73" stopIfTrue="1">
      <formula>M212="Nigromancia"</formula>
    </cfRule>
    <cfRule type="expression" dxfId="407" priority="74" stopIfTrue="1">
      <formula>M212="Ilusión"</formula>
    </cfRule>
    <cfRule type="expression" dxfId="406" priority="75" stopIfTrue="1">
      <formula>M212="Esencia"</formula>
    </cfRule>
    <cfRule type="expression" dxfId="405" priority="76" stopIfTrue="1">
      <formula>M212="Tierra"</formula>
    </cfRule>
    <cfRule type="expression" dxfId="404" priority="77" stopIfTrue="1">
      <formula>M212="Fuego"</formula>
    </cfRule>
    <cfRule type="expression" dxfId="403" priority="78" stopIfTrue="1">
      <formula>M212="Agua"</formula>
    </cfRule>
    <cfRule type="expression" dxfId="402" priority="79" stopIfTrue="1">
      <formula>M212="Aire"</formula>
    </cfRule>
    <cfRule type="expression" dxfId="401" priority="80" stopIfTrue="1">
      <formula>M212="Destrucción"</formula>
    </cfRule>
    <cfRule type="expression" dxfId="400" priority="81" stopIfTrue="1">
      <formula>M212="Creación"</formula>
    </cfRule>
    <cfRule type="expression" dxfId="399" priority="82" stopIfTrue="1">
      <formula>M212="Oscuridad"</formula>
    </cfRule>
    <cfRule type="expression" dxfId="398"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397" priority="56" stopIfTrue="1">
      <formula>ISERROR(C279)</formula>
    </cfRule>
  </conditionalFormatting>
  <conditionalFormatting sqref="H290:M290 H291:Q291">
    <cfRule type="containsErrors" dxfId="396" priority="55" stopIfTrue="1">
      <formula>ISERROR(H290)</formula>
    </cfRule>
  </conditionalFormatting>
  <conditionalFormatting sqref="H301:M301 H302:Q302">
    <cfRule type="containsErrors" dxfId="395" priority="54" stopIfTrue="1">
      <formula>ISERROR(H301)</formula>
    </cfRule>
  </conditionalFormatting>
  <conditionalFormatting sqref="H312:M312 H313:Q313">
    <cfRule type="containsErrors" dxfId="394" priority="53" stopIfTrue="1">
      <formula>ISERROR(H312)</formula>
    </cfRule>
  </conditionalFormatting>
  <conditionalFormatting sqref="H323:M323 H324:Q324">
    <cfRule type="containsErrors" dxfId="393" priority="52" stopIfTrue="1">
      <formula>ISERROR(H323)</formula>
    </cfRule>
  </conditionalFormatting>
  <conditionalFormatting sqref="AA279:AF279 AA280:AJ280">
    <cfRule type="containsErrors" dxfId="392" priority="51" stopIfTrue="1">
      <formula>ISERROR(AA279)</formula>
    </cfRule>
  </conditionalFormatting>
  <conditionalFormatting sqref="AA290:AF290 AA291:AJ291">
    <cfRule type="containsErrors" dxfId="391" priority="50" stopIfTrue="1">
      <formula>ISERROR(AA290)</formula>
    </cfRule>
  </conditionalFormatting>
  <conditionalFormatting sqref="AA301:AF301 AA302:AJ302">
    <cfRule type="containsErrors" dxfId="390" priority="49" stopIfTrue="1">
      <formula>ISERROR(AA301)</formula>
    </cfRule>
  </conditionalFormatting>
  <conditionalFormatting sqref="AA312:AF312 AA313:AJ313">
    <cfRule type="containsErrors" dxfId="389" priority="48" stopIfTrue="1">
      <formula>ISERROR(AA312)</formula>
    </cfRule>
  </conditionalFormatting>
  <conditionalFormatting sqref="AA323:AF323 AA324:AJ324">
    <cfRule type="containsErrors" dxfId="388" priority="47" stopIfTrue="1">
      <formula>ISERROR(AA323)</formula>
    </cfRule>
  </conditionalFormatting>
  <conditionalFormatting sqref="V278:AJ278">
    <cfRule type="containsErrors" dxfId="387" priority="46" stopIfTrue="1">
      <formula>ISERROR(V278)</formula>
    </cfRule>
  </conditionalFormatting>
  <conditionalFormatting sqref="C278:Q278">
    <cfRule type="containsErrors" dxfId="386" priority="45" stopIfTrue="1">
      <formula>ISERROR(C278)</formula>
    </cfRule>
  </conditionalFormatting>
  <conditionalFormatting sqref="P279 P290 P301 P312 P323 AI279 AI290 AI301 AI312 AI323">
    <cfRule type="expression" dxfId="385" priority="43" stopIfTrue="1">
      <formula>$P$7&lt;&gt;"No"</formula>
    </cfRule>
    <cfRule type="containsText" dxfId="384" priority="44" stopIfTrue="1" operator="containsText" text="Aprendido">
      <formula>NOT(ISERROR(SEARCH("Aprendido",P279)))</formula>
    </cfRule>
  </conditionalFormatting>
  <conditionalFormatting sqref="C279 C290 C301 C312 C323 V279 V290 V301 V312 V323">
    <cfRule type="expression" dxfId="383" priority="16" stopIfTrue="1">
      <formula>$P$7="No"</formula>
    </cfRule>
    <cfRule type="expression" dxfId="382" priority="17" stopIfTrue="1">
      <formula>AND($P$6&lt;&gt;0,I279&gt;$P$6)</formula>
    </cfRule>
    <cfRule type="expression" dxfId="381" priority="18" stopIfTrue="1">
      <formula>M279="Vacío"</formula>
    </cfRule>
    <cfRule type="expression" dxfId="380" priority="19" stopIfTrue="1">
      <formula>M279="Umbral"</formula>
    </cfRule>
    <cfRule type="expression" dxfId="379" priority="20" stopIfTrue="1">
      <formula>M279="Tiempo"</formula>
    </cfRule>
    <cfRule type="expression" dxfId="378" priority="21" stopIfTrue="1">
      <formula>M279="Sueños"</formula>
    </cfRule>
    <cfRule type="expression" dxfId="377" priority="22" stopIfTrue="1">
      <formula>M279="Sangre"</formula>
    </cfRule>
    <cfRule type="expression" dxfId="376" priority="23" stopIfTrue="1">
      <formula>M279="Conocimiento"</formula>
    </cfRule>
    <cfRule type="expression" dxfId="375" priority="24" stopIfTrue="1">
      <formula>M279="Pecado"</formula>
    </cfRule>
    <cfRule type="expression" dxfId="374" priority="25" stopIfTrue="1">
      <formula>M279="Paz"</formula>
    </cfRule>
    <cfRule type="expression" dxfId="373" priority="26" stopIfTrue="1">
      <formula>M279="Nobleza"</formula>
    </cfRule>
    <cfRule type="expression" dxfId="372" priority="27" stopIfTrue="1">
      <formula>M279="Musical"</formula>
    </cfRule>
    <cfRule type="expression" dxfId="371" priority="28" stopIfTrue="1">
      <formula>M279="Muerte"</formula>
    </cfRule>
    <cfRule type="expression" dxfId="370" priority="29" stopIfTrue="1">
      <formula>M279="Literae"</formula>
    </cfRule>
    <cfRule type="expression" dxfId="369" priority="30" stopIfTrue="1">
      <formula>M279="Guerra"</formula>
    </cfRule>
    <cfRule type="expression" dxfId="368" priority="31" stopIfTrue="1">
      <formula>M279="Caos"</formula>
    </cfRule>
    <cfRule type="expression" dxfId="367" priority="32" stopIfTrue="1">
      <formula>M279="Nigromancia"</formula>
    </cfRule>
    <cfRule type="expression" dxfId="366" priority="33" stopIfTrue="1">
      <formula>M279="Ilusión"</formula>
    </cfRule>
    <cfRule type="expression" dxfId="365" priority="34" stopIfTrue="1">
      <formula>M279="Esencia"</formula>
    </cfRule>
    <cfRule type="expression" dxfId="364" priority="35" stopIfTrue="1">
      <formula>M279="Tierra"</formula>
    </cfRule>
    <cfRule type="expression" dxfId="363" priority="36" stopIfTrue="1">
      <formula>M279="Fuego"</formula>
    </cfRule>
    <cfRule type="expression" dxfId="362" priority="37" stopIfTrue="1">
      <formula>M279="Agua"</formula>
    </cfRule>
    <cfRule type="expression" dxfId="361" priority="38" stopIfTrue="1">
      <formula>M279="Aire"</formula>
    </cfRule>
    <cfRule type="expression" dxfId="360" priority="39" stopIfTrue="1">
      <formula>M279="Destrucción"</formula>
    </cfRule>
    <cfRule type="expression" dxfId="359" priority="40" stopIfTrue="1">
      <formula>M279="Creación"</formula>
    </cfRule>
    <cfRule type="expression" dxfId="358" priority="41" stopIfTrue="1">
      <formula>M279="Oscuridad"</formula>
    </cfRule>
    <cfRule type="expression" dxfId="357" priority="42" stopIfTrue="1">
      <formula>M279="Luz"</formula>
    </cfRule>
  </conditionalFormatting>
  <conditionalFormatting sqref="T2:T9">
    <cfRule type="containsErrors" dxfId="356" priority="15" stopIfTrue="1">
      <formula>ISERROR(T2)</formula>
    </cfRule>
  </conditionalFormatting>
  <conditionalFormatting sqref="C132:Q132">
    <cfRule type="containsErrors" dxfId="355" priority="13" stopIfTrue="1">
      <formula>ISERROR(C132)</formula>
    </cfRule>
  </conditionalFormatting>
  <conditionalFormatting sqref="C199:Q199">
    <cfRule type="containsErrors" dxfId="354" priority="12" stopIfTrue="1">
      <formula>ISERROR(C199)</formula>
    </cfRule>
  </conditionalFormatting>
  <conditionalFormatting sqref="C266:Q266">
    <cfRule type="containsErrors" dxfId="353" priority="11" stopIfTrue="1">
      <formula>ISERROR(C266)</formula>
    </cfRule>
  </conditionalFormatting>
  <conditionalFormatting sqref="C333:Q333">
    <cfRule type="containsErrors" dxfId="352" priority="10" stopIfTrue="1">
      <formula>ISERROR(C333)</formula>
    </cfRule>
  </conditionalFormatting>
  <conditionalFormatting sqref="V132:AJ132">
    <cfRule type="containsErrors" dxfId="351" priority="9" stopIfTrue="1">
      <formula>ISERROR(V132)</formula>
    </cfRule>
  </conditionalFormatting>
  <conditionalFormatting sqref="V199:AJ199">
    <cfRule type="containsErrors" dxfId="350" priority="8" stopIfTrue="1">
      <formula>ISERROR(V199)</formula>
    </cfRule>
  </conditionalFormatting>
  <conditionalFormatting sqref="V266:AJ266">
    <cfRule type="containsErrors" dxfId="349" priority="7" stopIfTrue="1">
      <formula>ISERROR(V266)</formula>
    </cfRule>
  </conditionalFormatting>
  <conditionalFormatting sqref="V333:AJ333">
    <cfRule type="containsErrors" dxfId="348" priority="6" stopIfTrue="1">
      <formula>ISERROR(V333)</formula>
    </cfRule>
  </conditionalFormatting>
  <conditionalFormatting sqref="A68:S68">
    <cfRule type="containsErrors" dxfId="347" priority="5" stopIfTrue="1">
      <formula>ISERROR(A68)</formula>
    </cfRule>
  </conditionalFormatting>
  <conditionalFormatting sqref="A135:S135">
    <cfRule type="containsErrors" dxfId="346" priority="4" stopIfTrue="1">
      <formula>ISERROR(A135)</formula>
    </cfRule>
  </conditionalFormatting>
  <conditionalFormatting sqref="A202:S202">
    <cfRule type="containsErrors" dxfId="345" priority="3" stopIfTrue="1">
      <formula>ISERROR(A202)</formula>
    </cfRule>
  </conditionalFormatting>
  <conditionalFormatting sqref="A269:S269">
    <cfRule type="containsErrors" dxfId="344" priority="2" stopIfTrue="1">
      <formula>ISERROR(A269)</formula>
    </cfRule>
  </conditionalFormatting>
  <conditionalFormatting sqref="J7:L7">
    <cfRule type="containsErrors" dxfId="343"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74"/>
      <c r="B1" s="6274"/>
      <c r="C1" s="6274"/>
      <c r="D1" s="6274"/>
      <c r="E1" s="6274"/>
      <c r="F1" s="6274"/>
      <c r="G1" s="6274"/>
      <c r="H1" s="6274"/>
      <c r="I1" s="6274"/>
      <c r="J1" s="6274"/>
      <c r="K1" s="6274"/>
      <c r="L1" s="6274"/>
      <c r="M1" s="6274"/>
      <c r="N1" s="6274"/>
      <c r="O1" s="6274"/>
      <c r="P1" s="6274"/>
      <c r="Q1" s="6274"/>
      <c r="R1" s="6274"/>
      <c r="S1" s="6274"/>
      <c r="T1" s="6274"/>
      <c r="U1" s="6274"/>
      <c r="V1" s="6274"/>
      <c r="W1" s="6274"/>
      <c r="X1" s="6274"/>
      <c r="Y1" s="6274"/>
      <c r="Z1" s="6274"/>
      <c r="AA1" s="6274"/>
      <c r="AB1" s="6274"/>
      <c r="AC1" s="6274"/>
      <c r="AD1" s="6274"/>
      <c r="AE1" s="6274"/>
      <c r="AF1" s="6274"/>
      <c r="AG1" s="6274"/>
      <c r="AH1" s="6274"/>
      <c r="AI1" s="6274"/>
      <c r="AJ1" s="6274"/>
      <c r="AK1" s="6274"/>
      <c r="AL1" s="6274"/>
      <c r="AM1" s="6274"/>
      <c r="AN1" s="6274"/>
      <c r="AO1" s="6274"/>
      <c r="AP1" s="6274"/>
      <c r="AQ1" s="6274"/>
      <c r="AR1" s="6274"/>
      <c r="AS1" s="6274"/>
      <c r="AT1" s="6274"/>
      <c r="AU1" s="6274"/>
      <c r="AV1" s="6274"/>
      <c r="AW1" s="6274"/>
      <c r="AX1" s="6274"/>
      <c r="AY1" s="6274"/>
      <c r="AZ1" s="6274"/>
      <c r="BA1" s="6274"/>
      <c r="BB1" s="6274"/>
      <c r="BC1" s="6274"/>
      <c r="BD1" s="6274"/>
      <c r="BE1" s="6274"/>
      <c r="BF1" s="6274"/>
      <c r="BG1" s="6274"/>
      <c r="BH1" s="6274"/>
      <c r="BI1" s="6274"/>
      <c r="BJ1" s="6274"/>
      <c r="BK1" s="6274"/>
      <c r="BL1" s="6274"/>
      <c r="BM1" s="6274"/>
      <c r="BN1" s="6274"/>
      <c r="BO1" s="6274"/>
      <c r="BP1" s="6274"/>
      <c r="BQ1" s="6274"/>
      <c r="BR1" s="6274"/>
      <c r="BS1" s="6274"/>
      <c r="BT1" s="6274"/>
      <c r="BU1" s="6274"/>
      <c r="BV1" s="6274"/>
      <c r="BW1" s="6274"/>
      <c r="BX1" s="6274"/>
      <c r="BY1" s="6274"/>
      <c r="BZ1" s="6274"/>
      <c r="CA1" s="6274"/>
      <c r="CB1" s="6274"/>
      <c r="CC1" s="6274"/>
      <c r="CD1" s="6274"/>
      <c r="CE1" s="6274"/>
      <c r="CF1" s="6274"/>
      <c r="CG1" s="6274"/>
      <c r="CH1" s="6274"/>
      <c r="CI1" s="6274"/>
      <c r="CJ1" s="6274"/>
      <c r="CK1" s="6274"/>
      <c r="CL1" s="6274"/>
      <c r="CM1" s="6274"/>
      <c r="CN1" s="6274"/>
      <c r="CO1" s="6274"/>
      <c r="CP1" s="6274"/>
      <c r="CQ1" s="6274"/>
      <c r="CR1" s="6274"/>
      <c r="CS1" s="6274"/>
      <c r="CT1" s="6274"/>
      <c r="CU1" s="6274"/>
      <c r="CV1" s="6274"/>
      <c r="CW1" s="6274"/>
      <c r="CX1" s="6274"/>
      <c r="CY1" s="6274"/>
      <c r="CZ1" s="6274"/>
      <c r="DA1" s="6274"/>
      <c r="DB1" s="6274"/>
      <c r="DC1" s="6274"/>
      <c r="DD1" s="6274"/>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208"/>
      <c r="D3" s="4209"/>
      <c r="E3" s="4209"/>
      <c r="F3" s="4209"/>
      <c r="G3" s="4209"/>
      <c r="H3" s="4209"/>
      <c r="I3" s="424"/>
      <c r="J3" s="424"/>
      <c r="K3" s="424"/>
      <c r="L3" s="424"/>
      <c r="M3" s="424"/>
      <c r="N3" s="424"/>
      <c r="O3" s="424"/>
      <c r="P3" s="424"/>
      <c r="Q3" s="424"/>
      <c r="R3" s="1786"/>
      <c r="S3" s="424"/>
      <c r="T3" s="424"/>
      <c r="U3" s="424"/>
      <c r="V3" s="424"/>
      <c r="W3" s="424"/>
      <c r="X3" s="424"/>
      <c r="Y3" s="425"/>
      <c r="Z3" s="426"/>
      <c r="AA3" s="420"/>
      <c r="AB3" s="420"/>
      <c r="AC3" s="289"/>
      <c r="AD3" s="4208"/>
      <c r="AE3" s="4209"/>
      <c r="AF3" s="4209"/>
      <c r="AG3" s="4209"/>
      <c r="AH3" s="4209"/>
      <c r="AI3" s="4209"/>
      <c r="AJ3" s="424"/>
      <c r="AK3" s="424"/>
      <c r="AL3" s="424"/>
      <c r="AM3" s="424"/>
      <c r="AN3" s="424"/>
      <c r="AO3" s="424"/>
      <c r="AP3" s="424"/>
      <c r="AQ3" s="424"/>
      <c r="AR3" s="424"/>
      <c r="AS3" s="1786"/>
      <c r="AT3" s="424"/>
      <c r="AU3" s="424"/>
      <c r="AV3" s="424"/>
      <c r="AW3" s="424"/>
      <c r="AX3" s="424"/>
      <c r="AY3" s="424"/>
      <c r="AZ3" s="425"/>
      <c r="BA3" s="426"/>
      <c r="BB3" s="420"/>
      <c r="BC3" s="420"/>
      <c r="BD3" s="289"/>
      <c r="BE3" s="4208"/>
      <c r="BF3" s="4209"/>
      <c r="BG3" s="4209"/>
      <c r="BH3" s="4209"/>
      <c r="BI3" s="4209"/>
      <c r="BJ3" s="4209"/>
      <c r="BK3" s="424"/>
      <c r="BL3" s="424"/>
      <c r="BM3" s="424"/>
      <c r="BN3" s="424"/>
      <c r="BO3" s="424"/>
      <c r="BP3" s="424"/>
      <c r="BQ3" s="424"/>
      <c r="BR3" s="424"/>
      <c r="BS3" s="424"/>
      <c r="BT3" s="1786"/>
      <c r="BU3" s="424"/>
      <c r="BV3" s="424"/>
      <c r="BW3" s="424"/>
      <c r="BX3" s="424"/>
      <c r="BY3" s="424"/>
      <c r="BZ3" s="424"/>
      <c r="CA3" s="425"/>
      <c r="CB3" s="426"/>
      <c r="CC3" s="420"/>
      <c r="CD3" s="420"/>
      <c r="CE3" s="289"/>
      <c r="CF3" s="4208"/>
      <c r="CG3" s="4209"/>
      <c r="CH3" s="4209"/>
      <c r="CI3" s="4209"/>
      <c r="CJ3" s="4209"/>
      <c r="CK3" s="4209"/>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210"/>
      <c r="D4" s="4211"/>
      <c r="E4" s="4211"/>
      <c r="F4" s="4211"/>
      <c r="G4" s="4211"/>
      <c r="H4" s="4211"/>
      <c r="I4" s="6275" t="s">
        <v>1326</v>
      </c>
      <c r="J4" s="6275"/>
      <c r="K4" s="3189" t="str">
        <f>IF(OR(General!$F$22="",General!$F$22=0),"",General!$F$22)</f>
        <v/>
      </c>
      <c r="L4" s="3189"/>
      <c r="M4" s="3189"/>
      <c r="N4" s="3189"/>
      <c r="O4" s="3189"/>
      <c r="P4" s="3189"/>
      <c r="Q4" s="1787"/>
      <c r="R4" s="1518"/>
      <c r="S4" s="4206" t="s">
        <v>8931</v>
      </c>
      <c r="T4" s="4207"/>
      <c r="U4" s="4207"/>
      <c r="V4" s="4207"/>
      <c r="W4" s="4207"/>
      <c r="X4" s="4207"/>
      <c r="Y4" s="427"/>
      <c r="Z4" s="426"/>
      <c r="AA4" s="420"/>
      <c r="AB4" s="420"/>
      <c r="AC4" s="289"/>
      <c r="AD4" s="4210"/>
      <c r="AE4" s="4211"/>
      <c r="AF4" s="4211"/>
      <c r="AG4" s="4211"/>
      <c r="AH4" s="4211"/>
      <c r="AI4" s="4211"/>
      <c r="AJ4" s="6275" t="s">
        <v>1326</v>
      </c>
      <c r="AK4" s="6275"/>
      <c r="AL4" s="3189" t="str">
        <f>IF(OR(General!$F$22="",General!$F$22=0),"",General!$F$22)</f>
        <v/>
      </c>
      <c r="AM4" s="3189"/>
      <c r="AN4" s="3189"/>
      <c r="AO4" s="3189"/>
      <c r="AP4" s="3189"/>
      <c r="AQ4" s="3189"/>
      <c r="AR4" s="1787"/>
      <c r="AS4" s="1518"/>
      <c r="AT4" s="4206" t="s">
        <v>8932</v>
      </c>
      <c r="AU4" s="4207"/>
      <c r="AV4" s="4207"/>
      <c r="AW4" s="4207"/>
      <c r="AX4" s="4207"/>
      <c r="AY4" s="4207"/>
      <c r="AZ4" s="427"/>
      <c r="BA4" s="426"/>
      <c r="BB4" s="420"/>
      <c r="BC4" s="420"/>
      <c r="BD4" s="289"/>
      <c r="BE4" s="4210"/>
      <c r="BF4" s="4211"/>
      <c r="BG4" s="4211"/>
      <c r="BH4" s="4211"/>
      <c r="BI4" s="4211"/>
      <c r="BJ4" s="4211"/>
      <c r="BK4" s="6275" t="s">
        <v>1326</v>
      </c>
      <c r="BL4" s="6275"/>
      <c r="BM4" s="3189" t="str">
        <f>IF(OR(General!$F$22="",General!$F$22=0),"",General!$F$22)</f>
        <v/>
      </c>
      <c r="BN4" s="3189"/>
      <c r="BO4" s="3189"/>
      <c r="BP4" s="3189"/>
      <c r="BQ4" s="3189"/>
      <c r="BR4" s="3189"/>
      <c r="BS4" s="1787"/>
      <c r="BT4" s="1518"/>
      <c r="BU4" s="4206" t="s">
        <v>8933</v>
      </c>
      <c r="BV4" s="4207"/>
      <c r="BW4" s="4207"/>
      <c r="BX4" s="4207"/>
      <c r="BY4" s="4207"/>
      <c r="BZ4" s="4207"/>
      <c r="CA4" s="427"/>
      <c r="CB4" s="426"/>
      <c r="CC4" s="420"/>
      <c r="CD4" s="420"/>
      <c r="CE4" s="289"/>
      <c r="CF4" s="4210"/>
      <c r="CG4" s="4211"/>
      <c r="CH4" s="4211"/>
      <c r="CI4" s="4211"/>
      <c r="CJ4" s="4211"/>
      <c r="CK4" s="4211"/>
      <c r="CL4" s="6275" t="s">
        <v>1326</v>
      </c>
      <c r="CM4" s="6275"/>
      <c r="CN4" s="3189" t="str">
        <f>IF(OR(General!$F$22="",General!$F$22=0),"",General!$F$22)</f>
        <v/>
      </c>
      <c r="CO4" s="3189"/>
      <c r="CP4" s="3189"/>
      <c r="CQ4" s="3189"/>
      <c r="CR4" s="3189"/>
      <c r="CS4" s="3189"/>
      <c r="CT4" s="1787"/>
      <c r="CU4" s="1518"/>
      <c r="CV4" s="4206" t="s">
        <v>8934</v>
      </c>
      <c r="CW4" s="4207"/>
      <c r="CX4" s="4207"/>
      <c r="CY4" s="4207"/>
      <c r="CZ4" s="4207"/>
      <c r="DA4" s="4207"/>
      <c r="DB4" s="427"/>
      <c r="DC4" s="426"/>
      <c r="DD4" s="420"/>
    </row>
    <row r="5" spans="1:108" ht="12" customHeight="1" x14ac:dyDescent="0.2">
      <c r="A5" s="420"/>
      <c r="B5" s="289"/>
      <c r="C5" s="4210"/>
      <c r="D5" s="4211"/>
      <c r="E5" s="4211"/>
      <c r="F5" s="4211"/>
      <c r="G5" s="4211"/>
      <c r="H5" s="4211"/>
      <c r="I5" s="6276" t="s">
        <v>1327</v>
      </c>
      <c r="J5" s="6276"/>
      <c r="K5" s="3002" t="str">
        <f>PDs!$J$8</f>
        <v/>
      </c>
      <c r="L5" s="3002"/>
      <c r="M5" s="3002"/>
      <c r="N5" s="3002"/>
      <c r="O5" s="3002"/>
      <c r="P5" s="2472" t="s">
        <v>1328</v>
      </c>
      <c r="Q5" s="2473" t="str">
        <f>Principal!$O$6</f>
        <v>0</v>
      </c>
      <c r="R5" s="1518"/>
      <c r="S5" s="4207"/>
      <c r="T5" s="4207"/>
      <c r="U5" s="4207"/>
      <c r="V5" s="4207"/>
      <c r="W5" s="4207"/>
      <c r="X5" s="4207"/>
      <c r="Y5" s="427"/>
      <c r="Z5" s="426"/>
      <c r="AA5" s="420"/>
      <c r="AB5" s="420"/>
      <c r="AC5" s="289"/>
      <c r="AD5" s="4210"/>
      <c r="AE5" s="4211"/>
      <c r="AF5" s="4211"/>
      <c r="AG5" s="4211"/>
      <c r="AH5" s="4211"/>
      <c r="AI5" s="4211"/>
      <c r="AJ5" s="6276" t="s">
        <v>1327</v>
      </c>
      <c r="AK5" s="6276"/>
      <c r="AL5" s="3002" t="str">
        <f>PDs!$J$8</f>
        <v/>
      </c>
      <c r="AM5" s="3002"/>
      <c r="AN5" s="3002"/>
      <c r="AO5" s="3002"/>
      <c r="AP5" s="3002"/>
      <c r="AQ5" s="2472" t="s">
        <v>1328</v>
      </c>
      <c r="AR5" s="2473" t="str">
        <f>Principal!$O$6</f>
        <v>0</v>
      </c>
      <c r="AS5" s="1518"/>
      <c r="AT5" s="4207"/>
      <c r="AU5" s="4207"/>
      <c r="AV5" s="4207"/>
      <c r="AW5" s="4207"/>
      <c r="AX5" s="4207"/>
      <c r="AY5" s="4207"/>
      <c r="AZ5" s="427"/>
      <c r="BA5" s="426"/>
      <c r="BB5" s="420"/>
      <c r="BC5" s="420"/>
      <c r="BD5" s="289"/>
      <c r="BE5" s="4210"/>
      <c r="BF5" s="4211"/>
      <c r="BG5" s="4211"/>
      <c r="BH5" s="4211"/>
      <c r="BI5" s="4211"/>
      <c r="BJ5" s="4211"/>
      <c r="BK5" s="6276" t="s">
        <v>1327</v>
      </c>
      <c r="BL5" s="6276"/>
      <c r="BM5" s="3002" t="str">
        <f>PDs!$J$8</f>
        <v/>
      </c>
      <c r="BN5" s="3002"/>
      <c r="BO5" s="3002"/>
      <c r="BP5" s="3002"/>
      <c r="BQ5" s="3002"/>
      <c r="BR5" s="2472" t="s">
        <v>1328</v>
      </c>
      <c r="BS5" s="2473" t="str">
        <f>Principal!$O$6</f>
        <v>0</v>
      </c>
      <c r="BT5" s="1518"/>
      <c r="BU5" s="4207"/>
      <c r="BV5" s="4207"/>
      <c r="BW5" s="4207"/>
      <c r="BX5" s="4207"/>
      <c r="BY5" s="4207"/>
      <c r="BZ5" s="4207"/>
      <c r="CA5" s="427"/>
      <c r="CB5" s="426"/>
      <c r="CC5" s="420"/>
      <c r="CD5" s="420"/>
      <c r="CE5" s="289"/>
      <c r="CF5" s="4210"/>
      <c r="CG5" s="4211"/>
      <c r="CH5" s="4211"/>
      <c r="CI5" s="4211"/>
      <c r="CJ5" s="4211"/>
      <c r="CK5" s="4211"/>
      <c r="CL5" s="6276" t="s">
        <v>1327</v>
      </c>
      <c r="CM5" s="6276"/>
      <c r="CN5" s="3002" t="str">
        <f>PDs!$J$8</f>
        <v/>
      </c>
      <c r="CO5" s="3002"/>
      <c r="CP5" s="3002"/>
      <c r="CQ5" s="3002"/>
      <c r="CR5" s="3002"/>
      <c r="CS5" s="2472" t="s">
        <v>1328</v>
      </c>
      <c r="CT5" s="2473" t="str">
        <f>Principal!$O$6</f>
        <v>0</v>
      </c>
      <c r="CU5" s="1518"/>
      <c r="CV5" s="4207"/>
      <c r="CW5" s="4207"/>
      <c r="CX5" s="4207"/>
      <c r="CY5" s="4207"/>
      <c r="CZ5" s="4207"/>
      <c r="DA5" s="4207"/>
      <c r="DB5" s="427"/>
      <c r="DC5" s="426"/>
      <c r="DD5" s="420"/>
    </row>
    <row r="6" spans="1:108" ht="12" customHeight="1" x14ac:dyDescent="0.2">
      <c r="A6" s="420"/>
      <c r="B6" s="289"/>
      <c r="C6" s="4210"/>
      <c r="D6" s="4211"/>
      <c r="E6" s="4211"/>
      <c r="F6" s="4211"/>
      <c r="G6" s="4211"/>
      <c r="H6" s="4211"/>
      <c r="I6" s="340"/>
      <c r="J6" s="4206" t="s">
        <v>6334</v>
      </c>
      <c r="K6" s="4207"/>
      <c r="L6" s="4207"/>
      <c r="M6" s="4207"/>
      <c r="N6" s="4207"/>
      <c r="O6" s="4207"/>
      <c r="P6" s="4207"/>
      <c r="Q6" s="340"/>
      <c r="R6" s="1518"/>
      <c r="S6" s="4240"/>
      <c r="T6" s="4241"/>
      <c r="U6" s="4241"/>
      <c r="V6" s="4241"/>
      <c r="W6" s="4241"/>
      <c r="X6" s="6270"/>
      <c r="Y6" s="427"/>
      <c r="Z6" s="426"/>
      <c r="AA6" s="420"/>
      <c r="AB6" s="420"/>
      <c r="AC6" s="289"/>
      <c r="AD6" s="4210"/>
      <c r="AE6" s="4211"/>
      <c r="AF6" s="4211"/>
      <c r="AG6" s="4211"/>
      <c r="AH6" s="4211"/>
      <c r="AI6" s="4211"/>
      <c r="AJ6" s="340"/>
      <c r="AK6" s="4206" t="s">
        <v>6334</v>
      </c>
      <c r="AL6" s="4207"/>
      <c r="AM6" s="4207"/>
      <c r="AN6" s="4207"/>
      <c r="AO6" s="4207"/>
      <c r="AP6" s="4207"/>
      <c r="AQ6" s="4207"/>
      <c r="AR6" s="340"/>
      <c r="AS6" s="1518"/>
      <c r="AT6" s="4240"/>
      <c r="AU6" s="4241"/>
      <c r="AV6" s="4241"/>
      <c r="AW6" s="4241"/>
      <c r="AX6" s="4241"/>
      <c r="AY6" s="6270"/>
      <c r="AZ6" s="427"/>
      <c r="BA6" s="426"/>
      <c r="BB6" s="420"/>
      <c r="BC6" s="420"/>
      <c r="BD6" s="289"/>
      <c r="BE6" s="4210"/>
      <c r="BF6" s="4211"/>
      <c r="BG6" s="4211"/>
      <c r="BH6" s="4211"/>
      <c r="BI6" s="4211"/>
      <c r="BJ6" s="4211"/>
      <c r="BK6" s="340"/>
      <c r="BL6" s="4206" t="s">
        <v>6334</v>
      </c>
      <c r="BM6" s="4207"/>
      <c r="BN6" s="4207"/>
      <c r="BO6" s="4207"/>
      <c r="BP6" s="4207"/>
      <c r="BQ6" s="4207"/>
      <c r="BR6" s="4207"/>
      <c r="BS6" s="340"/>
      <c r="BT6" s="1518"/>
      <c r="BU6" s="4240"/>
      <c r="BV6" s="4241"/>
      <c r="BW6" s="4241"/>
      <c r="BX6" s="4241"/>
      <c r="BY6" s="4241"/>
      <c r="BZ6" s="6270"/>
      <c r="CA6" s="427"/>
      <c r="CB6" s="426"/>
      <c r="CC6" s="420"/>
      <c r="CD6" s="420"/>
      <c r="CE6" s="289"/>
      <c r="CF6" s="4210"/>
      <c r="CG6" s="4211"/>
      <c r="CH6" s="4211"/>
      <c r="CI6" s="4211"/>
      <c r="CJ6" s="4211"/>
      <c r="CK6" s="4211"/>
      <c r="CL6" s="340"/>
      <c r="CM6" s="4206" t="s">
        <v>6334</v>
      </c>
      <c r="CN6" s="4207"/>
      <c r="CO6" s="4207"/>
      <c r="CP6" s="4207"/>
      <c r="CQ6" s="4207"/>
      <c r="CR6" s="4207"/>
      <c r="CS6" s="4207"/>
      <c r="CT6" s="340"/>
      <c r="CU6" s="1518"/>
      <c r="CV6" s="4240"/>
      <c r="CW6" s="4241"/>
      <c r="CX6" s="4241"/>
      <c r="CY6" s="4241"/>
      <c r="CZ6" s="4241"/>
      <c r="DA6" s="6270"/>
      <c r="DB6" s="427"/>
      <c r="DC6" s="426"/>
      <c r="DD6" s="420"/>
    </row>
    <row r="7" spans="1:108" ht="12" customHeight="1" x14ac:dyDescent="0.2">
      <c r="A7" s="420"/>
      <c r="B7" s="289"/>
      <c r="C7" s="4210"/>
      <c r="D7" s="4211"/>
      <c r="E7" s="4211"/>
      <c r="F7" s="4211"/>
      <c r="G7" s="4211"/>
      <c r="H7" s="4211"/>
      <c r="I7" s="340"/>
      <c r="J7" s="4207"/>
      <c r="K7" s="4207"/>
      <c r="L7" s="4207"/>
      <c r="M7" s="4207"/>
      <c r="N7" s="4207"/>
      <c r="O7" s="4207"/>
      <c r="P7" s="4207"/>
      <c r="Q7" s="340"/>
      <c r="R7" s="1518"/>
      <c r="S7" s="6271"/>
      <c r="T7" s="6272"/>
      <c r="U7" s="6272"/>
      <c r="V7" s="6272"/>
      <c r="W7" s="6272"/>
      <c r="X7" s="6273"/>
      <c r="Y7" s="1788" t="e">
        <f>MATCH(S6,'Tablas psiquica'!$U$113:$AH$113,0)</f>
        <v>#N/A</v>
      </c>
      <c r="Z7" s="426"/>
      <c r="AA7" s="420"/>
      <c r="AB7" s="420"/>
      <c r="AC7" s="289"/>
      <c r="AD7" s="4210"/>
      <c r="AE7" s="4211"/>
      <c r="AF7" s="4211"/>
      <c r="AG7" s="4211"/>
      <c r="AH7" s="4211"/>
      <c r="AI7" s="4211"/>
      <c r="AJ7" s="340"/>
      <c r="AK7" s="4207"/>
      <c r="AL7" s="4207"/>
      <c r="AM7" s="4207"/>
      <c r="AN7" s="4207"/>
      <c r="AO7" s="4207"/>
      <c r="AP7" s="4207"/>
      <c r="AQ7" s="4207"/>
      <c r="AR7" s="340"/>
      <c r="AS7" s="1518"/>
      <c r="AT7" s="6271"/>
      <c r="AU7" s="6272"/>
      <c r="AV7" s="6272"/>
      <c r="AW7" s="6272"/>
      <c r="AX7" s="6272"/>
      <c r="AY7" s="6273"/>
      <c r="AZ7" s="1788" t="e">
        <f>MATCH(AT6,'Tablas psiquica'!$U$113:$AH$113,0)</f>
        <v>#N/A</v>
      </c>
      <c r="BA7" s="426"/>
      <c r="BB7" s="420"/>
      <c r="BC7" s="420"/>
      <c r="BD7" s="289"/>
      <c r="BE7" s="4210"/>
      <c r="BF7" s="4211"/>
      <c r="BG7" s="4211"/>
      <c r="BH7" s="4211"/>
      <c r="BI7" s="4211"/>
      <c r="BJ7" s="4211"/>
      <c r="BK7" s="340"/>
      <c r="BL7" s="4207"/>
      <c r="BM7" s="4207"/>
      <c r="BN7" s="4207"/>
      <c r="BO7" s="4207"/>
      <c r="BP7" s="4207"/>
      <c r="BQ7" s="4207"/>
      <c r="BR7" s="4207"/>
      <c r="BS7" s="340"/>
      <c r="BT7" s="1518"/>
      <c r="BU7" s="6271"/>
      <c r="BV7" s="6272"/>
      <c r="BW7" s="6272"/>
      <c r="BX7" s="6272"/>
      <c r="BY7" s="6272"/>
      <c r="BZ7" s="6273"/>
      <c r="CA7" s="1788" t="e">
        <f>MATCH(BU6,'Tablas psiquica'!$U$113:$AH$113,0)</f>
        <v>#N/A</v>
      </c>
      <c r="CB7" s="426"/>
      <c r="CC7" s="420"/>
      <c r="CD7" s="420"/>
      <c r="CE7" s="289"/>
      <c r="CF7" s="4210"/>
      <c r="CG7" s="4211"/>
      <c r="CH7" s="4211"/>
      <c r="CI7" s="4211"/>
      <c r="CJ7" s="4211"/>
      <c r="CK7" s="4211"/>
      <c r="CL7" s="340"/>
      <c r="CM7" s="4207"/>
      <c r="CN7" s="4207"/>
      <c r="CO7" s="4207"/>
      <c r="CP7" s="4207"/>
      <c r="CQ7" s="4207"/>
      <c r="CR7" s="4207"/>
      <c r="CS7" s="4207"/>
      <c r="CT7" s="340"/>
      <c r="CU7" s="1518"/>
      <c r="CV7" s="6271"/>
      <c r="CW7" s="6272"/>
      <c r="CX7" s="6272"/>
      <c r="CY7" s="6272"/>
      <c r="CZ7" s="6272"/>
      <c r="DA7" s="6273"/>
      <c r="DB7" s="1788" t="e">
        <f>MATCH(CV6,'Tablas psiquica'!$U$113:$AH$113,0)</f>
        <v>#N/A</v>
      </c>
      <c r="DC7" s="426"/>
      <c r="DD7" s="420"/>
    </row>
    <row r="8" spans="1:108" ht="12" customHeight="1" thickBot="1" x14ac:dyDescent="0.25">
      <c r="A8" s="420"/>
      <c r="B8" s="289"/>
      <c r="C8" s="4212"/>
      <c r="D8" s="4213"/>
      <c r="E8" s="4213"/>
      <c r="F8" s="4213"/>
      <c r="G8" s="4213"/>
      <c r="H8" s="4213"/>
      <c r="I8" s="428"/>
      <c r="J8" s="428"/>
      <c r="K8" s="428"/>
      <c r="L8" s="428"/>
      <c r="M8" s="428"/>
      <c r="N8" s="428"/>
      <c r="O8" s="428"/>
      <c r="P8" s="428"/>
      <c r="Q8" s="428"/>
      <c r="R8" s="1789"/>
      <c r="S8" s="428"/>
      <c r="T8" s="428"/>
      <c r="U8" s="428"/>
      <c r="V8" s="428"/>
      <c r="W8" s="428"/>
      <c r="X8" s="428"/>
      <c r="Y8" s="429"/>
      <c r="Z8" s="426"/>
      <c r="AA8" s="420"/>
      <c r="AB8" s="420"/>
      <c r="AC8" s="289"/>
      <c r="AD8" s="4212"/>
      <c r="AE8" s="4213"/>
      <c r="AF8" s="4213"/>
      <c r="AG8" s="4213"/>
      <c r="AH8" s="4213"/>
      <c r="AI8" s="4213"/>
      <c r="AJ8" s="428"/>
      <c r="AK8" s="428"/>
      <c r="AL8" s="428"/>
      <c r="AM8" s="428"/>
      <c r="AN8" s="428"/>
      <c r="AO8" s="428"/>
      <c r="AP8" s="428"/>
      <c r="AQ8" s="428"/>
      <c r="AR8" s="428"/>
      <c r="AS8" s="1789"/>
      <c r="AT8" s="428"/>
      <c r="AU8" s="428"/>
      <c r="AV8" s="428"/>
      <c r="AW8" s="428"/>
      <c r="AX8" s="428"/>
      <c r="AY8" s="428"/>
      <c r="AZ8" s="429"/>
      <c r="BA8" s="426"/>
      <c r="BB8" s="420"/>
      <c r="BC8" s="420"/>
      <c r="BD8" s="289"/>
      <c r="BE8" s="4212"/>
      <c r="BF8" s="4213"/>
      <c r="BG8" s="4213"/>
      <c r="BH8" s="4213"/>
      <c r="BI8" s="4213"/>
      <c r="BJ8" s="4213"/>
      <c r="BK8" s="428"/>
      <c r="BL8" s="428"/>
      <c r="BM8" s="428"/>
      <c r="BN8" s="428"/>
      <c r="BO8" s="428"/>
      <c r="BP8" s="428"/>
      <c r="BQ8" s="428"/>
      <c r="BR8" s="428"/>
      <c r="BS8" s="428"/>
      <c r="BT8" s="1789"/>
      <c r="BU8" s="428"/>
      <c r="BV8" s="428"/>
      <c r="BW8" s="428"/>
      <c r="BX8" s="428"/>
      <c r="BY8" s="428"/>
      <c r="BZ8" s="428"/>
      <c r="CA8" s="429"/>
      <c r="CB8" s="426"/>
      <c r="CC8" s="420"/>
      <c r="CD8" s="420"/>
      <c r="CE8" s="289"/>
      <c r="CF8" s="4212"/>
      <c r="CG8" s="4213"/>
      <c r="CH8" s="4213"/>
      <c r="CI8" s="4213"/>
      <c r="CJ8" s="4213"/>
      <c r="CK8" s="4213"/>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68">
        <f>IFERROR(INDEX('Tablas psiquica'!$U$115:$AH$129,B10,Y$7),0)</f>
        <v>0</v>
      </c>
      <c r="D10" s="6269"/>
      <c r="E10" s="6269"/>
      <c r="F10" s="6269"/>
      <c r="G10" s="6269"/>
      <c r="H10" s="6269"/>
      <c r="I10" s="451" t="s">
        <v>1406</v>
      </c>
      <c r="J10" s="697">
        <v>2</v>
      </c>
      <c r="K10" s="6268">
        <f>IFERROR(INDEX('Tablas psiquica'!$U$115:$AH$129,J10,Y$7),0)</f>
        <v>0</v>
      </c>
      <c r="L10" s="6269"/>
      <c r="M10" s="6269"/>
      <c r="N10" s="6269"/>
      <c r="O10" s="6269"/>
      <c r="P10" s="6269"/>
      <c r="Q10" s="451" t="s">
        <v>1406</v>
      </c>
      <c r="R10" s="1149">
        <v>3</v>
      </c>
      <c r="S10" s="6268">
        <f>IFERROR(INDEX('Tablas psiquica'!$U$115:$AH$129,R10,Y$7),0)</f>
        <v>0</v>
      </c>
      <c r="T10" s="6269"/>
      <c r="U10" s="6269"/>
      <c r="V10" s="6269"/>
      <c r="W10" s="6269"/>
      <c r="X10" s="6269"/>
      <c r="Y10" s="451" t="s">
        <v>1406</v>
      </c>
      <c r="Z10" s="426"/>
      <c r="AA10" s="420"/>
      <c r="AB10" s="420"/>
      <c r="AC10" s="1149">
        <v>1</v>
      </c>
      <c r="AD10" s="6268">
        <f>IFERROR(INDEX('Tablas psiquica'!$U$115:$AH$129,AC10,AZ$7),0)</f>
        <v>0</v>
      </c>
      <c r="AE10" s="6269"/>
      <c r="AF10" s="6269"/>
      <c r="AG10" s="6269"/>
      <c r="AH10" s="6269"/>
      <c r="AI10" s="6269"/>
      <c r="AJ10" s="451" t="s">
        <v>1406</v>
      </c>
      <c r="AK10" s="697">
        <v>2</v>
      </c>
      <c r="AL10" s="6268">
        <f>IFERROR(INDEX('Tablas psiquica'!$U$115:$AH$129,AK10,AZ$7),0)</f>
        <v>0</v>
      </c>
      <c r="AM10" s="6269"/>
      <c r="AN10" s="6269"/>
      <c r="AO10" s="6269"/>
      <c r="AP10" s="6269"/>
      <c r="AQ10" s="6269"/>
      <c r="AR10" s="451" t="s">
        <v>1406</v>
      </c>
      <c r="AS10" s="1149">
        <v>3</v>
      </c>
      <c r="AT10" s="6268">
        <f>IFERROR(INDEX('Tablas psiquica'!$U$115:$AH$129,AS10,AZ$7),0)</f>
        <v>0</v>
      </c>
      <c r="AU10" s="6269"/>
      <c r="AV10" s="6269"/>
      <c r="AW10" s="6269"/>
      <c r="AX10" s="6269"/>
      <c r="AY10" s="6269"/>
      <c r="AZ10" s="451" t="s">
        <v>1406</v>
      </c>
      <c r="BA10" s="426"/>
      <c r="BB10" s="420"/>
      <c r="BC10" s="420"/>
      <c r="BD10" s="1149">
        <v>1</v>
      </c>
      <c r="BE10" s="6268">
        <f>IFERROR(INDEX('Tablas psiquica'!$U$115:$AH$129,BD10,CA$7),0)</f>
        <v>0</v>
      </c>
      <c r="BF10" s="6269"/>
      <c r="BG10" s="6269"/>
      <c r="BH10" s="6269"/>
      <c r="BI10" s="6269"/>
      <c r="BJ10" s="6269"/>
      <c r="BK10" s="451" t="s">
        <v>1406</v>
      </c>
      <c r="BL10" s="697">
        <v>2</v>
      </c>
      <c r="BM10" s="6268">
        <f>IFERROR(INDEX('Tablas psiquica'!$U$115:$AH$129,BL10,CA$7),0)</f>
        <v>0</v>
      </c>
      <c r="BN10" s="6269"/>
      <c r="BO10" s="6269"/>
      <c r="BP10" s="6269"/>
      <c r="BQ10" s="6269"/>
      <c r="BR10" s="6269"/>
      <c r="BS10" s="451" t="s">
        <v>1406</v>
      </c>
      <c r="BT10" s="1149">
        <v>3</v>
      </c>
      <c r="BU10" s="6268">
        <f>IFERROR(INDEX('Tablas psiquica'!$U$115:$AH$129,BT10,CA$7),0)</f>
        <v>0</v>
      </c>
      <c r="BV10" s="6269"/>
      <c r="BW10" s="6269"/>
      <c r="BX10" s="6269"/>
      <c r="BY10" s="6269"/>
      <c r="BZ10" s="6269"/>
      <c r="CA10" s="451" t="s">
        <v>1406</v>
      </c>
      <c r="CB10" s="426"/>
      <c r="CC10" s="420"/>
      <c r="CD10" s="420"/>
      <c r="CE10" s="1149">
        <v>1</v>
      </c>
      <c r="CF10" s="6268">
        <f>IFERROR(INDEX('Tablas psiquica'!$U$115:$AH$129,CE10,DB$7),0)</f>
        <v>0</v>
      </c>
      <c r="CG10" s="6269"/>
      <c r="CH10" s="6269"/>
      <c r="CI10" s="6269"/>
      <c r="CJ10" s="6269"/>
      <c r="CK10" s="6269"/>
      <c r="CL10" s="451" t="s">
        <v>1406</v>
      </c>
      <c r="CM10" s="697">
        <v>2</v>
      </c>
      <c r="CN10" s="6268">
        <f>IFERROR(INDEX('Tablas psiquica'!$U$115:$AH$129,CM10,DB$7),0)</f>
        <v>0</v>
      </c>
      <c r="CO10" s="6269"/>
      <c r="CP10" s="6269"/>
      <c r="CQ10" s="6269"/>
      <c r="CR10" s="6269"/>
      <c r="CS10" s="6269"/>
      <c r="CT10" s="451" t="s">
        <v>1406</v>
      </c>
      <c r="CU10" s="1149">
        <v>3</v>
      </c>
      <c r="CV10" s="6268">
        <f>IFERROR(INDEX('Tablas psiquica'!$U$115:$AH$129,CU10,DB$7),0)</f>
        <v>0</v>
      </c>
      <c r="CW10" s="6269"/>
      <c r="CX10" s="6269"/>
      <c r="CY10" s="6269"/>
      <c r="CZ10" s="6269"/>
      <c r="DA10" s="6269"/>
      <c r="DB10" s="451" t="s">
        <v>1406</v>
      </c>
      <c r="DC10" s="426"/>
      <c r="DD10" s="420"/>
    </row>
    <row r="11" spans="1:108" ht="12" customHeight="1" x14ac:dyDescent="0.2">
      <c r="A11" s="420"/>
      <c r="B11" s="1149"/>
      <c r="C11" s="6263" t="str">
        <f>IF(C10=0,"",VLOOKUP(C10,'Tablas psiquica'!$D$7:$R$145,2,FALSE))</f>
        <v/>
      </c>
      <c r="D11" s="6264"/>
      <c r="E11" s="6264"/>
      <c r="F11" s="6265"/>
      <c r="G11" s="6266" t="str">
        <f>IF(C10=0,"",IF(INDEX('Tablas psiquica'!$U$114:$AH$114,1,$Y$7)=0,"No Accesible",IF(ISNA(VLOOKUP(C10,Psíquicos!$AS$17:$AS$43,1,0)),"Accesible CV","Aprendido")))</f>
        <v/>
      </c>
      <c r="H11" s="6267"/>
      <c r="I11" s="1790" t="str">
        <f>IF(C10=0,"",VLOOKUP(C10,'Tablas psiquica'!$D$7:$R$145,3,FALSE))</f>
        <v/>
      </c>
      <c r="J11" s="697"/>
      <c r="K11" s="6263" t="str">
        <f>IF(K10=0,"",VLOOKUP(K10,'Tablas psiquica'!$D$7:$R$145,2,FALSE))</f>
        <v/>
      </c>
      <c r="L11" s="6264"/>
      <c r="M11" s="6264"/>
      <c r="N11" s="6265"/>
      <c r="O11" s="6266" t="str">
        <f>IF(K10=0,"",IF(INDEX('Tablas psiquica'!$U$114:$AH$114,1,$Y$7)=0,"No Accesible",IF(ISNA(VLOOKUP(K10,Psíquicos!$AS$17:$AS$43,1,0)),"Accesible CV","Aprendido")))</f>
        <v/>
      </c>
      <c r="P11" s="6267"/>
      <c r="Q11" s="1790" t="str">
        <f>IF(K10=0,"",VLOOKUP(K10,'Tablas psiquica'!$D$7:$R$145,3,FALSE))</f>
        <v/>
      </c>
      <c r="R11" s="1149"/>
      <c r="S11" s="6263" t="str">
        <f>IF(S10=0,"",VLOOKUP(S10,'Tablas psiquica'!$D$7:$R$145,2,FALSE))</f>
        <v/>
      </c>
      <c r="T11" s="6264"/>
      <c r="U11" s="6264"/>
      <c r="V11" s="6265"/>
      <c r="W11" s="6266" t="str">
        <f>IF(S10=0,"",IF(INDEX('Tablas psiquica'!$U$114:$AH$114,1,$Y$7)=0,"No Accesible",IF(ISNA(VLOOKUP(S10,Psíquicos!$AS$17:$AS$43,1,0)),"Accesible CV","Aprendido")))</f>
        <v/>
      </c>
      <c r="X11" s="6267"/>
      <c r="Y11" s="1790" t="str">
        <f>IF(S10=0,"",VLOOKUP(S10,'Tablas psiquica'!$D$7:$R$145,3,FALSE))</f>
        <v/>
      </c>
      <c r="Z11" s="426"/>
      <c r="AA11" s="420"/>
      <c r="AB11" s="420"/>
      <c r="AC11" s="1149"/>
      <c r="AD11" s="6263" t="str">
        <f>IF(AD10=0,"",VLOOKUP(AD10,'Tablas psiquica'!$D$7:$R$145,2,FALSE))</f>
        <v/>
      </c>
      <c r="AE11" s="6264"/>
      <c r="AF11" s="6264"/>
      <c r="AG11" s="6265"/>
      <c r="AH11" s="6266" t="str">
        <f>IF(AD10=0,"",IF(INDEX('Tablas psiquica'!$U$114:$AH$114,1,$AZ$7)=0,"No Accesible",IF(ISNA(VLOOKUP(AD10,Psíquicos!$AS$17:$AS$43,1,0)),"Accesible CV","Aprendido")))</f>
        <v/>
      </c>
      <c r="AI11" s="6267"/>
      <c r="AJ11" s="1790" t="str">
        <f>IF(AD10=0,"",VLOOKUP(AD10,'Tablas psiquica'!$D$7:$R$145,3,FALSE))</f>
        <v/>
      </c>
      <c r="AK11" s="697"/>
      <c r="AL11" s="6263" t="str">
        <f>IF(AL10=0,"",VLOOKUP(AL10,'Tablas psiquica'!$D$7:$R$145,2,FALSE))</f>
        <v/>
      </c>
      <c r="AM11" s="6264"/>
      <c r="AN11" s="6264"/>
      <c r="AO11" s="6265"/>
      <c r="AP11" s="6266" t="str">
        <f>IF(AL10=0,"",IF(INDEX('Tablas psiquica'!$U$114:$AH$114,1,$AZ$7)=0,"No Accesible",IF(ISNA(VLOOKUP(AL10,Psíquicos!$AS$17:$AS$43,1,0)),"Accesible CV","Aprendido")))</f>
        <v/>
      </c>
      <c r="AQ11" s="6267"/>
      <c r="AR11" s="1790" t="str">
        <f>IF(AL10=0,"",VLOOKUP(AL10,'Tablas psiquica'!$D$7:$R$145,3,FALSE))</f>
        <v/>
      </c>
      <c r="AS11" s="1149"/>
      <c r="AT11" s="6263" t="str">
        <f>IF(AT10=0,"",VLOOKUP(AT10,'Tablas psiquica'!$D$7:$R$145,2,FALSE))</f>
        <v/>
      </c>
      <c r="AU11" s="6264"/>
      <c r="AV11" s="6264"/>
      <c r="AW11" s="6265"/>
      <c r="AX11" s="6266" t="str">
        <f>IF(AT10=0,"",IF(INDEX('Tablas psiquica'!$U$114:$AH$114,1,$AZ$7)=0,"No Accesible",IF(ISNA(VLOOKUP(AT10,Psíquicos!$AS$17:$AS$43,1,0)),"Accesible CV","Aprendido")))</f>
        <v/>
      </c>
      <c r="AY11" s="6267"/>
      <c r="AZ11" s="1790" t="str">
        <f>IF(AT10=0,"",VLOOKUP(AT10,'Tablas psiquica'!$D$7:$R$145,3,FALSE))</f>
        <v/>
      </c>
      <c r="BA11" s="426"/>
      <c r="BB11" s="420"/>
      <c r="BC11" s="420"/>
      <c r="BD11" s="1149"/>
      <c r="BE11" s="6263" t="str">
        <f>IF(BE10=0,"",VLOOKUP(BE10,'Tablas psiquica'!$D$7:$R$145,2,FALSE))</f>
        <v/>
      </c>
      <c r="BF11" s="6264"/>
      <c r="BG11" s="6264"/>
      <c r="BH11" s="6265"/>
      <c r="BI11" s="6266" t="str">
        <f>IF(BE10=0,"",IF(INDEX('Tablas psiquica'!$U$114:$AH$114,1,$CA$7)=0,"No Accesible",IF(ISNA(VLOOKUP(BE10,Psíquicos!$AS$17:$AS$43,1,0)),"Accesible CV","Aprendido")))</f>
        <v/>
      </c>
      <c r="BJ11" s="6267"/>
      <c r="BK11" s="1790" t="str">
        <f>IF(BE10=0,"",VLOOKUP(BE10,'Tablas psiquica'!$D$7:$R$145,3,FALSE))</f>
        <v/>
      </c>
      <c r="BL11" s="697"/>
      <c r="BM11" s="6263" t="str">
        <f>IF(BM10=0,"",VLOOKUP(BM10,'Tablas psiquica'!$D$7:$R$145,2,FALSE))</f>
        <v/>
      </c>
      <c r="BN11" s="6264"/>
      <c r="BO11" s="6264"/>
      <c r="BP11" s="6265"/>
      <c r="BQ11" s="6266" t="str">
        <f>IF(BM10=0,"",IF(INDEX('Tablas psiquica'!$U$114:$AH$114,1,$CA$7)=0,"No Accesible",IF(ISNA(VLOOKUP(BM10,Psíquicos!$AS$17:$AS$43,1,0)),"Accesible CV","Aprendido")))</f>
        <v/>
      </c>
      <c r="BR11" s="6267"/>
      <c r="BS11" s="1790" t="str">
        <f>IF(BM10=0,"",VLOOKUP(BM10,'Tablas psiquica'!$D$7:$R$145,3,FALSE))</f>
        <v/>
      </c>
      <c r="BT11" s="1149"/>
      <c r="BU11" s="6263" t="str">
        <f>IF(BU10=0,"",VLOOKUP(BU10,'Tablas psiquica'!$D$7:$R$145,2,FALSE))</f>
        <v/>
      </c>
      <c r="BV11" s="6264"/>
      <c r="BW11" s="6264"/>
      <c r="BX11" s="6265"/>
      <c r="BY11" s="6266" t="str">
        <f>IF(BU10=0,"",IF(INDEX('Tablas psiquica'!$U$114:$AH$114,1,$CA$7)=0,"No Accesible",IF(ISNA(VLOOKUP(BU10,Psíquicos!$AS$17:$AS$43,1,0)),"Accesible CV","Aprendido")))</f>
        <v/>
      </c>
      <c r="BZ11" s="6267"/>
      <c r="CA11" s="1790" t="str">
        <f>IF(BU10=0,"",VLOOKUP(BU10,'Tablas psiquica'!$D$7:$R$145,3,FALSE))</f>
        <v/>
      </c>
      <c r="CB11" s="426"/>
      <c r="CC11" s="420"/>
      <c r="CD11" s="420"/>
      <c r="CE11" s="1149"/>
      <c r="CF11" s="6263" t="str">
        <f>IF(CF10=0,"",VLOOKUP(CF10,'Tablas psiquica'!$D$7:$R$145,2,FALSE))</f>
        <v/>
      </c>
      <c r="CG11" s="6264"/>
      <c r="CH11" s="6264"/>
      <c r="CI11" s="6265"/>
      <c r="CJ11" s="6266" t="str">
        <f>IF(CF10=0,"",IF(INDEX('Tablas psiquica'!$U$114:$AH$114,1,$DB$7)=0,"No Accesible",IF(ISNA(VLOOKUP(CF10,Psíquicos!$AS$17:$AS$43,1,0)),"Accesible CV","Aprendido")))</f>
        <v/>
      </c>
      <c r="CK11" s="6267"/>
      <c r="CL11" s="1790" t="str">
        <f>IF(CF10=0,"",VLOOKUP(CF10,'Tablas psiquica'!$D$7:$R$145,3,FALSE))</f>
        <v/>
      </c>
      <c r="CM11" s="697"/>
      <c r="CN11" s="6263" t="str">
        <f>IF(CN10=0,"",VLOOKUP(CN10,'Tablas psiquica'!$D$7:$R$145,2,FALSE))</f>
        <v/>
      </c>
      <c r="CO11" s="6264"/>
      <c r="CP11" s="6264"/>
      <c r="CQ11" s="6265"/>
      <c r="CR11" s="6266" t="str">
        <f>IF(CN10=0,"",IF(INDEX('Tablas psiquica'!$U$114:$AH$114,1,$DB$7)=0,"No Accesible",IF(ISNA(VLOOKUP(CN10,Psíquicos!$AS$17:$AS$43,1,0)),"Accesible CV","Aprendido")))</f>
        <v/>
      </c>
      <c r="CS11" s="6267"/>
      <c r="CT11" s="1790" t="str">
        <f>IF(CN10=0,"",VLOOKUP(CN10,'Tablas psiquica'!$D$7:$R$145,3,FALSE))</f>
        <v/>
      </c>
      <c r="CU11" s="1149"/>
      <c r="CV11" s="6263" t="str">
        <f>IF(CV10=0,"",VLOOKUP(CV10,'Tablas psiquica'!$D$7:$R$145,2,FALSE))</f>
        <v/>
      </c>
      <c r="CW11" s="6264"/>
      <c r="CX11" s="6264"/>
      <c r="CY11" s="6265"/>
      <c r="CZ11" s="6266" t="str">
        <f>IF(CV10=0,"",IF(INDEX('Tablas psiquica'!$U$114:$AH$114,1,$DB$7)=0,"No Accesible",IF(ISNA(VLOOKUP(CV10,Psíquicos!$AS$17:$AS$43,1,0)),"Accesible CV","Aprendido")))</f>
        <v/>
      </c>
      <c r="DA11" s="6267"/>
      <c r="DB11" s="1790" t="str">
        <f>IF(CV10=0,"",VLOOKUP(CV10,'Tablas psiquica'!$D$7:$R$145,3,FALSE))</f>
        <v/>
      </c>
      <c r="DC11" s="426"/>
      <c r="DD11" s="420"/>
    </row>
    <row r="12" spans="1:108" ht="12" customHeight="1" x14ac:dyDescent="0.2">
      <c r="A12" s="420"/>
      <c r="B12" s="1149"/>
      <c r="C12" s="1751">
        <v>20</v>
      </c>
      <c r="D12" s="6257" t="s">
        <v>1727</v>
      </c>
      <c r="E12" s="6191"/>
      <c r="F12" s="6258" t="str">
        <f>IF(C10=0,"",VLOOKUP(C10,'Tablas psiquica'!$D$7:$R$145,6,FALSE))</f>
        <v/>
      </c>
      <c r="G12" s="5838"/>
      <c r="H12" s="5838"/>
      <c r="I12" s="5867"/>
      <c r="J12" s="697"/>
      <c r="K12" s="1751">
        <v>20</v>
      </c>
      <c r="L12" s="6257" t="s">
        <v>1727</v>
      </c>
      <c r="M12" s="6191"/>
      <c r="N12" s="6258" t="str">
        <f>IF(K10=0,"",VLOOKUP(K10,'Tablas psiquica'!$D$7:$R$145,6,FALSE))</f>
        <v/>
      </c>
      <c r="O12" s="5838"/>
      <c r="P12" s="5838"/>
      <c r="Q12" s="5867"/>
      <c r="R12" s="1149"/>
      <c r="S12" s="1751">
        <v>20</v>
      </c>
      <c r="T12" s="6257" t="s">
        <v>1727</v>
      </c>
      <c r="U12" s="6191"/>
      <c r="V12" s="6258" t="str">
        <f>IF(S10=0,"",VLOOKUP(S10,'Tablas psiquica'!$D$7:$R$145,6,FALSE))</f>
        <v/>
      </c>
      <c r="W12" s="5838"/>
      <c r="X12" s="5838"/>
      <c r="Y12" s="5867"/>
      <c r="Z12" s="426"/>
      <c r="AA12" s="420"/>
      <c r="AB12" s="420"/>
      <c r="AC12" s="1149"/>
      <c r="AD12" s="1751">
        <v>20</v>
      </c>
      <c r="AE12" s="6257" t="s">
        <v>1727</v>
      </c>
      <c r="AF12" s="6191"/>
      <c r="AG12" s="6258" t="str">
        <f>IF(AD10=0,"",VLOOKUP(AD10,'Tablas psiquica'!$D$7:$R$145,6,FALSE))</f>
        <v/>
      </c>
      <c r="AH12" s="5838"/>
      <c r="AI12" s="5838"/>
      <c r="AJ12" s="5867"/>
      <c r="AK12" s="697"/>
      <c r="AL12" s="1751">
        <v>20</v>
      </c>
      <c r="AM12" s="6257" t="s">
        <v>1727</v>
      </c>
      <c r="AN12" s="6191"/>
      <c r="AO12" s="6258" t="str">
        <f>IF(AL10=0,"",VLOOKUP(AL10,'Tablas psiquica'!$D$7:$R$145,6,FALSE))</f>
        <v/>
      </c>
      <c r="AP12" s="5838"/>
      <c r="AQ12" s="5838"/>
      <c r="AR12" s="5867"/>
      <c r="AS12" s="1149"/>
      <c r="AT12" s="1751">
        <v>20</v>
      </c>
      <c r="AU12" s="6257" t="s">
        <v>1727</v>
      </c>
      <c r="AV12" s="6191"/>
      <c r="AW12" s="6258" t="str">
        <f>IF(AT10=0,"",VLOOKUP(AT10,'Tablas psiquica'!$D$7:$R$145,6,FALSE))</f>
        <v/>
      </c>
      <c r="AX12" s="5838"/>
      <c r="AY12" s="5838"/>
      <c r="AZ12" s="5867"/>
      <c r="BA12" s="426"/>
      <c r="BB12" s="420"/>
      <c r="BC12" s="420"/>
      <c r="BD12" s="1149"/>
      <c r="BE12" s="1751">
        <v>20</v>
      </c>
      <c r="BF12" s="6257" t="s">
        <v>1727</v>
      </c>
      <c r="BG12" s="6191"/>
      <c r="BH12" s="6258" t="str">
        <f>IF(BE10=0,"",VLOOKUP(BE10,'Tablas psiquica'!$D$7:$R$145,6,FALSE))</f>
        <v/>
      </c>
      <c r="BI12" s="5838"/>
      <c r="BJ12" s="5838"/>
      <c r="BK12" s="5867"/>
      <c r="BL12" s="697"/>
      <c r="BM12" s="1751">
        <v>20</v>
      </c>
      <c r="BN12" s="6257" t="s">
        <v>1727</v>
      </c>
      <c r="BO12" s="6191"/>
      <c r="BP12" s="6258" t="str">
        <f>IF(BM10=0,"",VLOOKUP(BM10,'Tablas psiquica'!$D$7:$R$145,6,FALSE))</f>
        <v/>
      </c>
      <c r="BQ12" s="5838"/>
      <c r="BR12" s="5838"/>
      <c r="BS12" s="5867"/>
      <c r="BT12" s="1149"/>
      <c r="BU12" s="1751">
        <v>20</v>
      </c>
      <c r="BV12" s="6257" t="s">
        <v>1727</v>
      </c>
      <c r="BW12" s="6191"/>
      <c r="BX12" s="6258" t="str">
        <f>IF(BU10=0,"",VLOOKUP(BU10,'Tablas psiquica'!$D$7:$R$145,6,FALSE))</f>
        <v/>
      </c>
      <c r="BY12" s="5838"/>
      <c r="BZ12" s="5838"/>
      <c r="CA12" s="5867"/>
      <c r="CB12" s="426"/>
      <c r="CC12" s="420"/>
      <c r="CD12" s="420"/>
      <c r="CE12" s="1149"/>
      <c r="CF12" s="1751">
        <v>20</v>
      </c>
      <c r="CG12" s="6257" t="s">
        <v>1727</v>
      </c>
      <c r="CH12" s="6191"/>
      <c r="CI12" s="6258" t="str">
        <f>IF(CF10=0,"",VLOOKUP(CF10,'Tablas psiquica'!$D$7:$R$145,6,FALSE))</f>
        <v/>
      </c>
      <c r="CJ12" s="5838"/>
      <c r="CK12" s="5838"/>
      <c r="CL12" s="5867"/>
      <c r="CM12" s="697"/>
      <c r="CN12" s="1751">
        <v>20</v>
      </c>
      <c r="CO12" s="6257" t="s">
        <v>1727</v>
      </c>
      <c r="CP12" s="6191"/>
      <c r="CQ12" s="6258" t="str">
        <f>IF(CN10=0,"",VLOOKUP(CN10,'Tablas psiquica'!$D$7:$R$145,6,FALSE))</f>
        <v/>
      </c>
      <c r="CR12" s="5838"/>
      <c r="CS12" s="5838"/>
      <c r="CT12" s="5867"/>
      <c r="CU12" s="1149"/>
      <c r="CV12" s="1751">
        <v>20</v>
      </c>
      <c r="CW12" s="6257" t="s">
        <v>1727</v>
      </c>
      <c r="CX12" s="6191"/>
      <c r="CY12" s="6258" t="str">
        <f>IF(CV10=0,"",VLOOKUP(CV10,'Tablas psiquica'!$D$7:$R$145,6,FALSE))</f>
        <v/>
      </c>
      <c r="CZ12" s="5838"/>
      <c r="DA12" s="5838"/>
      <c r="DB12" s="5867"/>
      <c r="DC12" s="426"/>
      <c r="DD12" s="420"/>
    </row>
    <row r="13" spans="1:108" ht="12" customHeight="1" x14ac:dyDescent="0.2">
      <c r="A13" s="420"/>
      <c r="B13" s="1149"/>
      <c r="C13" s="1750">
        <v>40</v>
      </c>
      <c r="D13" s="6259" t="s">
        <v>1729</v>
      </c>
      <c r="E13" s="6186"/>
      <c r="F13" s="6260" t="str">
        <f>IF(C10=0,"",VLOOKUP(C10,'Tablas psiquica'!$D$7:$R$145,7,FALSE))</f>
        <v/>
      </c>
      <c r="G13" s="6261"/>
      <c r="H13" s="6261"/>
      <c r="I13" s="6262"/>
      <c r="J13" s="697"/>
      <c r="K13" s="1750">
        <v>40</v>
      </c>
      <c r="L13" s="6259" t="s">
        <v>1729</v>
      </c>
      <c r="M13" s="6186"/>
      <c r="N13" s="6260" t="str">
        <f>IF(K10=0,"",VLOOKUP(K10,'Tablas psiquica'!$D$7:$R$145,7,FALSE))</f>
        <v/>
      </c>
      <c r="O13" s="6261"/>
      <c r="P13" s="6261"/>
      <c r="Q13" s="6262"/>
      <c r="R13" s="1149"/>
      <c r="S13" s="1750">
        <v>40</v>
      </c>
      <c r="T13" s="6259" t="s">
        <v>1729</v>
      </c>
      <c r="U13" s="6186"/>
      <c r="V13" s="6260" t="str">
        <f>IF(S10=0,"",VLOOKUP(S10,'Tablas psiquica'!$D$7:$R$145,7,FALSE))</f>
        <v/>
      </c>
      <c r="W13" s="6261"/>
      <c r="X13" s="6261"/>
      <c r="Y13" s="6262"/>
      <c r="Z13" s="426"/>
      <c r="AA13" s="420"/>
      <c r="AB13" s="420"/>
      <c r="AC13" s="1149"/>
      <c r="AD13" s="1750">
        <v>40</v>
      </c>
      <c r="AE13" s="6259" t="s">
        <v>1729</v>
      </c>
      <c r="AF13" s="6186"/>
      <c r="AG13" s="6260" t="str">
        <f>IF(AD10=0,"",VLOOKUP(AD10,'Tablas psiquica'!$D$7:$R$145,7,FALSE))</f>
        <v/>
      </c>
      <c r="AH13" s="6261"/>
      <c r="AI13" s="6261"/>
      <c r="AJ13" s="6262"/>
      <c r="AK13" s="697"/>
      <c r="AL13" s="1750">
        <v>40</v>
      </c>
      <c r="AM13" s="6259" t="s">
        <v>1729</v>
      </c>
      <c r="AN13" s="6186"/>
      <c r="AO13" s="6260" t="str">
        <f>IF(AL10=0,"",VLOOKUP(AL10,'Tablas psiquica'!$D$7:$R$145,7,FALSE))</f>
        <v/>
      </c>
      <c r="AP13" s="6261"/>
      <c r="AQ13" s="6261"/>
      <c r="AR13" s="6262"/>
      <c r="AS13" s="1149"/>
      <c r="AT13" s="1750">
        <v>40</v>
      </c>
      <c r="AU13" s="6259" t="s">
        <v>1729</v>
      </c>
      <c r="AV13" s="6186"/>
      <c r="AW13" s="6260" t="str">
        <f>IF(AT10=0,"",VLOOKUP(AT10,'Tablas psiquica'!$D$7:$R$145,7,FALSE))</f>
        <v/>
      </c>
      <c r="AX13" s="6261"/>
      <c r="AY13" s="6261"/>
      <c r="AZ13" s="6262"/>
      <c r="BA13" s="426"/>
      <c r="BB13" s="420"/>
      <c r="BC13" s="420"/>
      <c r="BD13" s="1149"/>
      <c r="BE13" s="1750">
        <v>40</v>
      </c>
      <c r="BF13" s="6259" t="s">
        <v>1729</v>
      </c>
      <c r="BG13" s="6186"/>
      <c r="BH13" s="6260" t="str">
        <f>IF(BE10=0,"",VLOOKUP(BE10,'Tablas psiquica'!$D$7:$R$145,7,FALSE))</f>
        <v/>
      </c>
      <c r="BI13" s="6261"/>
      <c r="BJ13" s="6261"/>
      <c r="BK13" s="6262"/>
      <c r="BL13" s="697"/>
      <c r="BM13" s="1750">
        <v>40</v>
      </c>
      <c r="BN13" s="6259" t="s">
        <v>1729</v>
      </c>
      <c r="BO13" s="6186"/>
      <c r="BP13" s="6260" t="str">
        <f>IF(BM10=0,"",VLOOKUP(BM10,'Tablas psiquica'!$D$7:$R$145,7,FALSE))</f>
        <v/>
      </c>
      <c r="BQ13" s="6261"/>
      <c r="BR13" s="6261"/>
      <c r="BS13" s="6262"/>
      <c r="BT13" s="1149"/>
      <c r="BU13" s="1750">
        <v>40</v>
      </c>
      <c r="BV13" s="6259" t="s">
        <v>1729</v>
      </c>
      <c r="BW13" s="6186"/>
      <c r="BX13" s="6260" t="str">
        <f>IF(BU10=0,"",VLOOKUP(BU10,'Tablas psiquica'!$D$7:$R$145,7,FALSE))</f>
        <v/>
      </c>
      <c r="BY13" s="6261"/>
      <c r="BZ13" s="6261"/>
      <c r="CA13" s="6262"/>
      <c r="CB13" s="426"/>
      <c r="CC13" s="420"/>
      <c r="CD13" s="420"/>
      <c r="CE13" s="1149"/>
      <c r="CF13" s="1750">
        <v>40</v>
      </c>
      <c r="CG13" s="6259" t="s">
        <v>1729</v>
      </c>
      <c r="CH13" s="6186"/>
      <c r="CI13" s="6260" t="str">
        <f>IF(CF10=0,"",VLOOKUP(CF10,'Tablas psiquica'!$D$7:$R$145,7,FALSE))</f>
        <v/>
      </c>
      <c r="CJ13" s="6261"/>
      <c r="CK13" s="6261"/>
      <c r="CL13" s="6262"/>
      <c r="CM13" s="697"/>
      <c r="CN13" s="1750">
        <v>40</v>
      </c>
      <c r="CO13" s="6259" t="s">
        <v>1729</v>
      </c>
      <c r="CP13" s="6186"/>
      <c r="CQ13" s="6260" t="str">
        <f>IF(CN10=0,"",VLOOKUP(CN10,'Tablas psiquica'!$D$7:$R$145,7,FALSE))</f>
        <v/>
      </c>
      <c r="CR13" s="6261"/>
      <c r="CS13" s="6261"/>
      <c r="CT13" s="6262"/>
      <c r="CU13" s="1149"/>
      <c r="CV13" s="1750">
        <v>40</v>
      </c>
      <c r="CW13" s="6259" t="s">
        <v>1729</v>
      </c>
      <c r="CX13" s="6186"/>
      <c r="CY13" s="6260" t="str">
        <f>IF(CV10=0,"",VLOOKUP(CV10,'Tablas psiquica'!$D$7:$R$145,7,FALSE))</f>
        <v/>
      </c>
      <c r="CZ13" s="6261"/>
      <c r="DA13" s="6261"/>
      <c r="DB13" s="6262"/>
      <c r="DC13" s="426"/>
      <c r="DD13" s="420"/>
    </row>
    <row r="14" spans="1:108" ht="12" customHeight="1" x14ac:dyDescent="0.2">
      <c r="A14" s="420"/>
      <c r="B14" s="1149"/>
      <c r="C14" s="1751">
        <v>80</v>
      </c>
      <c r="D14" s="6257" t="s">
        <v>1732</v>
      </c>
      <c r="E14" s="6191"/>
      <c r="F14" s="6258" t="str">
        <f>IF(C10=0,"",VLOOKUP(C10,'Tablas psiquica'!$D$7:$R$145,8,FALSE))</f>
        <v/>
      </c>
      <c r="G14" s="5838"/>
      <c r="H14" s="5838"/>
      <c r="I14" s="5867"/>
      <c r="J14" s="697"/>
      <c r="K14" s="1751">
        <v>80</v>
      </c>
      <c r="L14" s="6257" t="s">
        <v>1732</v>
      </c>
      <c r="M14" s="6191"/>
      <c r="N14" s="6258" t="str">
        <f>IF(K10=0,"",VLOOKUP(K10,'Tablas psiquica'!$D$7:$R$145,8,FALSE))</f>
        <v/>
      </c>
      <c r="O14" s="5838"/>
      <c r="P14" s="5838"/>
      <c r="Q14" s="5867"/>
      <c r="R14" s="1149"/>
      <c r="S14" s="1751">
        <v>80</v>
      </c>
      <c r="T14" s="6257" t="s">
        <v>1732</v>
      </c>
      <c r="U14" s="6191"/>
      <c r="V14" s="6258" t="str">
        <f>IF(S10=0,"",VLOOKUP(S10,'Tablas psiquica'!$D$7:$R$145,8,FALSE))</f>
        <v/>
      </c>
      <c r="W14" s="5838"/>
      <c r="X14" s="5838"/>
      <c r="Y14" s="5867"/>
      <c r="Z14" s="426"/>
      <c r="AA14" s="420"/>
      <c r="AB14" s="420"/>
      <c r="AC14" s="1149"/>
      <c r="AD14" s="1751">
        <v>80</v>
      </c>
      <c r="AE14" s="6257" t="s">
        <v>1732</v>
      </c>
      <c r="AF14" s="6191"/>
      <c r="AG14" s="6258" t="str">
        <f>IF(AD10=0,"",VLOOKUP(AD10,'Tablas psiquica'!$D$7:$R$145,8,FALSE))</f>
        <v/>
      </c>
      <c r="AH14" s="5838"/>
      <c r="AI14" s="5838"/>
      <c r="AJ14" s="5867"/>
      <c r="AK14" s="697"/>
      <c r="AL14" s="1751">
        <v>80</v>
      </c>
      <c r="AM14" s="6257" t="s">
        <v>1732</v>
      </c>
      <c r="AN14" s="6191"/>
      <c r="AO14" s="6258" t="str">
        <f>IF(AL10=0,"",VLOOKUP(AL10,'Tablas psiquica'!$D$7:$R$145,8,FALSE))</f>
        <v/>
      </c>
      <c r="AP14" s="5838"/>
      <c r="AQ14" s="5838"/>
      <c r="AR14" s="5867"/>
      <c r="AS14" s="1149"/>
      <c r="AT14" s="1751">
        <v>80</v>
      </c>
      <c r="AU14" s="6257" t="s">
        <v>1732</v>
      </c>
      <c r="AV14" s="6191"/>
      <c r="AW14" s="6258" t="str">
        <f>IF(AT10=0,"",VLOOKUP(AT10,'Tablas psiquica'!$D$7:$R$145,8,FALSE))</f>
        <v/>
      </c>
      <c r="AX14" s="5838"/>
      <c r="AY14" s="5838"/>
      <c r="AZ14" s="5867"/>
      <c r="BA14" s="426"/>
      <c r="BB14" s="420"/>
      <c r="BC14" s="420"/>
      <c r="BD14" s="1149"/>
      <c r="BE14" s="1751">
        <v>80</v>
      </c>
      <c r="BF14" s="6257" t="s">
        <v>1732</v>
      </c>
      <c r="BG14" s="6191"/>
      <c r="BH14" s="6258" t="str">
        <f>IF(BE10=0,"",VLOOKUP(BE10,'Tablas psiquica'!$D$7:$R$145,8,FALSE))</f>
        <v/>
      </c>
      <c r="BI14" s="5838"/>
      <c r="BJ14" s="5838"/>
      <c r="BK14" s="5867"/>
      <c r="BL14" s="697"/>
      <c r="BM14" s="1751">
        <v>80</v>
      </c>
      <c r="BN14" s="6257" t="s">
        <v>1732</v>
      </c>
      <c r="BO14" s="6191"/>
      <c r="BP14" s="6258" t="str">
        <f>IF(BM10=0,"",VLOOKUP(BM10,'Tablas psiquica'!$D$7:$R$145,8,FALSE))</f>
        <v/>
      </c>
      <c r="BQ14" s="5838"/>
      <c r="BR14" s="5838"/>
      <c r="BS14" s="5867"/>
      <c r="BT14" s="1149"/>
      <c r="BU14" s="1751">
        <v>80</v>
      </c>
      <c r="BV14" s="6257" t="s">
        <v>1732</v>
      </c>
      <c r="BW14" s="6191"/>
      <c r="BX14" s="6258" t="str">
        <f>IF(BU10=0,"",VLOOKUP(BU10,'Tablas psiquica'!$D$7:$R$145,8,FALSE))</f>
        <v/>
      </c>
      <c r="BY14" s="5838"/>
      <c r="BZ14" s="5838"/>
      <c r="CA14" s="5867"/>
      <c r="CB14" s="426"/>
      <c r="CC14" s="420"/>
      <c r="CD14" s="420"/>
      <c r="CE14" s="1149"/>
      <c r="CF14" s="1751">
        <v>80</v>
      </c>
      <c r="CG14" s="6257" t="s">
        <v>1732</v>
      </c>
      <c r="CH14" s="6191"/>
      <c r="CI14" s="6258" t="str">
        <f>IF(CF10=0,"",VLOOKUP(CF10,'Tablas psiquica'!$D$7:$R$145,8,FALSE))</f>
        <v/>
      </c>
      <c r="CJ14" s="5838"/>
      <c r="CK14" s="5838"/>
      <c r="CL14" s="5867"/>
      <c r="CM14" s="697"/>
      <c r="CN14" s="1751">
        <v>80</v>
      </c>
      <c r="CO14" s="6257" t="s">
        <v>1732</v>
      </c>
      <c r="CP14" s="6191"/>
      <c r="CQ14" s="6258" t="str">
        <f>IF(CN10=0,"",VLOOKUP(CN10,'Tablas psiquica'!$D$7:$R$145,8,FALSE))</f>
        <v/>
      </c>
      <c r="CR14" s="5838"/>
      <c r="CS14" s="5838"/>
      <c r="CT14" s="5867"/>
      <c r="CU14" s="1149"/>
      <c r="CV14" s="1751">
        <v>80</v>
      </c>
      <c r="CW14" s="6257" t="s">
        <v>1732</v>
      </c>
      <c r="CX14" s="6191"/>
      <c r="CY14" s="6258" t="str">
        <f>IF(CV10=0,"",VLOOKUP(CV10,'Tablas psiquica'!$D$7:$R$145,8,FALSE))</f>
        <v/>
      </c>
      <c r="CZ14" s="5838"/>
      <c r="DA14" s="5838"/>
      <c r="DB14" s="5867"/>
      <c r="DC14" s="426"/>
      <c r="DD14" s="420"/>
    </row>
    <row r="15" spans="1:108" ht="12" customHeight="1" x14ac:dyDescent="0.2">
      <c r="A15" s="420"/>
      <c r="B15" s="1149"/>
      <c r="C15" s="1750">
        <v>120</v>
      </c>
      <c r="D15" s="6259" t="s">
        <v>1735</v>
      </c>
      <c r="E15" s="6186"/>
      <c r="F15" s="6260" t="str">
        <f>IF(C10=0,"",VLOOKUP(C10,'Tablas psiquica'!$D$7:$R$145,9,FALSE))</f>
        <v/>
      </c>
      <c r="G15" s="6261"/>
      <c r="H15" s="6261"/>
      <c r="I15" s="6262"/>
      <c r="J15" s="697"/>
      <c r="K15" s="1750">
        <v>120</v>
      </c>
      <c r="L15" s="6259" t="s">
        <v>1735</v>
      </c>
      <c r="M15" s="6186"/>
      <c r="N15" s="6260" t="str">
        <f>IF(K10=0,"",VLOOKUP(K10,'Tablas psiquica'!$D$7:$R$145,9,FALSE))</f>
        <v/>
      </c>
      <c r="O15" s="6261"/>
      <c r="P15" s="6261"/>
      <c r="Q15" s="6262"/>
      <c r="R15" s="1149"/>
      <c r="S15" s="1750">
        <v>120</v>
      </c>
      <c r="T15" s="6259" t="s">
        <v>1735</v>
      </c>
      <c r="U15" s="6186"/>
      <c r="V15" s="6260" t="str">
        <f>IF(S10=0,"",VLOOKUP(S10,'Tablas psiquica'!$D$7:$R$145,9,FALSE))</f>
        <v/>
      </c>
      <c r="W15" s="6261"/>
      <c r="X15" s="6261"/>
      <c r="Y15" s="6262"/>
      <c r="Z15" s="426"/>
      <c r="AA15" s="420"/>
      <c r="AB15" s="420"/>
      <c r="AC15" s="1149"/>
      <c r="AD15" s="1750">
        <v>120</v>
      </c>
      <c r="AE15" s="6259" t="s">
        <v>1735</v>
      </c>
      <c r="AF15" s="6186"/>
      <c r="AG15" s="6260" t="str">
        <f>IF(AD10=0,"",VLOOKUP(AD10,'Tablas psiquica'!$D$7:$R$145,9,FALSE))</f>
        <v/>
      </c>
      <c r="AH15" s="6261"/>
      <c r="AI15" s="6261"/>
      <c r="AJ15" s="6262"/>
      <c r="AK15" s="697"/>
      <c r="AL15" s="1750">
        <v>120</v>
      </c>
      <c r="AM15" s="6259" t="s">
        <v>1735</v>
      </c>
      <c r="AN15" s="6186"/>
      <c r="AO15" s="6260" t="str">
        <f>IF(AL10=0,"",VLOOKUP(AL10,'Tablas psiquica'!$D$7:$R$145,9,FALSE))</f>
        <v/>
      </c>
      <c r="AP15" s="6261"/>
      <c r="AQ15" s="6261"/>
      <c r="AR15" s="6262"/>
      <c r="AS15" s="1149"/>
      <c r="AT15" s="1750">
        <v>120</v>
      </c>
      <c r="AU15" s="6259" t="s">
        <v>1735</v>
      </c>
      <c r="AV15" s="6186"/>
      <c r="AW15" s="6260" t="str">
        <f>IF(AT10=0,"",VLOOKUP(AT10,'Tablas psiquica'!$D$7:$R$145,9,FALSE))</f>
        <v/>
      </c>
      <c r="AX15" s="6261"/>
      <c r="AY15" s="6261"/>
      <c r="AZ15" s="6262"/>
      <c r="BA15" s="426"/>
      <c r="BB15" s="420"/>
      <c r="BC15" s="420"/>
      <c r="BD15" s="1149"/>
      <c r="BE15" s="1750">
        <v>120</v>
      </c>
      <c r="BF15" s="6259" t="s">
        <v>1735</v>
      </c>
      <c r="BG15" s="6186"/>
      <c r="BH15" s="6260" t="str">
        <f>IF(BE10=0,"",VLOOKUP(BE10,'Tablas psiquica'!$D$7:$R$145,9,FALSE))</f>
        <v/>
      </c>
      <c r="BI15" s="6261"/>
      <c r="BJ15" s="6261"/>
      <c r="BK15" s="6262"/>
      <c r="BL15" s="697"/>
      <c r="BM15" s="1750">
        <v>120</v>
      </c>
      <c r="BN15" s="6259" t="s">
        <v>1735</v>
      </c>
      <c r="BO15" s="6186"/>
      <c r="BP15" s="6260" t="str">
        <f>IF(BM10=0,"",VLOOKUP(BM10,'Tablas psiquica'!$D$7:$R$145,9,FALSE))</f>
        <v/>
      </c>
      <c r="BQ15" s="6261"/>
      <c r="BR15" s="6261"/>
      <c r="BS15" s="6262"/>
      <c r="BT15" s="1149"/>
      <c r="BU15" s="1750">
        <v>120</v>
      </c>
      <c r="BV15" s="6259" t="s">
        <v>1735</v>
      </c>
      <c r="BW15" s="6186"/>
      <c r="BX15" s="6260" t="str">
        <f>IF(BU10=0,"",VLOOKUP(BU10,'Tablas psiquica'!$D$7:$R$145,9,FALSE))</f>
        <v/>
      </c>
      <c r="BY15" s="6261"/>
      <c r="BZ15" s="6261"/>
      <c r="CA15" s="6262"/>
      <c r="CB15" s="426"/>
      <c r="CC15" s="420"/>
      <c r="CD15" s="420"/>
      <c r="CE15" s="1149"/>
      <c r="CF15" s="1750">
        <v>120</v>
      </c>
      <c r="CG15" s="6259" t="s">
        <v>1735</v>
      </c>
      <c r="CH15" s="6186"/>
      <c r="CI15" s="6260" t="str">
        <f>IF(CF10=0,"",VLOOKUP(CF10,'Tablas psiquica'!$D$7:$R$145,9,FALSE))</f>
        <v/>
      </c>
      <c r="CJ15" s="6261"/>
      <c r="CK15" s="6261"/>
      <c r="CL15" s="6262"/>
      <c r="CM15" s="697"/>
      <c r="CN15" s="1750">
        <v>120</v>
      </c>
      <c r="CO15" s="6259" t="s">
        <v>1735</v>
      </c>
      <c r="CP15" s="6186"/>
      <c r="CQ15" s="6260" t="str">
        <f>IF(CN10=0,"",VLOOKUP(CN10,'Tablas psiquica'!$D$7:$R$145,9,FALSE))</f>
        <v/>
      </c>
      <c r="CR15" s="6261"/>
      <c r="CS15" s="6261"/>
      <c r="CT15" s="6262"/>
      <c r="CU15" s="1149"/>
      <c r="CV15" s="1750">
        <v>120</v>
      </c>
      <c r="CW15" s="6259" t="s">
        <v>1735</v>
      </c>
      <c r="CX15" s="6186"/>
      <c r="CY15" s="6260" t="str">
        <f>IF(CV10=0,"",VLOOKUP(CV10,'Tablas psiquica'!$D$7:$R$145,9,FALSE))</f>
        <v/>
      </c>
      <c r="CZ15" s="6261"/>
      <c r="DA15" s="6261"/>
      <c r="DB15" s="6262"/>
      <c r="DC15" s="426"/>
      <c r="DD15" s="420"/>
    </row>
    <row r="16" spans="1:108" ht="12" customHeight="1" x14ac:dyDescent="0.2">
      <c r="A16" s="420"/>
      <c r="B16" s="1149"/>
      <c r="C16" s="1751">
        <v>140</v>
      </c>
      <c r="D16" s="6257" t="s">
        <v>6335</v>
      </c>
      <c r="E16" s="6191"/>
      <c r="F16" s="6258" t="str">
        <f>IF(C10=0,"",VLOOKUP(C10,'Tablas psiquica'!$D$7:$R$145,10,FALSE))</f>
        <v/>
      </c>
      <c r="G16" s="5838"/>
      <c r="H16" s="5838"/>
      <c r="I16" s="5867"/>
      <c r="J16" s="697"/>
      <c r="K16" s="1751">
        <v>140</v>
      </c>
      <c r="L16" s="6257" t="s">
        <v>6335</v>
      </c>
      <c r="M16" s="6191"/>
      <c r="N16" s="6258" t="str">
        <f>IF(K10=0,"",VLOOKUP(K10,'Tablas psiquica'!$D$7:$R$145,10,FALSE))</f>
        <v/>
      </c>
      <c r="O16" s="5838"/>
      <c r="P16" s="5838"/>
      <c r="Q16" s="5867"/>
      <c r="R16" s="1149"/>
      <c r="S16" s="1751">
        <v>140</v>
      </c>
      <c r="T16" s="6257" t="s">
        <v>6335</v>
      </c>
      <c r="U16" s="6191"/>
      <c r="V16" s="6258" t="str">
        <f>IF(S10=0,"",VLOOKUP(S10,'Tablas psiquica'!$D$7:$R$145,10,FALSE))</f>
        <v/>
      </c>
      <c r="W16" s="5838"/>
      <c r="X16" s="5838"/>
      <c r="Y16" s="5867"/>
      <c r="Z16" s="426"/>
      <c r="AA16" s="420"/>
      <c r="AB16" s="420"/>
      <c r="AC16" s="1149"/>
      <c r="AD16" s="1751">
        <v>140</v>
      </c>
      <c r="AE16" s="6257" t="s">
        <v>6335</v>
      </c>
      <c r="AF16" s="6191"/>
      <c r="AG16" s="6258" t="str">
        <f>IF(AD10=0,"",VLOOKUP(AD10,'Tablas psiquica'!$D$7:$R$145,10,FALSE))</f>
        <v/>
      </c>
      <c r="AH16" s="5838"/>
      <c r="AI16" s="5838"/>
      <c r="AJ16" s="5867"/>
      <c r="AK16" s="697"/>
      <c r="AL16" s="1751">
        <v>140</v>
      </c>
      <c r="AM16" s="6257" t="s">
        <v>6335</v>
      </c>
      <c r="AN16" s="6191"/>
      <c r="AO16" s="6258" t="str">
        <f>IF(AL10=0,"",VLOOKUP(AL10,'Tablas psiquica'!$D$7:$R$145,10,FALSE))</f>
        <v/>
      </c>
      <c r="AP16" s="5838"/>
      <c r="AQ16" s="5838"/>
      <c r="AR16" s="5867"/>
      <c r="AS16" s="1149"/>
      <c r="AT16" s="1751">
        <v>140</v>
      </c>
      <c r="AU16" s="6257" t="s">
        <v>6335</v>
      </c>
      <c r="AV16" s="6191"/>
      <c r="AW16" s="6258" t="str">
        <f>IF(AT10=0,"",VLOOKUP(AT10,'Tablas psiquica'!$D$7:$R$145,10,FALSE))</f>
        <v/>
      </c>
      <c r="AX16" s="5838"/>
      <c r="AY16" s="5838"/>
      <c r="AZ16" s="5867"/>
      <c r="BA16" s="426"/>
      <c r="BB16" s="420"/>
      <c r="BC16" s="420"/>
      <c r="BD16" s="1149"/>
      <c r="BE16" s="1751">
        <v>140</v>
      </c>
      <c r="BF16" s="6257" t="s">
        <v>6335</v>
      </c>
      <c r="BG16" s="6191"/>
      <c r="BH16" s="6258" t="str">
        <f>IF(BE10=0,"",VLOOKUP(BE10,'Tablas psiquica'!$D$7:$R$145,10,FALSE))</f>
        <v/>
      </c>
      <c r="BI16" s="5838"/>
      <c r="BJ16" s="5838"/>
      <c r="BK16" s="5867"/>
      <c r="BL16" s="697"/>
      <c r="BM16" s="1751">
        <v>140</v>
      </c>
      <c r="BN16" s="6257" t="s">
        <v>6335</v>
      </c>
      <c r="BO16" s="6191"/>
      <c r="BP16" s="6258" t="str">
        <f>IF(BM10=0,"",VLOOKUP(BM10,'Tablas psiquica'!$D$7:$R$145,10,FALSE))</f>
        <v/>
      </c>
      <c r="BQ16" s="5838"/>
      <c r="BR16" s="5838"/>
      <c r="BS16" s="5867"/>
      <c r="BT16" s="1149"/>
      <c r="BU16" s="1751">
        <v>140</v>
      </c>
      <c r="BV16" s="6257" t="s">
        <v>6335</v>
      </c>
      <c r="BW16" s="6191"/>
      <c r="BX16" s="6258" t="str">
        <f>IF(BU10=0,"",VLOOKUP(BU10,'Tablas psiquica'!$D$7:$R$145,10,FALSE))</f>
        <v/>
      </c>
      <c r="BY16" s="5838"/>
      <c r="BZ16" s="5838"/>
      <c r="CA16" s="5867"/>
      <c r="CB16" s="426"/>
      <c r="CC16" s="420"/>
      <c r="CD16" s="420"/>
      <c r="CE16" s="1149"/>
      <c r="CF16" s="1751">
        <v>140</v>
      </c>
      <c r="CG16" s="6257" t="s">
        <v>6335</v>
      </c>
      <c r="CH16" s="6191"/>
      <c r="CI16" s="6258" t="str">
        <f>IF(CF10=0,"",VLOOKUP(CF10,'Tablas psiquica'!$D$7:$R$145,10,FALSE))</f>
        <v/>
      </c>
      <c r="CJ16" s="5838"/>
      <c r="CK16" s="5838"/>
      <c r="CL16" s="5867"/>
      <c r="CM16" s="697"/>
      <c r="CN16" s="1751">
        <v>140</v>
      </c>
      <c r="CO16" s="6257" t="s">
        <v>6335</v>
      </c>
      <c r="CP16" s="6191"/>
      <c r="CQ16" s="6258" t="str">
        <f>IF(CN10=0,"",VLOOKUP(CN10,'Tablas psiquica'!$D$7:$R$145,10,FALSE))</f>
        <v/>
      </c>
      <c r="CR16" s="5838"/>
      <c r="CS16" s="5838"/>
      <c r="CT16" s="5867"/>
      <c r="CU16" s="1149"/>
      <c r="CV16" s="1751">
        <v>140</v>
      </c>
      <c r="CW16" s="6257" t="s">
        <v>6335</v>
      </c>
      <c r="CX16" s="6191"/>
      <c r="CY16" s="6258" t="str">
        <f>IF(CV10=0,"",VLOOKUP(CV10,'Tablas psiquica'!$D$7:$R$145,10,FALSE))</f>
        <v/>
      </c>
      <c r="CZ16" s="5838"/>
      <c r="DA16" s="5838"/>
      <c r="DB16" s="5867"/>
      <c r="DC16" s="426"/>
      <c r="DD16" s="420"/>
    </row>
    <row r="17" spans="1:108" ht="12" customHeight="1" x14ac:dyDescent="0.2">
      <c r="A17" s="420"/>
      <c r="B17" s="1149"/>
      <c r="C17" s="1750">
        <v>180</v>
      </c>
      <c r="D17" s="6259" t="s">
        <v>1739</v>
      </c>
      <c r="E17" s="6186"/>
      <c r="F17" s="6260" t="str">
        <f>IF(C10=0,"",VLOOKUP(C10,'Tablas psiquica'!$D$7:$R$145,11,FALSE))</f>
        <v/>
      </c>
      <c r="G17" s="6261"/>
      <c r="H17" s="6261"/>
      <c r="I17" s="6262"/>
      <c r="J17" s="697"/>
      <c r="K17" s="1750">
        <v>180</v>
      </c>
      <c r="L17" s="6259" t="s">
        <v>1739</v>
      </c>
      <c r="M17" s="6186"/>
      <c r="N17" s="6260" t="str">
        <f>IF(K10=0,"",VLOOKUP(K10,'Tablas psiquica'!$D$7:$R$145,11,FALSE))</f>
        <v/>
      </c>
      <c r="O17" s="6261"/>
      <c r="P17" s="6261"/>
      <c r="Q17" s="6262"/>
      <c r="R17" s="1149"/>
      <c r="S17" s="1750">
        <v>180</v>
      </c>
      <c r="T17" s="6259" t="s">
        <v>1739</v>
      </c>
      <c r="U17" s="6186"/>
      <c r="V17" s="6260" t="str">
        <f>IF(S10=0,"",VLOOKUP(S10,'Tablas psiquica'!$D$7:$R$145,11,FALSE))</f>
        <v/>
      </c>
      <c r="W17" s="6261"/>
      <c r="X17" s="6261"/>
      <c r="Y17" s="6262"/>
      <c r="Z17" s="426"/>
      <c r="AA17" s="420"/>
      <c r="AB17" s="420"/>
      <c r="AC17" s="1149"/>
      <c r="AD17" s="1750">
        <v>180</v>
      </c>
      <c r="AE17" s="6259" t="s">
        <v>1739</v>
      </c>
      <c r="AF17" s="6186"/>
      <c r="AG17" s="6260" t="str">
        <f>IF(AD10=0,"",VLOOKUP(AD10,'Tablas psiquica'!$D$7:$R$145,11,FALSE))</f>
        <v/>
      </c>
      <c r="AH17" s="6261"/>
      <c r="AI17" s="6261"/>
      <c r="AJ17" s="6262"/>
      <c r="AK17" s="697"/>
      <c r="AL17" s="1750">
        <v>180</v>
      </c>
      <c r="AM17" s="6259" t="s">
        <v>1739</v>
      </c>
      <c r="AN17" s="6186"/>
      <c r="AO17" s="6260" t="str">
        <f>IF(AL10=0,"",VLOOKUP(AL10,'Tablas psiquica'!$D$7:$R$145,11,FALSE))</f>
        <v/>
      </c>
      <c r="AP17" s="6261"/>
      <c r="AQ17" s="6261"/>
      <c r="AR17" s="6262"/>
      <c r="AS17" s="1149"/>
      <c r="AT17" s="1750">
        <v>180</v>
      </c>
      <c r="AU17" s="6259" t="s">
        <v>1739</v>
      </c>
      <c r="AV17" s="6186"/>
      <c r="AW17" s="6260" t="str">
        <f>IF(AT10=0,"",VLOOKUP(AT10,'Tablas psiquica'!$D$7:$R$145,11,FALSE))</f>
        <v/>
      </c>
      <c r="AX17" s="6261"/>
      <c r="AY17" s="6261"/>
      <c r="AZ17" s="6262"/>
      <c r="BA17" s="426"/>
      <c r="BB17" s="420"/>
      <c r="BC17" s="420"/>
      <c r="BD17" s="1149"/>
      <c r="BE17" s="1750">
        <v>180</v>
      </c>
      <c r="BF17" s="6259" t="s">
        <v>1739</v>
      </c>
      <c r="BG17" s="6186"/>
      <c r="BH17" s="6260" t="str">
        <f>IF(BE10=0,"",VLOOKUP(BE10,'Tablas psiquica'!$D$7:$R$145,11,FALSE))</f>
        <v/>
      </c>
      <c r="BI17" s="6261"/>
      <c r="BJ17" s="6261"/>
      <c r="BK17" s="6262"/>
      <c r="BL17" s="697"/>
      <c r="BM17" s="1750">
        <v>180</v>
      </c>
      <c r="BN17" s="6259" t="s">
        <v>1739</v>
      </c>
      <c r="BO17" s="6186"/>
      <c r="BP17" s="6260" t="str">
        <f>IF(BM10=0,"",VLOOKUP(BM10,'Tablas psiquica'!$D$7:$R$145,11,FALSE))</f>
        <v/>
      </c>
      <c r="BQ17" s="6261"/>
      <c r="BR17" s="6261"/>
      <c r="BS17" s="6262"/>
      <c r="BT17" s="1149"/>
      <c r="BU17" s="1750">
        <v>180</v>
      </c>
      <c r="BV17" s="6259" t="s">
        <v>1739</v>
      </c>
      <c r="BW17" s="6186"/>
      <c r="BX17" s="6260" t="str">
        <f>IF(BU10=0,"",VLOOKUP(BU10,'Tablas psiquica'!$D$7:$R$145,11,FALSE))</f>
        <v/>
      </c>
      <c r="BY17" s="6261"/>
      <c r="BZ17" s="6261"/>
      <c r="CA17" s="6262"/>
      <c r="CB17" s="426"/>
      <c r="CC17" s="420"/>
      <c r="CD17" s="420"/>
      <c r="CE17" s="1149"/>
      <c r="CF17" s="1750">
        <v>180</v>
      </c>
      <c r="CG17" s="6259" t="s">
        <v>1739</v>
      </c>
      <c r="CH17" s="6186"/>
      <c r="CI17" s="6260" t="str">
        <f>IF(CF10=0,"",VLOOKUP(CF10,'Tablas psiquica'!$D$7:$R$145,11,FALSE))</f>
        <v/>
      </c>
      <c r="CJ17" s="6261"/>
      <c r="CK17" s="6261"/>
      <c r="CL17" s="6262"/>
      <c r="CM17" s="697"/>
      <c r="CN17" s="1750">
        <v>180</v>
      </c>
      <c r="CO17" s="6259" t="s">
        <v>1739</v>
      </c>
      <c r="CP17" s="6186"/>
      <c r="CQ17" s="6260" t="str">
        <f>IF(CN10=0,"",VLOOKUP(CN10,'Tablas psiquica'!$D$7:$R$145,11,FALSE))</f>
        <v/>
      </c>
      <c r="CR17" s="6261"/>
      <c r="CS17" s="6261"/>
      <c r="CT17" s="6262"/>
      <c r="CU17" s="1149"/>
      <c r="CV17" s="1750">
        <v>180</v>
      </c>
      <c r="CW17" s="6259" t="s">
        <v>1739</v>
      </c>
      <c r="CX17" s="6186"/>
      <c r="CY17" s="6260" t="str">
        <f>IF(CV10=0,"",VLOOKUP(CV10,'Tablas psiquica'!$D$7:$R$145,11,FALSE))</f>
        <v/>
      </c>
      <c r="CZ17" s="6261"/>
      <c r="DA17" s="6261"/>
      <c r="DB17" s="6262"/>
      <c r="DC17" s="426"/>
      <c r="DD17" s="420"/>
    </row>
    <row r="18" spans="1:108" ht="12" customHeight="1" x14ac:dyDescent="0.2">
      <c r="A18" s="420"/>
      <c r="B18" s="1149"/>
      <c r="C18" s="1751">
        <v>240</v>
      </c>
      <c r="D18" s="6257" t="s">
        <v>6336</v>
      </c>
      <c r="E18" s="6191"/>
      <c r="F18" s="6258" t="str">
        <f>IF(C10=0,"",VLOOKUP(C10,'Tablas psiquica'!$D$7:$R$145,12,FALSE))</f>
        <v/>
      </c>
      <c r="G18" s="5838"/>
      <c r="H18" s="5838"/>
      <c r="I18" s="5867"/>
      <c r="J18" s="697"/>
      <c r="K18" s="1751">
        <v>240</v>
      </c>
      <c r="L18" s="6257" t="s">
        <v>6336</v>
      </c>
      <c r="M18" s="6191"/>
      <c r="N18" s="6258" t="str">
        <f>IF(K10=0,"",VLOOKUP(K10,'Tablas psiquica'!$D$7:$R$145,12,FALSE))</f>
        <v/>
      </c>
      <c r="O18" s="5838"/>
      <c r="P18" s="5838"/>
      <c r="Q18" s="5867"/>
      <c r="R18" s="1149"/>
      <c r="S18" s="1751">
        <v>240</v>
      </c>
      <c r="T18" s="6257" t="s">
        <v>6336</v>
      </c>
      <c r="U18" s="6191"/>
      <c r="V18" s="6258" t="str">
        <f>IF(S10=0,"",VLOOKUP(S10,'Tablas psiquica'!$D$7:$R$145,12,FALSE))</f>
        <v/>
      </c>
      <c r="W18" s="5838"/>
      <c r="X18" s="5838"/>
      <c r="Y18" s="5867"/>
      <c r="Z18" s="426"/>
      <c r="AA18" s="420"/>
      <c r="AB18" s="420"/>
      <c r="AC18" s="1149"/>
      <c r="AD18" s="1751">
        <v>240</v>
      </c>
      <c r="AE18" s="6257" t="s">
        <v>6336</v>
      </c>
      <c r="AF18" s="6191"/>
      <c r="AG18" s="6258" t="str">
        <f>IF(AD10=0,"",VLOOKUP(AD10,'Tablas psiquica'!$D$7:$R$145,12,FALSE))</f>
        <v/>
      </c>
      <c r="AH18" s="5838"/>
      <c r="AI18" s="5838"/>
      <c r="AJ18" s="5867"/>
      <c r="AK18" s="697"/>
      <c r="AL18" s="1751">
        <v>240</v>
      </c>
      <c r="AM18" s="6257" t="s">
        <v>6336</v>
      </c>
      <c r="AN18" s="6191"/>
      <c r="AO18" s="6258" t="str">
        <f>IF(AL10=0,"",VLOOKUP(AL10,'Tablas psiquica'!$D$7:$R$145,12,FALSE))</f>
        <v/>
      </c>
      <c r="AP18" s="5838"/>
      <c r="AQ18" s="5838"/>
      <c r="AR18" s="5867"/>
      <c r="AS18" s="1149"/>
      <c r="AT18" s="1751">
        <v>240</v>
      </c>
      <c r="AU18" s="6257" t="s">
        <v>6336</v>
      </c>
      <c r="AV18" s="6191"/>
      <c r="AW18" s="6258" t="str">
        <f>IF(AT10=0,"",VLOOKUP(AT10,'Tablas psiquica'!$D$7:$R$145,12,FALSE))</f>
        <v/>
      </c>
      <c r="AX18" s="5838"/>
      <c r="AY18" s="5838"/>
      <c r="AZ18" s="5867"/>
      <c r="BA18" s="426"/>
      <c r="BB18" s="420"/>
      <c r="BC18" s="420"/>
      <c r="BD18" s="1149"/>
      <c r="BE18" s="1751">
        <v>240</v>
      </c>
      <c r="BF18" s="6257" t="s">
        <v>6336</v>
      </c>
      <c r="BG18" s="6191"/>
      <c r="BH18" s="6258" t="str">
        <f>IF(BE10=0,"",VLOOKUP(BE10,'Tablas psiquica'!$D$7:$R$145,12,FALSE))</f>
        <v/>
      </c>
      <c r="BI18" s="5838"/>
      <c r="BJ18" s="5838"/>
      <c r="BK18" s="5867"/>
      <c r="BL18" s="697"/>
      <c r="BM18" s="1751">
        <v>240</v>
      </c>
      <c r="BN18" s="6257" t="s">
        <v>6336</v>
      </c>
      <c r="BO18" s="6191"/>
      <c r="BP18" s="6258" t="str">
        <f>IF(BM10=0,"",VLOOKUP(BM10,'Tablas psiquica'!$D$7:$R$145,12,FALSE))</f>
        <v/>
      </c>
      <c r="BQ18" s="5838"/>
      <c r="BR18" s="5838"/>
      <c r="BS18" s="5867"/>
      <c r="BT18" s="1149"/>
      <c r="BU18" s="1751">
        <v>240</v>
      </c>
      <c r="BV18" s="6257" t="s">
        <v>6336</v>
      </c>
      <c r="BW18" s="6191"/>
      <c r="BX18" s="6258" t="str">
        <f>IF(BU10=0,"",VLOOKUP(BU10,'Tablas psiquica'!$D$7:$R$145,12,FALSE))</f>
        <v/>
      </c>
      <c r="BY18" s="5838"/>
      <c r="BZ18" s="5838"/>
      <c r="CA18" s="5867"/>
      <c r="CB18" s="426"/>
      <c r="CC18" s="420"/>
      <c r="CD18" s="420"/>
      <c r="CE18" s="1149"/>
      <c r="CF18" s="1751">
        <v>240</v>
      </c>
      <c r="CG18" s="6257" t="s">
        <v>6336</v>
      </c>
      <c r="CH18" s="6191"/>
      <c r="CI18" s="6258" t="str">
        <f>IF(CF10=0,"",VLOOKUP(CF10,'Tablas psiquica'!$D$7:$R$145,12,FALSE))</f>
        <v/>
      </c>
      <c r="CJ18" s="5838"/>
      <c r="CK18" s="5838"/>
      <c r="CL18" s="5867"/>
      <c r="CM18" s="697"/>
      <c r="CN18" s="1751">
        <v>240</v>
      </c>
      <c r="CO18" s="6257" t="s">
        <v>6336</v>
      </c>
      <c r="CP18" s="6191"/>
      <c r="CQ18" s="6258" t="str">
        <f>IF(CN10=0,"",VLOOKUP(CN10,'Tablas psiquica'!$D$7:$R$145,12,FALSE))</f>
        <v/>
      </c>
      <c r="CR18" s="5838"/>
      <c r="CS18" s="5838"/>
      <c r="CT18" s="5867"/>
      <c r="CU18" s="1149"/>
      <c r="CV18" s="1751">
        <v>240</v>
      </c>
      <c r="CW18" s="6257" t="s">
        <v>6336</v>
      </c>
      <c r="CX18" s="6191"/>
      <c r="CY18" s="6258" t="str">
        <f>IF(CV10=0,"",VLOOKUP(CV10,'Tablas psiquica'!$D$7:$R$145,12,FALSE))</f>
        <v/>
      </c>
      <c r="CZ18" s="5838"/>
      <c r="DA18" s="5838"/>
      <c r="DB18" s="5867"/>
      <c r="DC18" s="426"/>
      <c r="DD18" s="420"/>
    </row>
    <row r="19" spans="1:108" ht="12" customHeight="1" x14ac:dyDescent="0.2">
      <c r="A19" s="420"/>
      <c r="B19" s="1149"/>
      <c r="C19" s="1750">
        <v>280</v>
      </c>
      <c r="D19" s="6259" t="s">
        <v>1742</v>
      </c>
      <c r="E19" s="6186"/>
      <c r="F19" s="6260" t="str">
        <f>IF(C10=0,"",VLOOKUP(C10,'Tablas psiquica'!$D$7:$R$145,13,FALSE))</f>
        <v/>
      </c>
      <c r="G19" s="6261"/>
      <c r="H19" s="6261"/>
      <c r="I19" s="6262"/>
      <c r="J19" s="697"/>
      <c r="K19" s="1750">
        <v>280</v>
      </c>
      <c r="L19" s="6259" t="s">
        <v>1742</v>
      </c>
      <c r="M19" s="6186"/>
      <c r="N19" s="6260" t="str">
        <f>IF(K10=0,"",VLOOKUP(K10,'Tablas psiquica'!$D$7:$R$145,13,FALSE))</f>
        <v/>
      </c>
      <c r="O19" s="6261"/>
      <c r="P19" s="6261"/>
      <c r="Q19" s="6262"/>
      <c r="R19" s="1149"/>
      <c r="S19" s="1750">
        <v>280</v>
      </c>
      <c r="T19" s="6259" t="s">
        <v>1742</v>
      </c>
      <c r="U19" s="6186"/>
      <c r="V19" s="6260" t="str">
        <f>IF(S10=0,"",VLOOKUP(S10,'Tablas psiquica'!$D$7:$R$145,13,FALSE))</f>
        <v/>
      </c>
      <c r="W19" s="6261"/>
      <c r="X19" s="6261"/>
      <c r="Y19" s="6262"/>
      <c r="Z19" s="426"/>
      <c r="AA19" s="420"/>
      <c r="AB19" s="420"/>
      <c r="AC19" s="1149"/>
      <c r="AD19" s="1750">
        <v>280</v>
      </c>
      <c r="AE19" s="6259" t="s">
        <v>1742</v>
      </c>
      <c r="AF19" s="6186"/>
      <c r="AG19" s="6260" t="str">
        <f>IF(AD10=0,"",VLOOKUP(AD10,'Tablas psiquica'!$D$7:$R$145,13,FALSE))</f>
        <v/>
      </c>
      <c r="AH19" s="6261"/>
      <c r="AI19" s="6261"/>
      <c r="AJ19" s="6262"/>
      <c r="AK19" s="697"/>
      <c r="AL19" s="1750">
        <v>280</v>
      </c>
      <c r="AM19" s="6259" t="s">
        <v>1742</v>
      </c>
      <c r="AN19" s="6186"/>
      <c r="AO19" s="6260" t="str">
        <f>IF(AL10=0,"",VLOOKUP(AL10,'Tablas psiquica'!$D$7:$R$145,13,FALSE))</f>
        <v/>
      </c>
      <c r="AP19" s="6261"/>
      <c r="AQ19" s="6261"/>
      <c r="AR19" s="6262"/>
      <c r="AS19" s="1149"/>
      <c r="AT19" s="1750">
        <v>280</v>
      </c>
      <c r="AU19" s="6259" t="s">
        <v>1742</v>
      </c>
      <c r="AV19" s="6186"/>
      <c r="AW19" s="6260" t="str">
        <f>IF(AT10=0,"",VLOOKUP(AT10,'Tablas psiquica'!$D$7:$R$145,13,FALSE))</f>
        <v/>
      </c>
      <c r="AX19" s="6261"/>
      <c r="AY19" s="6261"/>
      <c r="AZ19" s="6262"/>
      <c r="BA19" s="426"/>
      <c r="BB19" s="420"/>
      <c r="BC19" s="420"/>
      <c r="BD19" s="1149"/>
      <c r="BE19" s="1750">
        <v>280</v>
      </c>
      <c r="BF19" s="6259" t="s">
        <v>1742</v>
      </c>
      <c r="BG19" s="6186"/>
      <c r="BH19" s="6260" t="str">
        <f>IF(BE10=0,"",VLOOKUP(BE10,'Tablas psiquica'!$D$7:$R$145,13,FALSE))</f>
        <v/>
      </c>
      <c r="BI19" s="6261"/>
      <c r="BJ19" s="6261"/>
      <c r="BK19" s="6262"/>
      <c r="BL19" s="697"/>
      <c r="BM19" s="1750">
        <v>280</v>
      </c>
      <c r="BN19" s="6259" t="s">
        <v>1742</v>
      </c>
      <c r="BO19" s="6186"/>
      <c r="BP19" s="6260" t="str">
        <f>IF(BM10=0,"",VLOOKUP(BM10,'Tablas psiquica'!$D$7:$R$145,13,FALSE))</f>
        <v/>
      </c>
      <c r="BQ19" s="6261"/>
      <c r="BR19" s="6261"/>
      <c r="BS19" s="6262"/>
      <c r="BT19" s="1149"/>
      <c r="BU19" s="1750">
        <v>280</v>
      </c>
      <c r="BV19" s="6259" t="s">
        <v>1742</v>
      </c>
      <c r="BW19" s="6186"/>
      <c r="BX19" s="6260" t="str">
        <f>IF(BU10=0,"",VLOOKUP(BU10,'Tablas psiquica'!$D$7:$R$145,13,FALSE))</f>
        <v/>
      </c>
      <c r="BY19" s="6261"/>
      <c r="BZ19" s="6261"/>
      <c r="CA19" s="6262"/>
      <c r="CB19" s="426"/>
      <c r="CC19" s="420"/>
      <c r="CD19" s="420"/>
      <c r="CE19" s="1149"/>
      <c r="CF19" s="1750">
        <v>280</v>
      </c>
      <c r="CG19" s="6259" t="s">
        <v>1742</v>
      </c>
      <c r="CH19" s="6186"/>
      <c r="CI19" s="6260" t="str">
        <f>IF(CF10=0,"",VLOOKUP(CF10,'Tablas psiquica'!$D$7:$R$145,13,FALSE))</f>
        <v/>
      </c>
      <c r="CJ19" s="6261"/>
      <c r="CK19" s="6261"/>
      <c r="CL19" s="6262"/>
      <c r="CM19" s="697"/>
      <c r="CN19" s="1750">
        <v>280</v>
      </c>
      <c r="CO19" s="6259" t="s">
        <v>1742</v>
      </c>
      <c r="CP19" s="6186"/>
      <c r="CQ19" s="6260" t="str">
        <f>IF(CN10=0,"",VLOOKUP(CN10,'Tablas psiquica'!$D$7:$R$145,13,FALSE))</f>
        <v/>
      </c>
      <c r="CR19" s="6261"/>
      <c r="CS19" s="6261"/>
      <c r="CT19" s="6262"/>
      <c r="CU19" s="1149"/>
      <c r="CV19" s="1750">
        <v>280</v>
      </c>
      <c r="CW19" s="6259" t="s">
        <v>1742</v>
      </c>
      <c r="CX19" s="6186"/>
      <c r="CY19" s="6260" t="str">
        <f>IF(CV10=0,"",VLOOKUP(CV10,'Tablas psiquica'!$D$7:$R$145,13,FALSE))</f>
        <v/>
      </c>
      <c r="CZ19" s="6261"/>
      <c r="DA19" s="6261"/>
      <c r="DB19" s="6262"/>
      <c r="DC19" s="426"/>
      <c r="DD19" s="420"/>
    </row>
    <row r="20" spans="1:108" ht="12" customHeight="1" x14ac:dyDescent="0.2">
      <c r="A20" s="420"/>
      <c r="B20" s="1149"/>
      <c r="C20" s="1751">
        <v>320</v>
      </c>
      <c r="D20" s="6257" t="s">
        <v>1744</v>
      </c>
      <c r="E20" s="6191"/>
      <c r="F20" s="6258" t="str">
        <f>IF(C10=0,"",VLOOKUP(C10,'Tablas psiquica'!$D$7:$R$145,14,FALSE))</f>
        <v/>
      </c>
      <c r="G20" s="5838"/>
      <c r="H20" s="5838"/>
      <c r="I20" s="5867"/>
      <c r="J20" s="697"/>
      <c r="K20" s="1751">
        <v>320</v>
      </c>
      <c r="L20" s="6257" t="s">
        <v>1744</v>
      </c>
      <c r="M20" s="6191"/>
      <c r="N20" s="6258" t="str">
        <f>IF(K10=0,"",VLOOKUP(K10,'Tablas psiquica'!$D$7:$R$145,14,FALSE))</f>
        <v/>
      </c>
      <c r="O20" s="5838"/>
      <c r="P20" s="5838"/>
      <c r="Q20" s="5867"/>
      <c r="R20" s="1149"/>
      <c r="S20" s="1751">
        <v>320</v>
      </c>
      <c r="T20" s="6257" t="s">
        <v>1744</v>
      </c>
      <c r="U20" s="6191"/>
      <c r="V20" s="6258" t="str">
        <f>IF(S10=0,"",VLOOKUP(S10,'Tablas psiquica'!$D$7:$R$145,14,FALSE))</f>
        <v/>
      </c>
      <c r="W20" s="5838"/>
      <c r="X20" s="5838"/>
      <c r="Y20" s="5867"/>
      <c r="Z20" s="426"/>
      <c r="AA20" s="420"/>
      <c r="AB20" s="420"/>
      <c r="AC20" s="1149"/>
      <c r="AD20" s="1751">
        <v>320</v>
      </c>
      <c r="AE20" s="6257" t="s">
        <v>1744</v>
      </c>
      <c r="AF20" s="6191"/>
      <c r="AG20" s="6258" t="str">
        <f>IF(AD10=0,"",VLOOKUP(AD10,'Tablas psiquica'!$D$7:$R$145,14,FALSE))</f>
        <v/>
      </c>
      <c r="AH20" s="5838"/>
      <c r="AI20" s="5838"/>
      <c r="AJ20" s="5867"/>
      <c r="AK20" s="697"/>
      <c r="AL20" s="1751">
        <v>320</v>
      </c>
      <c r="AM20" s="6257" t="s">
        <v>1744</v>
      </c>
      <c r="AN20" s="6191"/>
      <c r="AO20" s="6258" t="str">
        <f>IF(AL10=0,"",VLOOKUP(AL10,'Tablas psiquica'!$D$7:$R$145,14,FALSE))</f>
        <v/>
      </c>
      <c r="AP20" s="5838"/>
      <c r="AQ20" s="5838"/>
      <c r="AR20" s="5867"/>
      <c r="AS20" s="1149"/>
      <c r="AT20" s="1751">
        <v>320</v>
      </c>
      <c r="AU20" s="6257" t="s">
        <v>1744</v>
      </c>
      <c r="AV20" s="6191"/>
      <c r="AW20" s="6258" t="str">
        <f>IF(AT10=0,"",VLOOKUP(AT10,'Tablas psiquica'!$D$7:$R$145,14,FALSE))</f>
        <v/>
      </c>
      <c r="AX20" s="5838"/>
      <c r="AY20" s="5838"/>
      <c r="AZ20" s="5867"/>
      <c r="BA20" s="426"/>
      <c r="BB20" s="420"/>
      <c r="BC20" s="420"/>
      <c r="BD20" s="1149"/>
      <c r="BE20" s="1751">
        <v>320</v>
      </c>
      <c r="BF20" s="6257" t="s">
        <v>1744</v>
      </c>
      <c r="BG20" s="6191"/>
      <c r="BH20" s="6258" t="str">
        <f>IF(BE10=0,"",VLOOKUP(BE10,'Tablas psiquica'!$D$7:$R$145,14,FALSE))</f>
        <v/>
      </c>
      <c r="BI20" s="5838"/>
      <c r="BJ20" s="5838"/>
      <c r="BK20" s="5867"/>
      <c r="BL20" s="697"/>
      <c r="BM20" s="1751">
        <v>320</v>
      </c>
      <c r="BN20" s="6257" t="s">
        <v>1744</v>
      </c>
      <c r="BO20" s="6191"/>
      <c r="BP20" s="6258" t="str">
        <f>IF(BM10=0,"",VLOOKUP(BM10,'Tablas psiquica'!$D$7:$R$145,14,FALSE))</f>
        <v/>
      </c>
      <c r="BQ20" s="5838"/>
      <c r="BR20" s="5838"/>
      <c r="BS20" s="5867"/>
      <c r="BT20" s="1149"/>
      <c r="BU20" s="1751">
        <v>320</v>
      </c>
      <c r="BV20" s="6257" t="s">
        <v>1744</v>
      </c>
      <c r="BW20" s="6191"/>
      <c r="BX20" s="6258" t="str">
        <f>IF(BU10=0,"",VLOOKUP(BU10,'Tablas psiquica'!$D$7:$R$145,14,FALSE))</f>
        <v/>
      </c>
      <c r="BY20" s="5838"/>
      <c r="BZ20" s="5838"/>
      <c r="CA20" s="5867"/>
      <c r="CB20" s="426"/>
      <c r="CC20" s="420"/>
      <c r="CD20" s="420"/>
      <c r="CE20" s="1149"/>
      <c r="CF20" s="1751">
        <v>320</v>
      </c>
      <c r="CG20" s="6257" t="s">
        <v>1744</v>
      </c>
      <c r="CH20" s="6191"/>
      <c r="CI20" s="6258" t="str">
        <f>IF(CF10=0,"",VLOOKUP(CF10,'Tablas psiquica'!$D$7:$R$145,14,FALSE))</f>
        <v/>
      </c>
      <c r="CJ20" s="5838"/>
      <c r="CK20" s="5838"/>
      <c r="CL20" s="5867"/>
      <c r="CM20" s="697"/>
      <c r="CN20" s="1751">
        <v>320</v>
      </c>
      <c r="CO20" s="6257" t="s">
        <v>1744</v>
      </c>
      <c r="CP20" s="6191"/>
      <c r="CQ20" s="6258" t="str">
        <f>IF(CN10=0,"",VLOOKUP(CN10,'Tablas psiquica'!$D$7:$R$145,14,FALSE))</f>
        <v/>
      </c>
      <c r="CR20" s="5838"/>
      <c r="CS20" s="5838"/>
      <c r="CT20" s="5867"/>
      <c r="CU20" s="1149"/>
      <c r="CV20" s="1751">
        <v>320</v>
      </c>
      <c r="CW20" s="6257" t="s">
        <v>1744</v>
      </c>
      <c r="CX20" s="6191"/>
      <c r="CY20" s="6258" t="str">
        <f>IF(CV10=0,"",VLOOKUP(CV10,'Tablas psiquica'!$D$7:$R$145,14,FALSE))</f>
        <v/>
      </c>
      <c r="CZ20" s="5838"/>
      <c r="DA20" s="5838"/>
      <c r="DB20" s="5867"/>
      <c r="DC20" s="426"/>
      <c r="DD20" s="420"/>
    </row>
    <row r="21" spans="1:108" ht="12" customHeight="1" x14ac:dyDescent="0.2">
      <c r="A21" s="420"/>
      <c r="B21" s="1149"/>
      <c r="C21" s="452">
        <v>440</v>
      </c>
      <c r="D21" s="6255" t="s">
        <v>1687</v>
      </c>
      <c r="E21" s="6256"/>
      <c r="F21" s="6252" t="str">
        <f>IF(C10=0,"",VLOOKUP(C10,'Tablas psiquica'!$D$7:$R$145,15,FALSE))</f>
        <v/>
      </c>
      <c r="G21" s="6253"/>
      <c r="H21" s="6253"/>
      <c r="I21" s="6254"/>
      <c r="J21" s="697"/>
      <c r="K21" s="452">
        <v>440</v>
      </c>
      <c r="L21" s="6255" t="s">
        <v>1687</v>
      </c>
      <c r="M21" s="6256"/>
      <c r="N21" s="6252" t="str">
        <f>IF(K10=0,"",VLOOKUP(K10,'Tablas psiquica'!$D$7:$R$145,15,FALSE))</f>
        <v/>
      </c>
      <c r="O21" s="6253"/>
      <c r="P21" s="6253"/>
      <c r="Q21" s="6254"/>
      <c r="R21" s="1149"/>
      <c r="S21" s="452">
        <v>440</v>
      </c>
      <c r="T21" s="6255" t="s">
        <v>1687</v>
      </c>
      <c r="U21" s="6256"/>
      <c r="V21" s="6252" t="str">
        <f>IF(S10=0,"",VLOOKUP(S10,'Tablas psiquica'!$D$7:$R$145,15,FALSE))</f>
        <v/>
      </c>
      <c r="W21" s="6253"/>
      <c r="X21" s="6253"/>
      <c r="Y21" s="6254"/>
      <c r="Z21" s="426"/>
      <c r="AA21" s="420"/>
      <c r="AB21" s="420"/>
      <c r="AC21" s="1149"/>
      <c r="AD21" s="452">
        <v>440</v>
      </c>
      <c r="AE21" s="6255" t="s">
        <v>1687</v>
      </c>
      <c r="AF21" s="6256"/>
      <c r="AG21" s="6252" t="str">
        <f>IF(AD10=0,"",VLOOKUP(AD10,'Tablas psiquica'!$D$7:$R$145,15,FALSE))</f>
        <v/>
      </c>
      <c r="AH21" s="6253"/>
      <c r="AI21" s="6253"/>
      <c r="AJ21" s="6254"/>
      <c r="AK21" s="697"/>
      <c r="AL21" s="452">
        <v>440</v>
      </c>
      <c r="AM21" s="6255" t="s">
        <v>1687</v>
      </c>
      <c r="AN21" s="6256"/>
      <c r="AO21" s="6252" t="str">
        <f>IF(AL10=0,"",VLOOKUP(AL10,'Tablas psiquica'!$D$7:$R$145,15,FALSE))</f>
        <v/>
      </c>
      <c r="AP21" s="6253"/>
      <c r="AQ21" s="6253"/>
      <c r="AR21" s="6254"/>
      <c r="AS21" s="1149"/>
      <c r="AT21" s="452">
        <v>440</v>
      </c>
      <c r="AU21" s="6255" t="s">
        <v>1687</v>
      </c>
      <c r="AV21" s="6256"/>
      <c r="AW21" s="6252" t="str">
        <f>IF(AT10=0,"",VLOOKUP(AT10,'Tablas psiquica'!$D$7:$R$145,15,FALSE))</f>
        <v/>
      </c>
      <c r="AX21" s="6253"/>
      <c r="AY21" s="6253"/>
      <c r="AZ21" s="6254"/>
      <c r="BA21" s="426"/>
      <c r="BB21" s="420"/>
      <c r="BC21" s="420"/>
      <c r="BD21" s="1149"/>
      <c r="BE21" s="452">
        <v>440</v>
      </c>
      <c r="BF21" s="6255" t="s">
        <v>1687</v>
      </c>
      <c r="BG21" s="6256"/>
      <c r="BH21" s="6252" t="str">
        <f>IF(BE10=0,"",VLOOKUP(BE10,'Tablas psiquica'!$D$7:$R$145,15,FALSE))</f>
        <v/>
      </c>
      <c r="BI21" s="6253"/>
      <c r="BJ21" s="6253"/>
      <c r="BK21" s="6254"/>
      <c r="BL21" s="697"/>
      <c r="BM21" s="452">
        <v>440</v>
      </c>
      <c r="BN21" s="6255" t="s">
        <v>1687</v>
      </c>
      <c r="BO21" s="6256"/>
      <c r="BP21" s="6252" t="str">
        <f>IF(BM10=0,"",VLOOKUP(BM10,'Tablas psiquica'!$D$7:$R$145,15,FALSE))</f>
        <v/>
      </c>
      <c r="BQ21" s="6253"/>
      <c r="BR21" s="6253"/>
      <c r="BS21" s="6254"/>
      <c r="BT21" s="1149"/>
      <c r="BU21" s="452">
        <v>440</v>
      </c>
      <c r="BV21" s="6255" t="s">
        <v>1687</v>
      </c>
      <c r="BW21" s="6256"/>
      <c r="BX21" s="6252" t="str">
        <f>IF(BU10=0,"",VLOOKUP(BU10,'Tablas psiquica'!$D$7:$R$145,15,FALSE))</f>
        <v/>
      </c>
      <c r="BY21" s="6253"/>
      <c r="BZ21" s="6253"/>
      <c r="CA21" s="6254"/>
      <c r="CB21" s="426"/>
      <c r="CC21" s="420"/>
      <c r="CD21" s="420"/>
      <c r="CE21" s="1149"/>
      <c r="CF21" s="452">
        <v>440</v>
      </c>
      <c r="CG21" s="6255" t="s">
        <v>1687</v>
      </c>
      <c r="CH21" s="6256"/>
      <c r="CI21" s="6252" t="str">
        <f>IF(CF10=0,"",VLOOKUP(CF10,'Tablas psiquica'!$D$7:$R$145,15,FALSE))</f>
        <v/>
      </c>
      <c r="CJ21" s="6253"/>
      <c r="CK21" s="6253"/>
      <c r="CL21" s="6254"/>
      <c r="CM21" s="697"/>
      <c r="CN21" s="452">
        <v>440</v>
      </c>
      <c r="CO21" s="6255" t="s">
        <v>1687</v>
      </c>
      <c r="CP21" s="6256"/>
      <c r="CQ21" s="6252" t="str">
        <f>IF(CN10=0,"",VLOOKUP(CN10,'Tablas psiquica'!$D$7:$R$145,15,FALSE))</f>
        <v/>
      </c>
      <c r="CR21" s="6253"/>
      <c r="CS21" s="6253"/>
      <c r="CT21" s="6254"/>
      <c r="CU21" s="1149"/>
      <c r="CV21" s="452">
        <v>440</v>
      </c>
      <c r="CW21" s="6255" t="s">
        <v>1687</v>
      </c>
      <c r="CX21" s="6256"/>
      <c r="CY21" s="6252" t="str">
        <f>IF(CV10=0,"",VLOOKUP(CV10,'Tablas psiquica'!$D$7:$R$145,15,FALSE))</f>
        <v/>
      </c>
      <c r="CZ21" s="6253"/>
      <c r="DA21" s="6253"/>
      <c r="DB21" s="6254"/>
      <c r="DC21" s="426"/>
      <c r="DD21" s="420"/>
    </row>
    <row r="22" spans="1:108" ht="12" customHeight="1" thickBot="1" x14ac:dyDescent="0.25">
      <c r="A22" s="420"/>
      <c r="B22" s="1149"/>
      <c r="C22" s="6247" t="s">
        <v>6337</v>
      </c>
      <c r="D22" s="6248"/>
      <c r="E22" s="453" t="str">
        <f>IF(C10=0,"",VLOOKUP(C10,'Tablas psiquica'!$D$7:$R$145,4,FALSE))</f>
        <v/>
      </c>
      <c r="F22" s="6249" t="s">
        <v>6332</v>
      </c>
      <c r="G22" s="6249"/>
      <c r="H22" s="6250" t="str">
        <f>IF(C10=0,"",VLOOKUP(C10,'Tablas psiquica'!$D$7:$R$145,5,FALSE))</f>
        <v/>
      </c>
      <c r="I22" s="6251"/>
      <c r="J22" s="697"/>
      <c r="K22" s="6247" t="s">
        <v>6337</v>
      </c>
      <c r="L22" s="6248"/>
      <c r="M22" s="453" t="str">
        <f>IF(K10=0,"",VLOOKUP(K10,'Tablas psiquica'!$D$7:$R$145,4,FALSE))</f>
        <v/>
      </c>
      <c r="N22" s="6249" t="s">
        <v>6332</v>
      </c>
      <c r="O22" s="6249"/>
      <c r="P22" s="6250" t="str">
        <f>IF(K10=0,"",VLOOKUP(K10,'Tablas psiquica'!$D$7:$R$145,5,FALSE))</f>
        <v/>
      </c>
      <c r="Q22" s="6251"/>
      <c r="R22" s="1149"/>
      <c r="S22" s="6247" t="s">
        <v>6337</v>
      </c>
      <c r="T22" s="6248"/>
      <c r="U22" s="453" t="str">
        <f>IF(S10=0,"",VLOOKUP(S10,'Tablas psiquica'!$D$7:$R$145,4,FALSE))</f>
        <v/>
      </c>
      <c r="V22" s="6249" t="s">
        <v>6332</v>
      </c>
      <c r="W22" s="6249"/>
      <c r="X22" s="6250" t="str">
        <f>IF(S10=0,"",VLOOKUP(S10,'Tablas psiquica'!$D$7:$R$145,5,FALSE))</f>
        <v/>
      </c>
      <c r="Y22" s="6251"/>
      <c r="Z22" s="426"/>
      <c r="AA22" s="420"/>
      <c r="AB22" s="420"/>
      <c r="AC22" s="1149"/>
      <c r="AD22" s="6247" t="s">
        <v>6337</v>
      </c>
      <c r="AE22" s="6248"/>
      <c r="AF22" s="453" t="str">
        <f>IF(AD10=0,"",VLOOKUP(AD10,'Tablas psiquica'!$D$7:$R$145,4,FALSE))</f>
        <v/>
      </c>
      <c r="AG22" s="6249" t="s">
        <v>6332</v>
      </c>
      <c r="AH22" s="6249"/>
      <c r="AI22" s="6250" t="str">
        <f>IF(AD10=0,"",VLOOKUP(AD10,'Tablas psiquica'!$D$7:$R$145,5,FALSE))</f>
        <v/>
      </c>
      <c r="AJ22" s="6251"/>
      <c r="AK22" s="697"/>
      <c r="AL22" s="6247" t="s">
        <v>6337</v>
      </c>
      <c r="AM22" s="6248"/>
      <c r="AN22" s="453" t="str">
        <f>IF(AL10=0,"",VLOOKUP(AL10,'Tablas psiquica'!$D$7:$R$145,4,FALSE))</f>
        <v/>
      </c>
      <c r="AO22" s="6249" t="s">
        <v>6332</v>
      </c>
      <c r="AP22" s="6249"/>
      <c r="AQ22" s="6250" t="str">
        <f>IF(AL10=0,"",VLOOKUP(AL10,'Tablas psiquica'!$D$7:$R$145,5,FALSE))</f>
        <v/>
      </c>
      <c r="AR22" s="6251"/>
      <c r="AS22" s="1149"/>
      <c r="AT22" s="6247" t="s">
        <v>6337</v>
      </c>
      <c r="AU22" s="6248"/>
      <c r="AV22" s="453" t="str">
        <f>IF(AT10=0,"",VLOOKUP(AT10,'Tablas psiquica'!$D$7:$R$145,4,FALSE))</f>
        <v/>
      </c>
      <c r="AW22" s="6249" t="s">
        <v>6332</v>
      </c>
      <c r="AX22" s="6249"/>
      <c r="AY22" s="6250" t="str">
        <f>IF(AT10=0,"",VLOOKUP(AT10,'Tablas psiquica'!$D$7:$R$145,5,FALSE))</f>
        <v/>
      </c>
      <c r="AZ22" s="6251"/>
      <c r="BA22" s="426"/>
      <c r="BB22" s="420"/>
      <c r="BC22" s="420"/>
      <c r="BD22" s="1149"/>
      <c r="BE22" s="6247" t="s">
        <v>6337</v>
      </c>
      <c r="BF22" s="6248"/>
      <c r="BG22" s="453" t="str">
        <f>IF(BE10=0,"",VLOOKUP(BE10,'Tablas psiquica'!$D$7:$R$145,4,FALSE))</f>
        <v/>
      </c>
      <c r="BH22" s="6249" t="s">
        <v>6332</v>
      </c>
      <c r="BI22" s="6249"/>
      <c r="BJ22" s="6250" t="str">
        <f>IF(BE10=0,"",VLOOKUP(BE10,'Tablas psiquica'!$D$7:$R$145,5,FALSE))</f>
        <v/>
      </c>
      <c r="BK22" s="6251"/>
      <c r="BL22" s="697"/>
      <c r="BM22" s="6247" t="s">
        <v>6337</v>
      </c>
      <c r="BN22" s="6248"/>
      <c r="BO22" s="453" t="str">
        <f>IF(BM10=0,"",VLOOKUP(BM10,'Tablas psiquica'!$D$7:$R$145,4,FALSE))</f>
        <v/>
      </c>
      <c r="BP22" s="6249" t="s">
        <v>6332</v>
      </c>
      <c r="BQ22" s="6249"/>
      <c r="BR22" s="6250" t="str">
        <f>IF(BM10=0,"",VLOOKUP(BM10,'Tablas psiquica'!$D$7:$R$145,5,FALSE))</f>
        <v/>
      </c>
      <c r="BS22" s="6251"/>
      <c r="BT22" s="1149"/>
      <c r="BU22" s="6247" t="s">
        <v>6337</v>
      </c>
      <c r="BV22" s="6248"/>
      <c r="BW22" s="453" t="str">
        <f>IF(BU10=0,"",VLOOKUP(BU10,'Tablas psiquica'!$D$7:$R$145,4,FALSE))</f>
        <v/>
      </c>
      <c r="BX22" s="6249" t="s">
        <v>6332</v>
      </c>
      <c r="BY22" s="6249"/>
      <c r="BZ22" s="6250" t="str">
        <f>IF(BU10=0,"",VLOOKUP(BU10,'Tablas psiquica'!$D$7:$R$145,5,FALSE))</f>
        <v/>
      </c>
      <c r="CA22" s="6251"/>
      <c r="CB22" s="426"/>
      <c r="CC22" s="420"/>
      <c r="CD22" s="420"/>
      <c r="CE22" s="1149"/>
      <c r="CF22" s="6247" t="s">
        <v>6337</v>
      </c>
      <c r="CG22" s="6248"/>
      <c r="CH22" s="453" t="str">
        <f>IF(CF10=0,"",VLOOKUP(CF10,'Tablas psiquica'!$D$7:$R$145,4,FALSE))</f>
        <v/>
      </c>
      <c r="CI22" s="6249" t="s">
        <v>6332</v>
      </c>
      <c r="CJ22" s="6249"/>
      <c r="CK22" s="6250" t="str">
        <f>IF(CF10=0,"",VLOOKUP(CF10,'Tablas psiquica'!$D$7:$R$145,5,FALSE))</f>
        <v/>
      </c>
      <c r="CL22" s="6251"/>
      <c r="CM22" s="697"/>
      <c r="CN22" s="6247" t="s">
        <v>6337</v>
      </c>
      <c r="CO22" s="6248"/>
      <c r="CP22" s="453" t="str">
        <f>IF(CN10=0,"",VLOOKUP(CN10,'Tablas psiquica'!$D$7:$R$145,4,FALSE))</f>
        <v/>
      </c>
      <c r="CQ22" s="6249" t="s">
        <v>6332</v>
      </c>
      <c r="CR22" s="6249"/>
      <c r="CS22" s="6250" t="str">
        <f>IF(CN10=0,"",VLOOKUP(CN10,'Tablas psiquica'!$D$7:$R$145,5,FALSE))</f>
        <v/>
      </c>
      <c r="CT22" s="6251"/>
      <c r="CU22" s="1149"/>
      <c r="CV22" s="6247" t="s">
        <v>6337</v>
      </c>
      <c r="CW22" s="6248"/>
      <c r="CX22" s="453" t="str">
        <f>IF(CV10=0,"",VLOOKUP(CV10,'Tablas psiquica'!$D$7:$R$145,4,FALSE))</f>
        <v/>
      </c>
      <c r="CY22" s="6249" t="s">
        <v>6332</v>
      </c>
      <c r="CZ22" s="6249"/>
      <c r="DA22" s="6250" t="str">
        <f>IF(CV10=0,"",VLOOKUP(CV10,'Tablas psiquica'!$D$7:$R$145,5,FALSE))</f>
        <v/>
      </c>
      <c r="DB22" s="6251"/>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68">
        <f>IFERROR(INDEX('Tablas psiquica'!$U$115:$AH$129,B24,Y$7),0)</f>
        <v>0</v>
      </c>
      <c r="D24" s="6269"/>
      <c r="E24" s="6269"/>
      <c r="F24" s="6269"/>
      <c r="G24" s="6269"/>
      <c r="H24" s="6269"/>
      <c r="I24" s="451" t="s">
        <v>1406</v>
      </c>
      <c r="J24" s="697">
        <v>5</v>
      </c>
      <c r="K24" s="6268">
        <f>IFERROR(INDEX('Tablas psiquica'!$U$115:$AH$129,J24,Y$7),0)</f>
        <v>0</v>
      </c>
      <c r="L24" s="6269"/>
      <c r="M24" s="6269"/>
      <c r="N24" s="6269"/>
      <c r="O24" s="6269"/>
      <c r="P24" s="6269"/>
      <c r="Q24" s="451" t="s">
        <v>1406</v>
      </c>
      <c r="R24" s="1149">
        <v>6</v>
      </c>
      <c r="S24" s="6268">
        <f>IFERROR(INDEX('Tablas psiquica'!$U$115:$AH$129,R24,Y$7),0)</f>
        <v>0</v>
      </c>
      <c r="T24" s="6269"/>
      <c r="U24" s="6269"/>
      <c r="V24" s="6269"/>
      <c r="W24" s="6269"/>
      <c r="X24" s="6269"/>
      <c r="Y24" s="451" t="s">
        <v>1406</v>
      </c>
      <c r="Z24" s="426"/>
      <c r="AA24" s="420"/>
      <c r="AB24" s="420"/>
      <c r="AC24" s="1149">
        <v>4</v>
      </c>
      <c r="AD24" s="6268">
        <f>IFERROR(INDEX('Tablas psiquica'!$U$115:$AH$129,AC24,AZ$7),0)</f>
        <v>0</v>
      </c>
      <c r="AE24" s="6269"/>
      <c r="AF24" s="6269"/>
      <c r="AG24" s="6269"/>
      <c r="AH24" s="6269"/>
      <c r="AI24" s="6269"/>
      <c r="AJ24" s="451" t="s">
        <v>1406</v>
      </c>
      <c r="AK24" s="697">
        <v>5</v>
      </c>
      <c r="AL24" s="6268">
        <f>IFERROR(INDEX('Tablas psiquica'!$U$115:$AH$129,AK24,AZ$7),0)</f>
        <v>0</v>
      </c>
      <c r="AM24" s="6269"/>
      <c r="AN24" s="6269"/>
      <c r="AO24" s="6269"/>
      <c r="AP24" s="6269"/>
      <c r="AQ24" s="6269"/>
      <c r="AR24" s="451" t="s">
        <v>1406</v>
      </c>
      <c r="AS24" s="1149">
        <v>6</v>
      </c>
      <c r="AT24" s="6268">
        <f>IFERROR(INDEX('Tablas psiquica'!$U$115:$AH$129,AS24,AZ$7),0)</f>
        <v>0</v>
      </c>
      <c r="AU24" s="6269"/>
      <c r="AV24" s="6269"/>
      <c r="AW24" s="6269"/>
      <c r="AX24" s="6269"/>
      <c r="AY24" s="6269"/>
      <c r="AZ24" s="451" t="s">
        <v>1406</v>
      </c>
      <c r="BA24" s="426"/>
      <c r="BB24" s="420"/>
      <c r="BC24" s="420"/>
      <c r="BD24" s="1149">
        <v>4</v>
      </c>
      <c r="BE24" s="6268">
        <f>IFERROR(INDEX('Tablas psiquica'!$U$115:$AH$129,BD24,CA$7),0)</f>
        <v>0</v>
      </c>
      <c r="BF24" s="6269"/>
      <c r="BG24" s="6269"/>
      <c r="BH24" s="6269"/>
      <c r="BI24" s="6269"/>
      <c r="BJ24" s="6269"/>
      <c r="BK24" s="451" t="s">
        <v>1406</v>
      </c>
      <c r="BL24" s="697">
        <v>5</v>
      </c>
      <c r="BM24" s="6268">
        <f>IFERROR(INDEX('Tablas psiquica'!$U$115:$AH$129,BL24,CA$7),0)</f>
        <v>0</v>
      </c>
      <c r="BN24" s="6269"/>
      <c r="BO24" s="6269"/>
      <c r="BP24" s="6269"/>
      <c r="BQ24" s="6269"/>
      <c r="BR24" s="6269"/>
      <c r="BS24" s="451" t="s">
        <v>1406</v>
      </c>
      <c r="BT24" s="1149">
        <v>6</v>
      </c>
      <c r="BU24" s="6268">
        <f>IFERROR(INDEX('Tablas psiquica'!$U$115:$AH$129,BT24,CA$7),0)</f>
        <v>0</v>
      </c>
      <c r="BV24" s="6269"/>
      <c r="BW24" s="6269"/>
      <c r="BX24" s="6269"/>
      <c r="BY24" s="6269"/>
      <c r="BZ24" s="6269"/>
      <c r="CA24" s="451" t="s">
        <v>1406</v>
      </c>
      <c r="CB24" s="426"/>
      <c r="CC24" s="420"/>
      <c r="CD24" s="420"/>
      <c r="CE24" s="1149">
        <v>4</v>
      </c>
      <c r="CF24" s="6268">
        <f>IFERROR(INDEX('Tablas psiquica'!$U$115:$AH$129,CE24,DB$7),0)</f>
        <v>0</v>
      </c>
      <c r="CG24" s="6269"/>
      <c r="CH24" s="6269"/>
      <c r="CI24" s="6269"/>
      <c r="CJ24" s="6269"/>
      <c r="CK24" s="6269"/>
      <c r="CL24" s="451" t="s">
        <v>1406</v>
      </c>
      <c r="CM24" s="697">
        <v>5</v>
      </c>
      <c r="CN24" s="6268">
        <f>IFERROR(INDEX('Tablas psiquica'!$U$115:$AH$129,CM24,DB$7),0)</f>
        <v>0</v>
      </c>
      <c r="CO24" s="6269"/>
      <c r="CP24" s="6269"/>
      <c r="CQ24" s="6269"/>
      <c r="CR24" s="6269"/>
      <c r="CS24" s="6269"/>
      <c r="CT24" s="451" t="s">
        <v>1406</v>
      </c>
      <c r="CU24" s="1149">
        <v>6</v>
      </c>
      <c r="CV24" s="6268">
        <f>IFERROR(INDEX('Tablas psiquica'!$U$115:$AH$129,CU24,DB$7),0)</f>
        <v>0</v>
      </c>
      <c r="CW24" s="6269"/>
      <c r="CX24" s="6269"/>
      <c r="CY24" s="6269"/>
      <c r="CZ24" s="6269"/>
      <c r="DA24" s="6269"/>
      <c r="DB24" s="451" t="s">
        <v>1406</v>
      </c>
      <c r="DC24" s="426"/>
      <c r="DD24" s="420"/>
    </row>
    <row r="25" spans="1:108" ht="12" customHeight="1" x14ac:dyDescent="0.2">
      <c r="A25" s="420"/>
      <c r="B25" s="1149"/>
      <c r="C25" s="6263" t="str">
        <f>IF(C24=0,"",VLOOKUP(C24,'Tablas psiquica'!$D$7:$R$145,2,FALSE))</f>
        <v/>
      </c>
      <c r="D25" s="6264"/>
      <c r="E25" s="6264"/>
      <c r="F25" s="6265"/>
      <c r="G25" s="6266" t="str">
        <f>IF(C24=0,"",IF(INDEX('Tablas psiquica'!$U$114:$AH$114,1,$Y$7)=0,"No Accesible",IF(ISNA(VLOOKUP(C24,Psíquicos!$AS$17:$AS$43,1,0)),"Accesible CV","Aprendido")))</f>
        <v/>
      </c>
      <c r="H25" s="6267"/>
      <c r="I25" s="1790" t="str">
        <f>IF(C24=0,"",VLOOKUP(C24,'Tablas psiquica'!$D$7:$R$145,3,FALSE))</f>
        <v/>
      </c>
      <c r="J25" s="697"/>
      <c r="K25" s="6263" t="str">
        <f>IF(K24=0,"",VLOOKUP(K24,'Tablas psiquica'!$D$7:$R$145,2,FALSE))</f>
        <v/>
      </c>
      <c r="L25" s="6264"/>
      <c r="M25" s="6264"/>
      <c r="N25" s="6265"/>
      <c r="O25" s="6266" t="str">
        <f>IF(K24=0,"",IF(INDEX('Tablas psiquica'!$U$114:$AH$114,1,$Y$7)=0,"No Accesible",IF(ISNA(VLOOKUP(K24,Psíquicos!$AS$17:$AS$43,1,0)),"Accesible CV","Aprendido")))</f>
        <v/>
      </c>
      <c r="P25" s="6267"/>
      <c r="Q25" s="1790" t="str">
        <f>IF(K24=0,"",VLOOKUP(K24,'Tablas psiquica'!$D$7:$R$145,3,FALSE))</f>
        <v/>
      </c>
      <c r="R25" s="1149"/>
      <c r="S25" s="6263" t="str">
        <f>IF(S24=0,"",VLOOKUP(S24,'Tablas psiquica'!$D$7:$R$145,2,FALSE))</f>
        <v/>
      </c>
      <c r="T25" s="6264"/>
      <c r="U25" s="6264"/>
      <c r="V25" s="6265"/>
      <c r="W25" s="6266" t="str">
        <f>IF(S24=0,"",IF(INDEX('Tablas psiquica'!$U$114:$AH$114,1,$Y$7)=0,"No Accesible",IF(ISNA(VLOOKUP(S24,Psíquicos!$AS$17:$AS$43,1,0)),"Accesible CV","Aprendido")))</f>
        <v/>
      </c>
      <c r="X25" s="6267"/>
      <c r="Y25" s="1790" t="str">
        <f>IF(S24=0,"",VLOOKUP(S24,'Tablas psiquica'!$D$7:$R$145,3,FALSE))</f>
        <v/>
      </c>
      <c r="Z25" s="426"/>
      <c r="AA25" s="420"/>
      <c r="AB25" s="420"/>
      <c r="AC25" s="1149"/>
      <c r="AD25" s="6263" t="str">
        <f>IF(AD24=0,"",VLOOKUP(AD24,'Tablas psiquica'!$D$7:$R$145,2,FALSE))</f>
        <v/>
      </c>
      <c r="AE25" s="6264"/>
      <c r="AF25" s="6264"/>
      <c r="AG25" s="6265"/>
      <c r="AH25" s="6266" t="str">
        <f>IF(AD24=0,"",IF(INDEX('Tablas psiquica'!$U$114:$AH$114,1,$AZ$7)=0,"No Accesible",IF(ISNA(VLOOKUP(AD24,Psíquicos!$AS$17:$AS$43,1,0)),"Accesible CV","Aprendido")))</f>
        <v/>
      </c>
      <c r="AI25" s="6267"/>
      <c r="AJ25" s="1790" t="str">
        <f>IF(AD24=0,"",VLOOKUP(AD24,'Tablas psiquica'!$D$7:$R$145,3,FALSE))</f>
        <v/>
      </c>
      <c r="AK25" s="697"/>
      <c r="AL25" s="6263" t="str">
        <f>IF(AL24=0,"",VLOOKUP(AL24,'Tablas psiquica'!$D$7:$R$145,2,FALSE))</f>
        <v/>
      </c>
      <c r="AM25" s="6264"/>
      <c r="AN25" s="6264"/>
      <c r="AO25" s="6265"/>
      <c r="AP25" s="6266" t="str">
        <f>IF(AL24=0,"",IF(INDEX('Tablas psiquica'!$U$114:$AH$114,1,$AZ$7)=0,"No Accesible",IF(ISNA(VLOOKUP(AL24,Psíquicos!$AS$17:$AS$43,1,0)),"Accesible CV","Aprendido")))</f>
        <v/>
      </c>
      <c r="AQ25" s="6267"/>
      <c r="AR25" s="1790" t="str">
        <f>IF(AL24=0,"",VLOOKUP(AL24,'Tablas psiquica'!$D$7:$R$145,3,FALSE))</f>
        <v/>
      </c>
      <c r="AS25" s="1149"/>
      <c r="AT25" s="6263" t="str">
        <f>IF(AT24=0,"",VLOOKUP(AT24,'Tablas psiquica'!$D$7:$R$145,2,FALSE))</f>
        <v/>
      </c>
      <c r="AU25" s="6264"/>
      <c r="AV25" s="6264"/>
      <c r="AW25" s="6265"/>
      <c r="AX25" s="6266" t="str">
        <f>IF(AT24=0,"",IF(INDEX('Tablas psiquica'!$U$114:$AH$114,1,$AZ$7)=0,"No Accesible",IF(ISNA(VLOOKUP(AT24,Psíquicos!$AS$17:$AS$43,1,0)),"Accesible CV","Aprendido")))</f>
        <v/>
      </c>
      <c r="AY25" s="6267"/>
      <c r="AZ25" s="1790" t="str">
        <f>IF(AT24=0,"",VLOOKUP(AT24,'Tablas psiquica'!$D$7:$R$145,3,FALSE))</f>
        <v/>
      </c>
      <c r="BA25" s="426"/>
      <c r="BB25" s="420"/>
      <c r="BC25" s="420"/>
      <c r="BD25" s="1149"/>
      <c r="BE25" s="6263" t="str">
        <f>IF(BE24=0,"",VLOOKUP(BE24,'Tablas psiquica'!$D$7:$R$145,2,FALSE))</f>
        <v/>
      </c>
      <c r="BF25" s="6264"/>
      <c r="BG25" s="6264"/>
      <c r="BH25" s="6265"/>
      <c r="BI25" s="6266" t="str">
        <f>IF(BE24=0,"",IF(INDEX('Tablas psiquica'!$U$114:$AH$114,1,$CA$7)=0,"No Accesible",IF(ISNA(VLOOKUP(BE24,Psíquicos!$AS$17:$AS$43,1,0)),"Accesible CV","Aprendido")))</f>
        <v/>
      </c>
      <c r="BJ25" s="6267"/>
      <c r="BK25" s="1790" t="str">
        <f>IF(BE24=0,"",VLOOKUP(BE24,'Tablas psiquica'!$D$7:$R$145,3,FALSE))</f>
        <v/>
      </c>
      <c r="BL25" s="697"/>
      <c r="BM25" s="6263" t="str">
        <f>IF(BM24=0,"",VLOOKUP(BM24,'Tablas psiquica'!$D$7:$R$145,2,FALSE))</f>
        <v/>
      </c>
      <c r="BN25" s="6264"/>
      <c r="BO25" s="6264"/>
      <c r="BP25" s="6265"/>
      <c r="BQ25" s="6266" t="str">
        <f>IF(BM24=0,"",IF(INDEX('Tablas psiquica'!$U$114:$AH$114,1,$CA$7)=0,"No Accesible",IF(ISNA(VLOOKUP(BM24,Psíquicos!$AS$17:$AS$43,1,0)),"Accesible CV","Aprendido")))</f>
        <v/>
      </c>
      <c r="BR25" s="6267"/>
      <c r="BS25" s="1790" t="str">
        <f>IF(BM24=0,"",VLOOKUP(BM24,'Tablas psiquica'!$D$7:$R$145,3,FALSE))</f>
        <v/>
      </c>
      <c r="BT25" s="1149"/>
      <c r="BU25" s="6263" t="str">
        <f>IF(BU24=0,"",VLOOKUP(BU24,'Tablas psiquica'!$D$7:$R$145,2,FALSE))</f>
        <v/>
      </c>
      <c r="BV25" s="6264"/>
      <c r="BW25" s="6264"/>
      <c r="BX25" s="6265"/>
      <c r="BY25" s="6266" t="str">
        <f>IF(BU24=0,"",IF(INDEX('Tablas psiquica'!$U$114:$AH$114,1,$CA$7)=0,"No Accesible",IF(ISNA(VLOOKUP(BU24,Psíquicos!$AS$17:$AS$43,1,0)),"Accesible CV","Aprendido")))</f>
        <v/>
      </c>
      <c r="BZ25" s="6267"/>
      <c r="CA25" s="1790" t="str">
        <f>IF(BU24=0,"",VLOOKUP(BU24,'Tablas psiquica'!$D$7:$R$145,3,FALSE))</f>
        <v/>
      </c>
      <c r="CB25" s="426"/>
      <c r="CC25" s="420"/>
      <c r="CD25" s="420"/>
      <c r="CE25" s="1149"/>
      <c r="CF25" s="6263" t="str">
        <f>IF(CF24=0,"",VLOOKUP(CF24,'Tablas psiquica'!$D$7:$R$145,2,FALSE))</f>
        <v/>
      </c>
      <c r="CG25" s="6264"/>
      <c r="CH25" s="6264"/>
      <c r="CI25" s="6265"/>
      <c r="CJ25" s="6266" t="str">
        <f>IF(CF24=0,"",IF(INDEX('Tablas psiquica'!$U$114:$AH$114,1,$DB$7)=0,"No Accesible",IF(ISNA(VLOOKUP(CF24,Psíquicos!$AS$17:$AS$43,1,0)),"Accesible CV","Aprendido")))</f>
        <v/>
      </c>
      <c r="CK25" s="6267"/>
      <c r="CL25" s="1790" t="str">
        <f>IF(CF24=0,"",VLOOKUP(CF24,'Tablas psiquica'!$D$7:$R$145,3,FALSE))</f>
        <v/>
      </c>
      <c r="CM25" s="697"/>
      <c r="CN25" s="6263" t="str">
        <f>IF(CN24=0,"",VLOOKUP(CN24,'Tablas psiquica'!$D$7:$R$145,2,FALSE))</f>
        <v/>
      </c>
      <c r="CO25" s="6264"/>
      <c r="CP25" s="6264"/>
      <c r="CQ25" s="6265"/>
      <c r="CR25" s="6266" t="str">
        <f>IF(CN24=0,"",IF(INDEX('Tablas psiquica'!$U$114:$AH$114,1,$DB$7)=0,"No Accesible",IF(ISNA(VLOOKUP(CN24,Psíquicos!$AS$17:$AS$43,1,0)),"Accesible CV","Aprendido")))</f>
        <v/>
      </c>
      <c r="CS25" s="6267"/>
      <c r="CT25" s="1790" t="str">
        <f>IF(CN24=0,"",VLOOKUP(CN24,'Tablas psiquica'!$D$7:$R$145,3,FALSE))</f>
        <v/>
      </c>
      <c r="CU25" s="1149"/>
      <c r="CV25" s="6263" t="str">
        <f>IF(CV24=0,"",VLOOKUP(CV24,'Tablas psiquica'!$D$7:$R$145,2,FALSE))</f>
        <v/>
      </c>
      <c r="CW25" s="6264"/>
      <c r="CX25" s="6264"/>
      <c r="CY25" s="6265"/>
      <c r="CZ25" s="6266" t="str">
        <f>IF(CV24=0,"",IF(INDEX('Tablas psiquica'!$U$114:$AH$114,1,$DB$7)=0,"No Accesible",IF(ISNA(VLOOKUP(CV24,Psíquicos!$AS$17:$AS$43,1,0)),"Accesible CV","Aprendido")))</f>
        <v/>
      </c>
      <c r="DA25" s="6267"/>
      <c r="DB25" s="1790" t="str">
        <f>IF(CV24=0,"",VLOOKUP(CV24,'Tablas psiquica'!$D$7:$R$145,3,FALSE))</f>
        <v/>
      </c>
      <c r="DC25" s="426"/>
      <c r="DD25" s="420"/>
    </row>
    <row r="26" spans="1:108" ht="12" customHeight="1" x14ac:dyDescent="0.2">
      <c r="A26" s="420"/>
      <c r="B26" s="1149"/>
      <c r="C26" s="1751">
        <v>20</v>
      </c>
      <c r="D26" s="6257" t="s">
        <v>1727</v>
      </c>
      <c r="E26" s="6191"/>
      <c r="F26" s="6258" t="str">
        <f>IF(C24=0,"",VLOOKUP(C24,'Tablas psiquica'!$D$7:$R$145,6,FALSE))</f>
        <v/>
      </c>
      <c r="G26" s="5838"/>
      <c r="H26" s="5838"/>
      <c r="I26" s="5867"/>
      <c r="J26" s="697"/>
      <c r="K26" s="1751">
        <v>20</v>
      </c>
      <c r="L26" s="6257" t="s">
        <v>1727</v>
      </c>
      <c r="M26" s="6191"/>
      <c r="N26" s="6258" t="str">
        <f>IF(K24=0,"",VLOOKUP(K24,'Tablas psiquica'!$D$7:$R$145,6,FALSE))</f>
        <v/>
      </c>
      <c r="O26" s="5838"/>
      <c r="P26" s="5838"/>
      <c r="Q26" s="5867"/>
      <c r="R26" s="1149"/>
      <c r="S26" s="1751">
        <v>20</v>
      </c>
      <c r="T26" s="6257" t="s">
        <v>1727</v>
      </c>
      <c r="U26" s="6191"/>
      <c r="V26" s="6258" t="str">
        <f>IF(S24=0,"",VLOOKUP(S24,'Tablas psiquica'!$D$7:$R$145,6,FALSE))</f>
        <v/>
      </c>
      <c r="W26" s="5838"/>
      <c r="X26" s="5838"/>
      <c r="Y26" s="5867"/>
      <c r="Z26" s="426"/>
      <c r="AA26" s="420"/>
      <c r="AB26" s="420"/>
      <c r="AC26" s="1149"/>
      <c r="AD26" s="1751">
        <v>20</v>
      </c>
      <c r="AE26" s="6257" t="s">
        <v>1727</v>
      </c>
      <c r="AF26" s="6191"/>
      <c r="AG26" s="6258" t="str">
        <f>IF(AD24=0,"",VLOOKUP(AD24,'Tablas psiquica'!$D$7:$R$145,6,FALSE))</f>
        <v/>
      </c>
      <c r="AH26" s="5838"/>
      <c r="AI26" s="5838"/>
      <c r="AJ26" s="5867"/>
      <c r="AK26" s="697"/>
      <c r="AL26" s="1751">
        <v>20</v>
      </c>
      <c r="AM26" s="6257" t="s">
        <v>1727</v>
      </c>
      <c r="AN26" s="6191"/>
      <c r="AO26" s="6258" t="str">
        <f>IF(AL24=0,"",VLOOKUP(AL24,'Tablas psiquica'!$D$7:$R$145,6,FALSE))</f>
        <v/>
      </c>
      <c r="AP26" s="5838"/>
      <c r="AQ26" s="5838"/>
      <c r="AR26" s="5867"/>
      <c r="AS26" s="1149"/>
      <c r="AT26" s="1751">
        <v>20</v>
      </c>
      <c r="AU26" s="6257" t="s">
        <v>1727</v>
      </c>
      <c r="AV26" s="6191"/>
      <c r="AW26" s="6258" t="str">
        <f>IF(AT24=0,"",VLOOKUP(AT24,'Tablas psiquica'!$D$7:$R$145,6,FALSE))</f>
        <v/>
      </c>
      <c r="AX26" s="5838"/>
      <c r="AY26" s="5838"/>
      <c r="AZ26" s="5867"/>
      <c r="BA26" s="426"/>
      <c r="BB26" s="420"/>
      <c r="BC26" s="420"/>
      <c r="BD26" s="1149"/>
      <c r="BE26" s="1751">
        <v>20</v>
      </c>
      <c r="BF26" s="6257" t="s">
        <v>1727</v>
      </c>
      <c r="BG26" s="6191"/>
      <c r="BH26" s="6258" t="str">
        <f>IF(BE24=0,"",VLOOKUP(BE24,'Tablas psiquica'!$D$7:$R$145,6,FALSE))</f>
        <v/>
      </c>
      <c r="BI26" s="5838"/>
      <c r="BJ26" s="5838"/>
      <c r="BK26" s="5867"/>
      <c r="BL26" s="697"/>
      <c r="BM26" s="1751">
        <v>20</v>
      </c>
      <c r="BN26" s="6257" t="s">
        <v>1727</v>
      </c>
      <c r="BO26" s="6191"/>
      <c r="BP26" s="6258" t="str">
        <f>IF(BM24=0,"",VLOOKUP(BM24,'Tablas psiquica'!$D$7:$R$145,6,FALSE))</f>
        <v/>
      </c>
      <c r="BQ26" s="5838"/>
      <c r="BR26" s="5838"/>
      <c r="BS26" s="5867"/>
      <c r="BT26" s="1149"/>
      <c r="BU26" s="1751">
        <v>20</v>
      </c>
      <c r="BV26" s="6257" t="s">
        <v>1727</v>
      </c>
      <c r="BW26" s="6191"/>
      <c r="BX26" s="6258" t="str">
        <f>IF(BU24=0,"",VLOOKUP(BU24,'Tablas psiquica'!$D$7:$R$145,6,FALSE))</f>
        <v/>
      </c>
      <c r="BY26" s="5838"/>
      <c r="BZ26" s="5838"/>
      <c r="CA26" s="5867"/>
      <c r="CB26" s="426"/>
      <c r="CC26" s="420"/>
      <c r="CD26" s="420"/>
      <c r="CE26" s="1149"/>
      <c r="CF26" s="1751">
        <v>20</v>
      </c>
      <c r="CG26" s="6257" t="s">
        <v>1727</v>
      </c>
      <c r="CH26" s="6191"/>
      <c r="CI26" s="6258" t="str">
        <f>IF(CF24=0,"",VLOOKUP(CF24,'Tablas psiquica'!$D$7:$R$145,6,FALSE))</f>
        <v/>
      </c>
      <c r="CJ26" s="5838"/>
      <c r="CK26" s="5838"/>
      <c r="CL26" s="5867"/>
      <c r="CM26" s="697"/>
      <c r="CN26" s="1751">
        <v>20</v>
      </c>
      <c r="CO26" s="6257" t="s">
        <v>1727</v>
      </c>
      <c r="CP26" s="6191"/>
      <c r="CQ26" s="6258" t="str">
        <f>IF(CN24=0,"",VLOOKUP(CN24,'Tablas psiquica'!$D$7:$R$145,6,FALSE))</f>
        <v/>
      </c>
      <c r="CR26" s="5838"/>
      <c r="CS26" s="5838"/>
      <c r="CT26" s="5867"/>
      <c r="CU26" s="1149"/>
      <c r="CV26" s="1751">
        <v>20</v>
      </c>
      <c r="CW26" s="6257" t="s">
        <v>1727</v>
      </c>
      <c r="CX26" s="6191"/>
      <c r="CY26" s="6258" t="str">
        <f>IF(CV24=0,"",VLOOKUP(CV24,'Tablas psiquica'!$D$7:$R$145,6,FALSE))</f>
        <v/>
      </c>
      <c r="CZ26" s="5838"/>
      <c r="DA26" s="5838"/>
      <c r="DB26" s="5867"/>
      <c r="DC26" s="426"/>
      <c r="DD26" s="420"/>
    </row>
    <row r="27" spans="1:108" ht="12" customHeight="1" x14ac:dyDescent="0.2">
      <c r="A27" s="420"/>
      <c r="B27" s="1149"/>
      <c r="C27" s="1750">
        <v>40</v>
      </c>
      <c r="D27" s="6259" t="s">
        <v>1729</v>
      </c>
      <c r="E27" s="6186"/>
      <c r="F27" s="6260" t="str">
        <f>IF(C24=0,"",VLOOKUP(C24,'Tablas psiquica'!$D$7:$R$145,7,FALSE))</f>
        <v/>
      </c>
      <c r="G27" s="6261"/>
      <c r="H27" s="6261"/>
      <c r="I27" s="6262"/>
      <c r="J27" s="697"/>
      <c r="K27" s="1750">
        <v>40</v>
      </c>
      <c r="L27" s="6259" t="s">
        <v>1729</v>
      </c>
      <c r="M27" s="6186"/>
      <c r="N27" s="6260" t="str">
        <f>IF(K24=0,"",VLOOKUP(K24,'Tablas psiquica'!$D$7:$R$145,7,FALSE))</f>
        <v/>
      </c>
      <c r="O27" s="6261"/>
      <c r="P27" s="6261"/>
      <c r="Q27" s="6262"/>
      <c r="R27" s="1149"/>
      <c r="S27" s="1750">
        <v>40</v>
      </c>
      <c r="T27" s="6259" t="s">
        <v>1729</v>
      </c>
      <c r="U27" s="6186"/>
      <c r="V27" s="6260" t="str">
        <f>IF(S24=0,"",VLOOKUP(S24,'Tablas psiquica'!$D$7:$R$145,7,FALSE))</f>
        <v/>
      </c>
      <c r="W27" s="6261"/>
      <c r="X27" s="6261"/>
      <c r="Y27" s="6262"/>
      <c r="Z27" s="426"/>
      <c r="AA27" s="420"/>
      <c r="AB27" s="420"/>
      <c r="AC27" s="1149"/>
      <c r="AD27" s="1750">
        <v>40</v>
      </c>
      <c r="AE27" s="6259" t="s">
        <v>1729</v>
      </c>
      <c r="AF27" s="6186"/>
      <c r="AG27" s="6260" t="str">
        <f>IF(AD24=0,"",VLOOKUP(AD24,'Tablas psiquica'!$D$7:$R$145,7,FALSE))</f>
        <v/>
      </c>
      <c r="AH27" s="6261"/>
      <c r="AI27" s="6261"/>
      <c r="AJ27" s="6262"/>
      <c r="AK27" s="697"/>
      <c r="AL27" s="1750">
        <v>40</v>
      </c>
      <c r="AM27" s="6259" t="s">
        <v>1729</v>
      </c>
      <c r="AN27" s="6186"/>
      <c r="AO27" s="6260" t="str">
        <f>IF(AL24=0,"",VLOOKUP(AL24,'Tablas psiquica'!$D$7:$R$145,7,FALSE))</f>
        <v/>
      </c>
      <c r="AP27" s="6261"/>
      <c r="AQ27" s="6261"/>
      <c r="AR27" s="6262"/>
      <c r="AS27" s="1149"/>
      <c r="AT27" s="1750">
        <v>40</v>
      </c>
      <c r="AU27" s="6259" t="s">
        <v>1729</v>
      </c>
      <c r="AV27" s="6186"/>
      <c r="AW27" s="6260" t="str">
        <f>IF(AT24=0,"",VLOOKUP(AT24,'Tablas psiquica'!$D$7:$R$145,7,FALSE))</f>
        <v/>
      </c>
      <c r="AX27" s="6261"/>
      <c r="AY27" s="6261"/>
      <c r="AZ27" s="6262"/>
      <c r="BA27" s="426"/>
      <c r="BB27" s="420"/>
      <c r="BC27" s="420"/>
      <c r="BD27" s="1149"/>
      <c r="BE27" s="1750">
        <v>40</v>
      </c>
      <c r="BF27" s="6259" t="s">
        <v>1729</v>
      </c>
      <c r="BG27" s="6186"/>
      <c r="BH27" s="6260" t="str">
        <f>IF(BE24=0,"",VLOOKUP(BE24,'Tablas psiquica'!$D$7:$R$145,7,FALSE))</f>
        <v/>
      </c>
      <c r="BI27" s="6261"/>
      <c r="BJ27" s="6261"/>
      <c r="BK27" s="6262"/>
      <c r="BL27" s="697"/>
      <c r="BM27" s="1750">
        <v>40</v>
      </c>
      <c r="BN27" s="6259" t="s">
        <v>1729</v>
      </c>
      <c r="BO27" s="6186"/>
      <c r="BP27" s="6260" t="str">
        <f>IF(BM24=0,"",VLOOKUP(BM24,'Tablas psiquica'!$D$7:$R$145,7,FALSE))</f>
        <v/>
      </c>
      <c r="BQ27" s="6261"/>
      <c r="BR27" s="6261"/>
      <c r="BS27" s="6262"/>
      <c r="BT27" s="1149"/>
      <c r="BU27" s="1750">
        <v>40</v>
      </c>
      <c r="BV27" s="6259" t="s">
        <v>1729</v>
      </c>
      <c r="BW27" s="6186"/>
      <c r="BX27" s="6260" t="str">
        <f>IF(BU24=0,"",VLOOKUP(BU24,'Tablas psiquica'!$D$7:$R$145,7,FALSE))</f>
        <v/>
      </c>
      <c r="BY27" s="6261"/>
      <c r="BZ27" s="6261"/>
      <c r="CA27" s="6262"/>
      <c r="CB27" s="426"/>
      <c r="CC27" s="420"/>
      <c r="CD27" s="420"/>
      <c r="CE27" s="1149"/>
      <c r="CF27" s="1750">
        <v>40</v>
      </c>
      <c r="CG27" s="6259" t="s">
        <v>1729</v>
      </c>
      <c r="CH27" s="6186"/>
      <c r="CI27" s="6260" t="str">
        <f>IF(CF24=0,"",VLOOKUP(CF24,'Tablas psiquica'!$D$7:$R$145,7,FALSE))</f>
        <v/>
      </c>
      <c r="CJ27" s="6261"/>
      <c r="CK27" s="6261"/>
      <c r="CL27" s="6262"/>
      <c r="CM27" s="697"/>
      <c r="CN27" s="1750">
        <v>40</v>
      </c>
      <c r="CO27" s="6259" t="s">
        <v>1729</v>
      </c>
      <c r="CP27" s="6186"/>
      <c r="CQ27" s="6260" t="str">
        <f>IF(CN24=0,"",VLOOKUP(CN24,'Tablas psiquica'!$D$7:$R$145,7,FALSE))</f>
        <v/>
      </c>
      <c r="CR27" s="6261"/>
      <c r="CS27" s="6261"/>
      <c r="CT27" s="6262"/>
      <c r="CU27" s="1149"/>
      <c r="CV27" s="1750">
        <v>40</v>
      </c>
      <c r="CW27" s="6259" t="s">
        <v>1729</v>
      </c>
      <c r="CX27" s="6186"/>
      <c r="CY27" s="6260" t="str">
        <f>IF(CV24=0,"",VLOOKUP(CV24,'Tablas psiquica'!$D$7:$R$145,7,FALSE))</f>
        <v/>
      </c>
      <c r="CZ27" s="6261"/>
      <c r="DA27" s="6261"/>
      <c r="DB27" s="6262"/>
      <c r="DC27" s="426"/>
      <c r="DD27" s="420"/>
    </row>
    <row r="28" spans="1:108" ht="12" customHeight="1" x14ac:dyDescent="0.2">
      <c r="A28" s="420"/>
      <c r="B28" s="1149"/>
      <c r="C28" s="1751">
        <v>80</v>
      </c>
      <c r="D28" s="6257" t="s">
        <v>1732</v>
      </c>
      <c r="E28" s="6191"/>
      <c r="F28" s="6258" t="str">
        <f>IF(C24=0,"",VLOOKUP(C24,'Tablas psiquica'!$D$7:$R$145,8,FALSE))</f>
        <v/>
      </c>
      <c r="G28" s="5838"/>
      <c r="H28" s="5838"/>
      <c r="I28" s="5867"/>
      <c r="J28" s="697"/>
      <c r="K28" s="1751">
        <v>80</v>
      </c>
      <c r="L28" s="6257" t="s">
        <v>1732</v>
      </c>
      <c r="M28" s="6191"/>
      <c r="N28" s="6258" t="str">
        <f>IF(K24=0,"",VLOOKUP(K24,'Tablas psiquica'!$D$7:$R$145,8,FALSE))</f>
        <v/>
      </c>
      <c r="O28" s="5838"/>
      <c r="P28" s="5838"/>
      <c r="Q28" s="5867"/>
      <c r="R28" s="1149"/>
      <c r="S28" s="1751">
        <v>80</v>
      </c>
      <c r="T28" s="6257" t="s">
        <v>1732</v>
      </c>
      <c r="U28" s="6191"/>
      <c r="V28" s="6258" t="str">
        <f>IF(S24=0,"",VLOOKUP(S24,'Tablas psiquica'!$D$7:$R$145,8,FALSE))</f>
        <v/>
      </c>
      <c r="W28" s="5838"/>
      <c r="X28" s="5838"/>
      <c r="Y28" s="5867"/>
      <c r="Z28" s="426"/>
      <c r="AA28" s="420"/>
      <c r="AB28" s="420"/>
      <c r="AC28" s="1149"/>
      <c r="AD28" s="1751">
        <v>80</v>
      </c>
      <c r="AE28" s="6257" t="s">
        <v>1732</v>
      </c>
      <c r="AF28" s="6191"/>
      <c r="AG28" s="6258" t="str">
        <f>IF(AD24=0,"",VLOOKUP(AD24,'Tablas psiquica'!$D$7:$R$145,8,FALSE))</f>
        <v/>
      </c>
      <c r="AH28" s="5838"/>
      <c r="AI28" s="5838"/>
      <c r="AJ28" s="5867"/>
      <c r="AK28" s="697"/>
      <c r="AL28" s="1751">
        <v>80</v>
      </c>
      <c r="AM28" s="6257" t="s">
        <v>1732</v>
      </c>
      <c r="AN28" s="6191"/>
      <c r="AO28" s="6258" t="str">
        <f>IF(AL24=0,"",VLOOKUP(AL24,'Tablas psiquica'!$D$7:$R$145,8,FALSE))</f>
        <v/>
      </c>
      <c r="AP28" s="5838"/>
      <c r="AQ28" s="5838"/>
      <c r="AR28" s="5867"/>
      <c r="AS28" s="1149"/>
      <c r="AT28" s="1751">
        <v>80</v>
      </c>
      <c r="AU28" s="6257" t="s">
        <v>1732</v>
      </c>
      <c r="AV28" s="6191"/>
      <c r="AW28" s="6258" t="str">
        <f>IF(AT24=0,"",VLOOKUP(AT24,'Tablas psiquica'!$D$7:$R$145,8,FALSE))</f>
        <v/>
      </c>
      <c r="AX28" s="5838"/>
      <c r="AY28" s="5838"/>
      <c r="AZ28" s="5867"/>
      <c r="BA28" s="426"/>
      <c r="BB28" s="420"/>
      <c r="BC28" s="420"/>
      <c r="BD28" s="1149"/>
      <c r="BE28" s="1751">
        <v>80</v>
      </c>
      <c r="BF28" s="6257" t="s">
        <v>1732</v>
      </c>
      <c r="BG28" s="6191"/>
      <c r="BH28" s="6258" t="str">
        <f>IF(BE24=0,"",VLOOKUP(BE24,'Tablas psiquica'!$D$7:$R$145,8,FALSE))</f>
        <v/>
      </c>
      <c r="BI28" s="5838"/>
      <c r="BJ28" s="5838"/>
      <c r="BK28" s="5867"/>
      <c r="BL28" s="697"/>
      <c r="BM28" s="1751">
        <v>80</v>
      </c>
      <c r="BN28" s="6257" t="s">
        <v>1732</v>
      </c>
      <c r="BO28" s="6191"/>
      <c r="BP28" s="6258" t="str">
        <f>IF(BM24=0,"",VLOOKUP(BM24,'Tablas psiquica'!$D$7:$R$145,8,FALSE))</f>
        <v/>
      </c>
      <c r="BQ28" s="5838"/>
      <c r="BR28" s="5838"/>
      <c r="BS28" s="5867"/>
      <c r="BT28" s="1149"/>
      <c r="BU28" s="1751">
        <v>80</v>
      </c>
      <c r="BV28" s="6257" t="s">
        <v>1732</v>
      </c>
      <c r="BW28" s="6191"/>
      <c r="BX28" s="6258" t="str">
        <f>IF(BU24=0,"",VLOOKUP(BU24,'Tablas psiquica'!$D$7:$R$145,8,FALSE))</f>
        <v/>
      </c>
      <c r="BY28" s="5838"/>
      <c r="BZ28" s="5838"/>
      <c r="CA28" s="5867"/>
      <c r="CB28" s="426"/>
      <c r="CC28" s="420"/>
      <c r="CD28" s="420"/>
      <c r="CE28" s="1149"/>
      <c r="CF28" s="1751">
        <v>80</v>
      </c>
      <c r="CG28" s="6257" t="s">
        <v>1732</v>
      </c>
      <c r="CH28" s="6191"/>
      <c r="CI28" s="6258" t="str">
        <f>IF(CF24=0,"",VLOOKUP(CF24,'Tablas psiquica'!$D$7:$R$145,8,FALSE))</f>
        <v/>
      </c>
      <c r="CJ28" s="5838"/>
      <c r="CK28" s="5838"/>
      <c r="CL28" s="5867"/>
      <c r="CM28" s="697"/>
      <c r="CN28" s="1751">
        <v>80</v>
      </c>
      <c r="CO28" s="6257" t="s">
        <v>1732</v>
      </c>
      <c r="CP28" s="6191"/>
      <c r="CQ28" s="6258" t="str">
        <f>IF(CN24=0,"",VLOOKUP(CN24,'Tablas psiquica'!$D$7:$R$145,8,FALSE))</f>
        <v/>
      </c>
      <c r="CR28" s="5838"/>
      <c r="CS28" s="5838"/>
      <c r="CT28" s="5867"/>
      <c r="CU28" s="1149"/>
      <c r="CV28" s="1751">
        <v>80</v>
      </c>
      <c r="CW28" s="6257" t="s">
        <v>1732</v>
      </c>
      <c r="CX28" s="6191"/>
      <c r="CY28" s="6258" t="str">
        <f>IF(CV24=0,"",VLOOKUP(CV24,'Tablas psiquica'!$D$7:$R$145,8,FALSE))</f>
        <v/>
      </c>
      <c r="CZ28" s="5838"/>
      <c r="DA28" s="5838"/>
      <c r="DB28" s="5867"/>
      <c r="DC28" s="426"/>
      <c r="DD28" s="420"/>
    </row>
    <row r="29" spans="1:108" ht="12" customHeight="1" x14ac:dyDescent="0.2">
      <c r="A29" s="420"/>
      <c r="B29" s="1149"/>
      <c r="C29" s="1750">
        <v>120</v>
      </c>
      <c r="D29" s="6259" t="s">
        <v>1735</v>
      </c>
      <c r="E29" s="6186"/>
      <c r="F29" s="6260" t="str">
        <f>IF(C24=0,"",VLOOKUP(C24,'Tablas psiquica'!$D$7:$R$145,9,FALSE))</f>
        <v/>
      </c>
      <c r="G29" s="6261"/>
      <c r="H29" s="6261"/>
      <c r="I29" s="6262"/>
      <c r="J29" s="697"/>
      <c r="K29" s="1750">
        <v>120</v>
      </c>
      <c r="L29" s="6259" t="s">
        <v>1735</v>
      </c>
      <c r="M29" s="6186"/>
      <c r="N29" s="6260" t="str">
        <f>IF(K24=0,"",VLOOKUP(K24,'Tablas psiquica'!$D$7:$R$145,9,FALSE))</f>
        <v/>
      </c>
      <c r="O29" s="6261"/>
      <c r="P29" s="6261"/>
      <c r="Q29" s="6262"/>
      <c r="R29" s="1149"/>
      <c r="S29" s="1750">
        <v>120</v>
      </c>
      <c r="T29" s="6259" t="s">
        <v>1735</v>
      </c>
      <c r="U29" s="6186"/>
      <c r="V29" s="6260" t="str">
        <f>IF(S24=0,"",VLOOKUP(S24,'Tablas psiquica'!$D$7:$R$145,9,FALSE))</f>
        <v/>
      </c>
      <c r="W29" s="6261"/>
      <c r="X29" s="6261"/>
      <c r="Y29" s="6262"/>
      <c r="Z29" s="426"/>
      <c r="AA29" s="420"/>
      <c r="AB29" s="420"/>
      <c r="AC29" s="1149"/>
      <c r="AD29" s="1750">
        <v>120</v>
      </c>
      <c r="AE29" s="6259" t="s">
        <v>1735</v>
      </c>
      <c r="AF29" s="6186"/>
      <c r="AG29" s="6260" t="str">
        <f>IF(AD24=0,"",VLOOKUP(AD24,'Tablas psiquica'!$D$7:$R$145,9,FALSE))</f>
        <v/>
      </c>
      <c r="AH29" s="6261"/>
      <c r="AI29" s="6261"/>
      <c r="AJ29" s="6262"/>
      <c r="AK29" s="697"/>
      <c r="AL29" s="1750">
        <v>120</v>
      </c>
      <c r="AM29" s="6259" t="s">
        <v>1735</v>
      </c>
      <c r="AN29" s="6186"/>
      <c r="AO29" s="6260" t="str">
        <f>IF(AL24=0,"",VLOOKUP(AL24,'Tablas psiquica'!$D$7:$R$145,9,FALSE))</f>
        <v/>
      </c>
      <c r="AP29" s="6261"/>
      <c r="AQ29" s="6261"/>
      <c r="AR29" s="6262"/>
      <c r="AS29" s="1149"/>
      <c r="AT29" s="1750">
        <v>120</v>
      </c>
      <c r="AU29" s="6259" t="s">
        <v>1735</v>
      </c>
      <c r="AV29" s="6186"/>
      <c r="AW29" s="6260" t="str">
        <f>IF(AT24=0,"",VLOOKUP(AT24,'Tablas psiquica'!$D$7:$R$145,9,FALSE))</f>
        <v/>
      </c>
      <c r="AX29" s="6261"/>
      <c r="AY29" s="6261"/>
      <c r="AZ29" s="6262"/>
      <c r="BA29" s="426"/>
      <c r="BB29" s="420"/>
      <c r="BC29" s="420"/>
      <c r="BD29" s="1149"/>
      <c r="BE29" s="1750">
        <v>120</v>
      </c>
      <c r="BF29" s="6259" t="s">
        <v>1735</v>
      </c>
      <c r="BG29" s="6186"/>
      <c r="BH29" s="6260" t="str">
        <f>IF(BE24=0,"",VLOOKUP(BE24,'Tablas psiquica'!$D$7:$R$145,9,FALSE))</f>
        <v/>
      </c>
      <c r="BI29" s="6261"/>
      <c r="BJ29" s="6261"/>
      <c r="BK29" s="6262"/>
      <c r="BL29" s="697"/>
      <c r="BM29" s="1750">
        <v>120</v>
      </c>
      <c r="BN29" s="6259" t="s">
        <v>1735</v>
      </c>
      <c r="BO29" s="6186"/>
      <c r="BP29" s="6260" t="str">
        <f>IF(BM24=0,"",VLOOKUP(BM24,'Tablas psiquica'!$D$7:$R$145,9,FALSE))</f>
        <v/>
      </c>
      <c r="BQ29" s="6261"/>
      <c r="BR29" s="6261"/>
      <c r="BS29" s="6262"/>
      <c r="BT29" s="1149"/>
      <c r="BU29" s="1750">
        <v>120</v>
      </c>
      <c r="BV29" s="6259" t="s">
        <v>1735</v>
      </c>
      <c r="BW29" s="6186"/>
      <c r="BX29" s="6260" t="str">
        <f>IF(BU24=0,"",VLOOKUP(BU24,'Tablas psiquica'!$D$7:$R$145,9,FALSE))</f>
        <v/>
      </c>
      <c r="BY29" s="6261"/>
      <c r="BZ29" s="6261"/>
      <c r="CA29" s="6262"/>
      <c r="CB29" s="426"/>
      <c r="CC29" s="420"/>
      <c r="CD29" s="420"/>
      <c r="CE29" s="1149"/>
      <c r="CF29" s="1750">
        <v>120</v>
      </c>
      <c r="CG29" s="6259" t="s">
        <v>1735</v>
      </c>
      <c r="CH29" s="6186"/>
      <c r="CI29" s="6260" t="str">
        <f>IF(CF24=0,"",VLOOKUP(CF24,'Tablas psiquica'!$D$7:$R$145,9,FALSE))</f>
        <v/>
      </c>
      <c r="CJ29" s="6261"/>
      <c r="CK29" s="6261"/>
      <c r="CL29" s="6262"/>
      <c r="CM29" s="697"/>
      <c r="CN29" s="1750">
        <v>120</v>
      </c>
      <c r="CO29" s="6259" t="s">
        <v>1735</v>
      </c>
      <c r="CP29" s="6186"/>
      <c r="CQ29" s="6260" t="str">
        <f>IF(CN24=0,"",VLOOKUP(CN24,'Tablas psiquica'!$D$7:$R$145,9,FALSE))</f>
        <v/>
      </c>
      <c r="CR29" s="6261"/>
      <c r="CS29" s="6261"/>
      <c r="CT29" s="6262"/>
      <c r="CU29" s="1149"/>
      <c r="CV29" s="1750">
        <v>120</v>
      </c>
      <c r="CW29" s="6259" t="s">
        <v>1735</v>
      </c>
      <c r="CX29" s="6186"/>
      <c r="CY29" s="6260" t="str">
        <f>IF(CV24=0,"",VLOOKUP(CV24,'Tablas psiquica'!$D$7:$R$145,9,FALSE))</f>
        <v/>
      </c>
      <c r="CZ29" s="6261"/>
      <c r="DA29" s="6261"/>
      <c r="DB29" s="6262"/>
      <c r="DC29" s="426"/>
      <c r="DD29" s="420"/>
    </row>
    <row r="30" spans="1:108" ht="12" customHeight="1" x14ac:dyDescent="0.2">
      <c r="A30" s="420"/>
      <c r="B30" s="1149"/>
      <c r="C30" s="1751">
        <v>140</v>
      </c>
      <c r="D30" s="6257" t="s">
        <v>6335</v>
      </c>
      <c r="E30" s="6191"/>
      <c r="F30" s="6258" t="str">
        <f>IF(C24=0,"",VLOOKUP(C24,'Tablas psiquica'!$D$7:$R$145,10,FALSE))</f>
        <v/>
      </c>
      <c r="G30" s="5838"/>
      <c r="H30" s="5838"/>
      <c r="I30" s="5867"/>
      <c r="J30" s="697"/>
      <c r="K30" s="1751">
        <v>140</v>
      </c>
      <c r="L30" s="6257" t="s">
        <v>6335</v>
      </c>
      <c r="M30" s="6191"/>
      <c r="N30" s="6258" t="str">
        <f>IF(K24=0,"",VLOOKUP(K24,'Tablas psiquica'!$D$7:$R$145,10,FALSE))</f>
        <v/>
      </c>
      <c r="O30" s="5838"/>
      <c r="P30" s="5838"/>
      <c r="Q30" s="5867"/>
      <c r="R30" s="1149"/>
      <c r="S30" s="1751">
        <v>140</v>
      </c>
      <c r="T30" s="6257" t="s">
        <v>6335</v>
      </c>
      <c r="U30" s="6191"/>
      <c r="V30" s="6258" t="str">
        <f>IF(S24=0,"",VLOOKUP(S24,'Tablas psiquica'!$D$7:$R$145,10,FALSE))</f>
        <v/>
      </c>
      <c r="W30" s="5838"/>
      <c r="X30" s="5838"/>
      <c r="Y30" s="5867"/>
      <c r="Z30" s="426"/>
      <c r="AA30" s="420"/>
      <c r="AB30" s="420"/>
      <c r="AC30" s="1149"/>
      <c r="AD30" s="1751">
        <v>140</v>
      </c>
      <c r="AE30" s="6257" t="s">
        <v>6335</v>
      </c>
      <c r="AF30" s="6191"/>
      <c r="AG30" s="6258" t="str">
        <f>IF(AD24=0,"",VLOOKUP(AD24,'Tablas psiquica'!$D$7:$R$145,10,FALSE))</f>
        <v/>
      </c>
      <c r="AH30" s="5838"/>
      <c r="AI30" s="5838"/>
      <c r="AJ30" s="5867"/>
      <c r="AK30" s="697"/>
      <c r="AL30" s="1751">
        <v>140</v>
      </c>
      <c r="AM30" s="6257" t="s">
        <v>6335</v>
      </c>
      <c r="AN30" s="6191"/>
      <c r="AO30" s="6258" t="str">
        <f>IF(AL24=0,"",VLOOKUP(AL24,'Tablas psiquica'!$D$7:$R$145,10,FALSE))</f>
        <v/>
      </c>
      <c r="AP30" s="5838"/>
      <c r="AQ30" s="5838"/>
      <c r="AR30" s="5867"/>
      <c r="AS30" s="1149"/>
      <c r="AT30" s="1751">
        <v>140</v>
      </c>
      <c r="AU30" s="6257" t="s">
        <v>6335</v>
      </c>
      <c r="AV30" s="6191"/>
      <c r="AW30" s="6258" t="str">
        <f>IF(AT24=0,"",VLOOKUP(AT24,'Tablas psiquica'!$D$7:$R$145,10,FALSE))</f>
        <v/>
      </c>
      <c r="AX30" s="5838"/>
      <c r="AY30" s="5838"/>
      <c r="AZ30" s="5867"/>
      <c r="BA30" s="426"/>
      <c r="BB30" s="420"/>
      <c r="BC30" s="420"/>
      <c r="BD30" s="1149"/>
      <c r="BE30" s="1751">
        <v>140</v>
      </c>
      <c r="BF30" s="6257" t="s">
        <v>6335</v>
      </c>
      <c r="BG30" s="6191"/>
      <c r="BH30" s="6258" t="str">
        <f>IF(BE24=0,"",VLOOKUP(BE24,'Tablas psiquica'!$D$7:$R$145,10,FALSE))</f>
        <v/>
      </c>
      <c r="BI30" s="5838"/>
      <c r="BJ30" s="5838"/>
      <c r="BK30" s="5867"/>
      <c r="BL30" s="697"/>
      <c r="BM30" s="1751">
        <v>140</v>
      </c>
      <c r="BN30" s="6257" t="s">
        <v>6335</v>
      </c>
      <c r="BO30" s="6191"/>
      <c r="BP30" s="6258" t="str">
        <f>IF(BM24=0,"",VLOOKUP(BM24,'Tablas psiquica'!$D$7:$R$145,10,FALSE))</f>
        <v/>
      </c>
      <c r="BQ30" s="5838"/>
      <c r="BR30" s="5838"/>
      <c r="BS30" s="5867"/>
      <c r="BT30" s="1149"/>
      <c r="BU30" s="1751">
        <v>140</v>
      </c>
      <c r="BV30" s="6257" t="s">
        <v>6335</v>
      </c>
      <c r="BW30" s="6191"/>
      <c r="BX30" s="6258" t="str">
        <f>IF(BU24=0,"",VLOOKUP(BU24,'Tablas psiquica'!$D$7:$R$145,10,FALSE))</f>
        <v/>
      </c>
      <c r="BY30" s="5838"/>
      <c r="BZ30" s="5838"/>
      <c r="CA30" s="5867"/>
      <c r="CB30" s="426"/>
      <c r="CC30" s="420"/>
      <c r="CD30" s="420"/>
      <c r="CE30" s="1149"/>
      <c r="CF30" s="1751">
        <v>140</v>
      </c>
      <c r="CG30" s="6257" t="s">
        <v>6335</v>
      </c>
      <c r="CH30" s="6191"/>
      <c r="CI30" s="6258" t="str">
        <f>IF(CF24=0,"",VLOOKUP(CF24,'Tablas psiquica'!$D$7:$R$145,10,FALSE))</f>
        <v/>
      </c>
      <c r="CJ30" s="5838"/>
      <c r="CK30" s="5838"/>
      <c r="CL30" s="5867"/>
      <c r="CM30" s="697"/>
      <c r="CN30" s="1751">
        <v>140</v>
      </c>
      <c r="CO30" s="6257" t="s">
        <v>6335</v>
      </c>
      <c r="CP30" s="6191"/>
      <c r="CQ30" s="6258" t="str">
        <f>IF(CN24=0,"",VLOOKUP(CN24,'Tablas psiquica'!$D$7:$R$145,10,FALSE))</f>
        <v/>
      </c>
      <c r="CR30" s="5838"/>
      <c r="CS30" s="5838"/>
      <c r="CT30" s="5867"/>
      <c r="CU30" s="1149"/>
      <c r="CV30" s="1751">
        <v>140</v>
      </c>
      <c r="CW30" s="6257" t="s">
        <v>6335</v>
      </c>
      <c r="CX30" s="6191"/>
      <c r="CY30" s="6258" t="str">
        <f>IF(CV24=0,"",VLOOKUP(CV24,'Tablas psiquica'!$D$7:$R$145,10,FALSE))</f>
        <v/>
      </c>
      <c r="CZ30" s="5838"/>
      <c r="DA30" s="5838"/>
      <c r="DB30" s="5867"/>
      <c r="DC30" s="426"/>
      <c r="DD30" s="420"/>
    </row>
    <row r="31" spans="1:108" ht="12" customHeight="1" x14ac:dyDescent="0.2">
      <c r="A31" s="420"/>
      <c r="B31" s="1149"/>
      <c r="C31" s="1750">
        <v>180</v>
      </c>
      <c r="D31" s="6259" t="s">
        <v>1739</v>
      </c>
      <c r="E31" s="6186"/>
      <c r="F31" s="6260" t="str">
        <f>IF(C24=0,"",VLOOKUP(C24,'Tablas psiquica'!$D$7:$R$145,11,FALSE))</f>
        <v/>
      </c>
      <c r="G31" s="6261"/>
      <c r="H31" s="6261"/>
      <c r="I31" s="6262"/>
      <c r="J31" s="697"/>
      <c r="K31" s="1750">
        <v>180</v>
      </c>
      <c r="L31" s="6259" t="s">
        <v>1739</v>
      </c>
      <c r="M31" s="6186"/>
      <c r="N31" s="6260" t="str">
        <f>IF(K24=0,"",VLOOKUP(K24,'Tablas psiquica'!$D$7:$R$145,11,FALSE))</f>
        <v/>
      </c>
      <c r="O31" s="6261"/>
      <c r="P31" s="6261"/>
      <c r="Q31" s="6262"/>
      <c r="R31" s="1149"/>
      <c r="S31" s="1750">
        <v>180</v>
      </c>
      <c r="T31" s="6259" t="s">
        <v>1739</v>
      </c>
      <c r="U31" s="6186"/>
      <c r="V31" s="6260" t="str">
        <f>IF(S24=0,"",VLOOKUP(S24,'Tablas psiquica'!$D$7:$R$145,11,FALSE))</f>
        <v/>
      </c>
      <c r="W31" s="6261"/>
      <c r="X31" s="6261"/>
      <c r="Y31" s="6262"/>
      <c r="Z31" s="426"/>
      <c r="AA31" s="420"/>
      <c r="AB31" s="420"/>
      <c r="AC31" s="1149"/>
      <c r="AD31" s="1750">
        <v>180</v>
      </c>
      <c r="AE31" s="6259" t="s">
        <v>1739</v>
      </c>
      <c r="AF31" s="6186"/>
      <c r="AG31" s="6260" t="str">
        <f>IF(AD24=0,"",VLOOKUP(AD24,'Tablas psiquica'!$D$7:$R$145,11,FALSE))</f>
        <v/>
      </c>
      <c r="AH31" s="6261"/>
      <c r="AI31" s="6261"/>
      <c r="AJ31" s="6262"/>
      <c r="AK31" s="697"/>
      <c r="AL31" s="1750">
        <v>180</v>
      </c>
      <c r="AM31" s="6259" t="s">
        <v>1739</v>
      </c>
      <c r="AN31" s="6186"/>
      <c r="AO31" s="6260" t="str">
        <f>IF(AL24=0,"",VLOOKUP(AL24,'Tablas psiquica'!$D$7:$R$145,11,FALSE))</f>
        <v/>
      </c>
      <c r="AP31" s="6261"/>
      <c r="AQ31" s="6261"/>
      <c r="AR31" s="6262"/>
      <c r="AS31" s="1149"/>
      <c r="AT31" s="1750">
        <v>180</v>
      </c>
      <c r="AU31" s="6259" t="s">
        <v>1739</v>
      </c>
      <c r="AV31" s="6186"/>
      <c r="AW31" s="6260" t="str">
        <f>IF(AT24=0,"",VLOOKUP(AT24,'Tablas psiquica'!$D$7:$R$145,11,FALSE))</f>
        <v/>
      </c>
      <c r="AX31" s="6261"/>
      <c r="AY31" s="6261"/>
      <c r="AZ31" s="6262"/>
      <c r="BA31" s="426"/>
      <c r="BB31" s="420"/>
      <c r="BC31" s="420"/>
      <c r="BD31" s="1149"/>
      <c r="BE31" s="1750">
        <v>180</v>
      </c>
      <c r="BF31" s="6259" t="s">
        <v>1739</v>
      </c>
      <c r="BG31" s="6186"/>
      <c r="BH31" s="6260" t="str">
        <f>IF(BE24=0,"",VLOOKUP(BE24,'Tablas psiquica'!$D$7:$R$145,11,FALSE))</f>
        <v/>
      </c>
      <c r="BI31" s="6261"/>
      <c r="BJ31" s="6261"/>
      <c r="BK31" s="6262"/>
      <c r="BL31" s="697"/>
      <c r="BM31" s="1750">
        <v>180</v>
      </c>
      <c r="BN31" s="6259" t="s">
        <v>1739</v>
      </c>
      <c r="BO31" s="6186"/>
      <c r="BP31" s="6260" t="str">
        <f>IF(BM24=0,"",VLOOKUP(BM24,'Tablas psiquica'!$D$7:$R$145,11,FALSE))</f>
        <v/>
      </c>
      <c r="BQ31" s="6261"/>
      <c r="BR31" s="6261"/>
      <c r="BS31" s="6262"/>
      <c r="BT31" s="1149"/>
      <c r="BU31" s="1750">
        <v>180</v>
      </c>
      <c r="BV31" s="6259" t="s">
        <v>1739</v>
      </c>
      <c r="BW31" s="6186"/>
      <c r="BX31" s="6260" t="str">
        <f>IF(BU24=0,"",VLOOKUP(BU24,'Tablas psiquica'!$D$7:$R$145,11,FALSE))</f>
        <v/>
      </c>
      <c r="BY31" s="6261"/>
      <c r="BZ31" s="6261"/>
      <c r="CA31" s="6262"/>
      <c r="CB31" s="426"/>
      <c r="CC31" s="420"/>
      <c r="CD31" s="420"/>
      <c r="CE31" s="1149"/>
      <c r="CF31" s="1750">
        <v>180</v>
      </c>
      <c r="CG31" s="6259" t="s">
        <v>1739</v>
      </c>
      <c r="CH31" s="6186"/>
      <c r="CI31" s="6260" t="str">
        <f>IF(CF24=0,"",VLOOKUP(CF24,'Tablas psiquica'!$D$7:$R$145,11,FALSE))</f>
        <v/>
      </c>
      <c r="CJ31" s="6261"/>
      <c r="CK31" s="6261"/>
      <c r="CL31" s="6262"/>
      <c r="CM31" s="697"/>
      <c r="CN31" s="1750">
        <v>180</v>
      </c>
      <c r="CO31" s="6259" t="s">
        <v>1739</v>
      </c>
      <c r="CP31" s="6186"/>
      <c r="CQ31" s="6260" t="str">
        <f>IF(CN24=0,"",VLOOKUP(CN24,'Tablas psiquica'!$D$7:$R$145,11,FALSE))</f>
        <v/>
      </c>
      <c r="CR31" s="6261"/>
      <c r="CS31" s="6261"/>
      <c r="CT31" s="6262"/>
      <c r="CU31" s="1149"/>
      <c r="CV31" s="1750">
        <v>180</v>
      </c>
      <c r="CW31" s="6259" t="s">
        <v>1739</v>
      </c>
      <c r="CX31" s="6186"/>
      <c r="CY31" s="6260" t="str">
        <f>IF(CV24=0,"",VLOOKUP(CV24,'Tablas psiquica'!$D$7:$R$145,11,FALSE))</f>
        <v/>
      </c>
      <c r="CZ31" s="6261"/>
      <c r="DA31" s="6261"/>
      <c r="DB31" s="6262"/>
      <c r="DC31" s="426"/>
      <c r="DD31" s="420"/>
    </row>
    <row r="32" spans="1:108" ht="12" customHeight="1" x14ac:dyDescent="0.2">
      <c r="A32" s="420"/>
      <c r="B32" s="1149"/>
      <c r="C32" s="1751">
        <v>240</v>
      </c>
      <c r="D32" s="6257" t="s">
        <v>6336</v>
      </c>
      <c r="E32" s="6191"/>
      <c r="F32" s="6258" t="str">
        <f>IF(C24=0,"",VLOOKUP(C24,'Tablas psiquica'!$D$7:$R$145,12,FALSE))</f>
        <v/>
      </c>
      <c r="G32" s="5838"/>
      <c r="H32" s="5838"/>
      <c r="I32" s="5867"/>
      <c r="J32" s="697"/>
      <c r="K32" s="1751">
        <v>240</v>
      </c>
      <c r="L32" s="6257" t="s">
        <v>6336</v>
      </c>
      <c r="M32" s="6191"/>
      <c r="N32" s="6258" t="str">
        <f>IF(K24=0,"",VLOOKUP(K24,'Tablas psiquica'!$D$7:$R$145,12,FALSE))</f>
        <v/>
      </c>
      <c r="O32" s="5838"/>
      <c r="P32" s="5838"/>
      <c r="Q32" s="5867"/>
      <c r="R32" s="1149"/>
      <c r="S32" s="1751">
        <v>240</v>
      </c>
      <c r="T32" s="6257" t="s">
        <v>6336</v>
      </c>
      <c r="U32" s="6191"/>
      <c r="V32" s="6258" t="str">
        <f>IF(S24=0,"",VLOOKUP(S24,'Tablas psiquica'!$D$7:$R$145,12,FALSE))</f>
        <v/>
      </c>
      <c r="W32" s="5838"/>
      <c r="X32" s="5838"/>
      <c r="Y32" s="5867"/>
      <c r="Z32" s="426"/>
      <c r="AA32" s="420"/>
      <c r="AB32" s="420"/>
      <c r="AC32" s="1149"/>
      <c r="AD32" s="1751">
        <v>240</v>
      </c>
      <c r="AE32" s="6257" t="s">
        <v>6336</v>
      </c>
      <c r="AF32" s="6191"/>
      <c r="AG32" s="6258" t="str">
        <f>IF(AD24=0,"",VLOOKUP(AD24,'Tablas psiquica'!$D$7:$R$145,12,FALSE))</f>
        <v/>
      </c>
      <c r="AH32" s="5838"/>
      <c r="AI32" s="5838"/>
      <c r="AJ32" s="5867"/>
      <c r="AK32" s="697"/>
      <c r="AL32" s="1751">
        <v>240</v>
      </c>
      <c r="AM32" s="6257" t="s">
        <v>6336</v>
      </c>
      <c r="AN32" s="6191"/>
      <c r="AO32" s="6258" t="str">
        <f>IF(AL24=0,"",VLOOKUP(AL24,'Tablas psiquica'!$D$7:$R$145,12,FALSE))</f>
        <v/>
      </c>
      <c r="AP32" s="5838"/>
      <c r="AQ32" s="5838"/>
      <c r="AR32" s="5867"/>
      <c r="AS32" s="1149"/>
      <c r="AT32" s="1751">
        <v>240</v>
      </c>
      <c r="AU32" s="6257" t="s">
        <v>6336</v>
      </c>
      <c r="AV32" s="6191"/>
      <c r="AW32" s="6258" t="str">
        <f>IF(AT24=0,"",VLOOKUP(AT24,'Tablas psiquica'!$D$7:$R$145,12,FALSE))</f>
        <v/>
      </c>
      <c r="AX32" s="5838"/>
      <c r="AY32" s="5838"/>
      <c r="AZ32" s="5867"/>
      <c r="BA32" s="426"/>
      <c r="BB32" s="420"/>
      <c r="BC32" s="420"/>
      <c r="BD32" s="1149"/>
      <c r="BE32" s="1751">
        <v>240</v>
      </c>
      <c r="BF32" s="6257" t="s">
        <v>6336</v>
      </c>
      <c r="BG32" s="6191"/>
      <c r="BH32" s="6258" t="str">
        <f>IF(BE24=0,"",VLOOKUP(BE24,'Tablas psiquica'!$D$7:$R$145,12,FALSE))</f>
        <v/>
      </c>
      <c r="BI32" s="5838"/>
      <c r="BJ32" s="5838"/>
      <c r="BK32" s="5867"/>
      <c r="BL32" s="697"/>
      <c r="BM32" s="1751">
        <v>240</v>
      </c>
      <c r="BN32" s="6257" t="s">
        <v>6336</v>
      </c>
      <c r="BO32" s="6191"/>
      <c r="BP32" s="6258" t="str">
        <f>IF(BM24=0,"",VLOOKUP(BM24,'Tablas psiquica'!$D$7:$R$145,12,FALSE))</f>
        <v/>
      </c>
      <c r="BQ32" s="5838"/>
      <c r="BR32" s="5838"/>
      <c r="BS32" s="5867"/>
      <c r="BT32" s="1149"/>
      <c r="BU32" s="1751">
        <v>240</v>
      </c>
      <c r="BV32" s="6257" t="s">
        <v>6336</v>
      </c>
      <c r="BW32" s="6191"/>
      <c r="BX32" s="6258" t="str">
        <f>IF(BU24=0,"",VLOOKUP(BU24,'Tablas psiquica'!$D$7:$R$145,12,FALSE))</f>
        <v/>
      </c>
      <c r="BY32" s="5838"/>
      <c r="BZ32" s="5838"/>
      <c r="CA32" s="5867"/>
      <c r="CB32" s="426"/>
      <c r="CC32" s="420"/>
      <c r="CD32" s="420"/>
      <c r="CE32" s="1149"/>
      <c r="CF32" s="1751">
        <v>240</v>
      </c>
      <c r="CG32" s="6257" t="s">
        <v>6336</v>
      </c>
      <c r="CH32" s="6191"/>
      <c r="CI32" s="6258" t="str">
        <f>IF(CF24=0,"",VLOOKUP(CF24,'Tablas psiquica'!$D$7:$R$145,12,FALSE))</f>
        <v/>
      </c>
      <c r="CJ32" s="5838"/>
      <c r="CK32" s="5838"/>
      <c r="CL32" s="5867"/>
      <c r="CM32" s="697"/>
      <c r="CN32" s="1751">
        <v>240</v>
      </c>
      <c r="CO32" s="6257" t="s">
        <v>6336</v>
      </c>
      <c r="CP32" s="6191"/>
      <c r="CQ32" s="6258" t="str">
        <f>IF(CN24=0,"",VLOOKUP(CN24,'Tablas psiquica'!$D$7:$R$145,12,FALSE))</f>
        <v/>
      </c>
      <c r="CR32" s="5838"/>
      <c r="CS32" s="5838"/>
      <c r="CT32" s="5867"/>
      <c r="CU32" s="1149"/>
      <c r="CV32" s="1751">
        <v>240</v>
      </c>
      <c r="CW32" s="6257" t="s">
        <v>6336</v>
      </c>
      <c r="CX32" s="6191"/>
      <c r="CY32" s="6258" t="str">
        <f>IF(CV24=0,"",VLOOKUP(CV24,'Tablas psiquica'!$D$7:$R$145,12,FALSE))</f>
        <v/>
      </c>
      <c r="CZ32" s="5838"/>
      <c r="DA32" s="5838"/>
      <c r="DB32" s="5867"/>
      <c r="DC32" s="426"/>
      <c r="DD32" s="420"/>
    </row>
    <row r="33" spans="1:108" ht="12" customHeight="1" x14ac:dyDescent="0.2">
      <c r="A33" s="420"/>
      <c r="B33" s="1149"/>
      <c r="C33" s="1750">
        <v>280</v>
      </c>
      <c r="D33" s="6259" t="s">
        <v>1742</v>
      </c>
      <c r="E33" s="6186"/>
      <c r="F33" s="6260" t="str">
        <f>IF(C24=0,"",VLOOKUP(C24,'Tablas psiquica'!$D$7:$R$145,13,FALSE))</f>
        <v/>
      </c>
      <c r="G33" s="6261"/>
      <c r="H33" s="6261"/>
      <c r="I33" s="6262"/>
      <c r="J33" s="697"/>
      <c r="K33" s="1750">
        <v>280</v>
      </c>
      <c r="L33" s="6259" t="s">
        <v>1742</v>
      </c>
      <c r="M33" s="6186"/>
      <c r="N33" s="6260" t="str">
        <f>IF(K24=0,"",VLOOKUP(K24,'Tablas psiquica'!$D$7:$R$145,13,FALSE))</f>
        <v/>
      </c>
      <c r="O33" s="6261"/>
      <c r="P33" s="6261"/>
      <c r="Q33" s="6262"/>
      <c r="R33" s="1149"/>
      <c r="S33" s="1750">
        <v>280</v>
      </c>
      <c r="T33" s="6259" t="s">
        <v>1742</v>
      </c>
      <c r="U33" s="6186"/>
      <c r="V33" s="6260" t="str">
        <f>IF(S24=0,"",VLOOKUP(S24,'Tablas psiquica'!$D$7:$R$145,13,FALSE))</f>
        <v/>
      </c>
      <c r="W33" s="6261"/>
      <c r="X33" s="6261"/>
      <c r="Y33" s="6262"/>
      <c r="Z33" s="426"/>
      <c r="AA33" s="420"/>
      <c r="AB33" s="420"/>
      <c r="AC33" s="1149"/>
      <c r="AD33" s="1750">
        <v>280</v>
      </c>
      <c r="AE33" s="6259" t="s">
        <v>1742</v>
      </c>
      <c r="AF33" s="6186"/>
      <c r="AG33" s="6260" t="str">
        <f>IF(AD24=0,"",VLOOKUP(AD24,'Tablas psiquica'!$D$7:$R$145,13,FALSE))</f>
        <v/>
      </c>
      <c r="AH33" s="6261"/>
      <c r="AI33" s="6261"/>
      <c r="AJ33" s="6262"/>
      <c r="AK33" s="697"/>
      <c r="AL33" s="1750">
        <v>280</v>
      </c>
      <c r="AM33" s="6259" t="s">
        <v>1742</v>
      </c>
      <c r="AN33" s="6186"/>
      <c r="AO33" s="6260" t="str">
        <f>IF(AL24=0,"",VLOOKUP(AL24,'Tablas psiquica'!$D$7:$R$145,13,FALSE))</f>
        <v/>
      </c>
      <c r="AP33" s="6261"/>
      <c r="AQ33" s="6261"/>
      <c r="AR33" s="6262"/>
      <c r="AS33" s="1149"/>
      <c r="AT33" s="1750">
        <v>280</v>
      </c>
      <c r="AU33" s="6259" t="s">
        <v>1742</v>
      </c>
      <c r="AV33" s="6186"/>
      <c r="AW33" s="6260" t="str">
        <f>IF(AT24=0,"",VLOOKUP(AT24,'Tablas psiquica'!$D$7:$R$145,13,FALSE))</f>
        <v/>
      </c>
      <c r="AX33" s="6261"/>
      <c r="AY33" s="6261"/>
      <c r="AZ33" s="6262"/>
      <c r="BA33" s="426"/>
      <c r="BB33" s="420"/>
      <c r="BC33" s="420"/>
      <c r="BD33" s="1149"/>
      <c r="BE33" s="1750">
        <v>280</v>
      </c>
      <c r="BF33" s="6259" t="s">
        <v>1742</v>
      </c>
      <c r="BG33" s="6186"/>
      <c r="BH33" s="6260" t="str">
        <f>IF(BE24=0,"",VLOOKUP(BE24,'Tablas psiquica'!$D$7:$R$145,13,FALSE))</f>
        <v/>
      </c>
      <c r="BI33" s="6261"/>
      <c r="BJ33" s="6261"/>
      <c r="BK33" s="6262"/>
      <c r="BL33" s="697"/>
      <c r="BM33" s="1750">
        <v>280</v>
      </c>
      <c r="BN33" s="6259" t="s">
        <v>1742</v>
      </c>
      <c r="BO33" s="6186"/>
      <c r="BP33" s="6260" t="str">
        <f>IF(BM24=0,"",VLOOKUP(BM24,'Tablas psiquica'!$D$7:$R$145,13,FALSE))</f>
        <v/>
      </c>
      <c r="BQ33" s="6261"/>
      <c r="BR33" s="6261"/>
      <c r="BS33" s="6262"/>
      <c r="BT33" s="1149"/>
      <c r="BU33" s="1750">
        <v>280</v>
      </c>
      <c r="BV33" s="6259" t="s">
        <v>1742</v>
      </c>
      <c r="BW33" s="6186"/>
      <c r="BX33" s="6260" t="str">
        <f>IF(BU24=0,"",VLOOKUP(BU24,'Tablas psiquica'!$D$7:$R$145,13,FALSE))</f>
        <v/>
      </c>
      <c r="BY33" s="6261"/>
      <c r="BZ33" s="6261"/>
      <c r="CA33" s="6262"/>
      <c r="CB33" s="426"/>
      <c r="CC33" s="420"/>
      <c r="CD33" s="420"/>
      <c r="CE33" s="1149"/>
      <c r="CF33" s="1750">
        <v>280</v>
      </c>
      <c r="CG33" s="6259" t="s">
        <v>1742</v>
      </c>
      <c r="CH33" s="6186"/>
      <c r="CI33" s="6260" t="str">
        <f>IF(CF24=0,"",VLOOKUP(CF24,'Tablas psiquica'!$D$7:$R$145,13,FALSE))</f>
        <v/>
      </c>
      <c r="CJ33" s="6261"/>
      <c r="CK33" s="6261"/>
      <c r="CL33" s="6262"/>
      <c r="CM33" s="697"/>
      <c r="CN33" s="1750">
        <v>280</v>
      </c>
      <c r="CO33" s="6259" t="s">
        <v>1742</v>
      </c>
      <c r="CP33" s="6186"/>
      <c r="CQ33" s="6260" t="str">
        <f>IF(CN24=0,"",VLOOKUP(CN24,'Tablas psiquica'!$D$7:$R$145,13,FALSE))</f>
        <v/>
      </c>
      <c r="CR33" s="6261"/>
      <c r="CS33" s="6261"/>
      <c r="CT33" s="6262"/>
      <c r="CU33" s="1149"/>
      <c r="CV33" s="1750">
        <v>280</v>
      </c>
      <c r="CW33" s="6259" t="s">
        <v>1742</v>
      </c>
      <c r="CX33" s="6186"/>
      <c r="CY33" s="6260" t="str">
        <f>IF(CV24=0,"",VLOOKUP(CV24,'Tablas psiquica'!$D$7:$R$145,13,FALSE))</f>
        <v/>
      </c>
      <c r="CZ33" s="6261"/>
      <c r="DA33" s="6261"/>
      <c r="DB33" s="6262"/>
      <c r="DC33" s="426"/>
      <c r="DD33" s="420"/>
    </row>
    <row r="34" spans="1:108" ht="12" customHeight="1" x14ac:dyDescent="0.2">
      <c r="A34" s="420"/>
      <c r="B34" s="1149"/>
      <c r="C34" s="1751">
        <v>320</v>
      </c>
      <c r="D34" s="6257" t="s">
        <v>1744</v>
      </c>
      <c r="E34" s="6191"/>
      <c r="F34" s="6258" t="str">
        <f>IF(C24=0,"",VLOOKUP(C24,'Tablas psiquica'!$D$7:$R$145,14,FALSE))</f>
        <v/>
      </c>
      <c r="G34" s="5838"/>
      <c r="H34" s="5838"/>
      <c r="I34" s="5867"/>
      <c r="J34" s="697"/>
      <c r="K34" s="1751">
        <v>320</v>
      </c>
      <c r="L34" s="6257" t="s">
        <v>1744</v>
      </c>
      <c r="M34" s="6191"/>
      <c r="N34" s="6258" t="str">
        <f>IF(K24=0,"",VLOOKUP(K24,'Tablas psiquica'!$D$7:$R$145,14,FALSE))</f>
        <v/>
      </c>
      <c r="O34" s="5838"/>
      <c r="P34" s="5838"/>
      <c r="Q34" s="5867"/>
      <c r="R34" s="1149"/>
      <c r="S34" s="1751">
        <v>320</v>
      </c>
      <c r="T34" s="6257" t="s">
        <v>1744</v>
      </c>
      <c r="U34" s="6191"/>
      <c r="V34" s="6258" t="str">
        <f>IF(S24=0,"",VLOOKUP(S24,'Tablas psiquica'!$D$7:$R$145,14,FALSE))</f>
        <v/>
      </c>
      <c r="W34" s="5838"/>
      <c r="X34" s="5838"/>
      <c r="Y34" s="5867"/>
      <c r="Z34" s="426"/>
      <c r="AA34" s="420"/>
      <c r="AB34" s="420"/>
      <c r="AC34" s="1149"/>
      <c r="AD34" s="1751">
        <v>320</v>
      </c>
      <c r="AE34" s="6257" t="s">
        <v>1744</v>
      </c>
      <c r="AF34" s="6191"/>
      <c r="AG34" s="6258" t="str">
        <f>IF(AD24=0,"",VLOOKUP(AD24,'Tablas psiquica'!$D$7:$R$145,14,FALSE))</f>
        <v/>
      </c>
      <c r="AH34" s="5838"/>
      <c r="AI34" s="5838"/>
      <c r="AJ34" s="5867"/>
      <c r="AK34" s="697"/>
      <c r="AL34" s="1751">
        <v>320</v>
      </c>
      <c r="AM34" s="6257" t="s">
        <v>1744</v>
      </c>
      <c r="AN34" s="6191"/>
      <c r="AO34" s="6258" t="str">
        <f>IF(AL24=0,"",VLOOKUP(AL24,'Tablas psiquica'!$D$7:$R$145,14,FALSE))</f>
        <v/>
      </c>
      <c r="AP34" s="5838"/>
      <c r="AQ34" s="5838"/>
      <c r="AR34" s="5867"/>
      <c r="AS34" s="1149"/>
      <c r="AT34" s="1751">
        <v>320</v>
      </c>
      <c r="AU34" s="6257" t="s">
        <v>1744</v>
      </c>
      <c r="AV34" s="6191"/>
      <c r="AW34" s="6258" t="str">
        <f>IF(AT24=0,"",VLOOKUP(AT24,'Tablas psiquica'!$D$7:$R$145,14,FALSE))</f>
        <v/>
      </c>
      <c r="AX34" s="5838"/>
      <c r="AY34" s="5838"/>
      <c r="AZ34" s="5867"/>
      <c r="BA34" s="426"/>
      <c r="BB34" s="420"/>
      <c r="BC34" s="420"/>
      <c r="BD34" s="1149"/>
      <c r="BE34" s="1751">
        <v>320</v>
      </c>
      <c r="BF34" s="6257" t="s">
        <v>1744</v>
      </c>
      <c r="BG34" s="6191"/>
      <c r="BH34" s="6258" t="str">
        <f>IF(BE24=0,"",VLOOKUP(BE24,'Tablas psiquica'!$D$7:$R$145,14,FALSE))</f>
        <v/>
      </c>
      <c r="BI34" s="5838"/>
      <c r="BJ34" s="5838"/>
      <c r="BK34" s="5867"/>
      <c r="BL34" s="697"/>
      <c r="BM34" s="1751">
        <v>320</v>
      </c>
      <c r="BN34" s="6257" t="s">
        <v>1744</v>
      </c>
      <c r="BO34" s="6191"/>
      <c r="BP34" s="6258" t="str">
        <f>IF(BM24=0,"",VLOOKUP(BM24,'Tablas psiquica'!$D$7:$R$145,14,FALSE))</f>
        <v/>
      </c>
      <c r="BQ34" s="5838"/>
      <c r="BR34" s="5838"/>
      <c r="BS34" s="5867"/>
      <c r="BT34" s="1149"/>
      <c r="BU34" s="1751">
        <v>320</v>
      </c>
      <c r="BV34" s="6257" t="s">
        <v>1744</v>
      </c>
      <c r="BW34" s="6191"/>
      <c r="BX34" s="6258" t="str">
        <f>IF(BU24=0,"",VLOOKUP(BU24,'Tablas psiquica'!$D$7:$R$145,14,FALSE))</f>
        <v/>
      </c>
      <c r="BY34" s="5838"/>
      <c r="BZ34" s="5838"/>
      <c r="CA34" s="5867"/>
      <c r="CB34" s="426"/>
      <c r="CC34" s="420"/>
      <c r="CD34" s="420"/>
      <c r="CE34" s="1149"/>
      <c r="CF34" s="1751">
        <v>320</v>
      </c>
      <c r="CG34" s="6257" t="s">
        <v>1744</v>
      </c>
      <c r="CH34" s="6191"/>
      <c r="CI34" s="6258" t="str">
        <f>IF(CF24=0,"",VLOOKUP(CF24,'Tablas psiquica'!$D$7:$R$145,14,FALSE))</f>
        <v/>
      </c>
      <c r="CJ34" s="5838"/>
      <c r="CK34" s="5838"/>
      <c r="CL34" s="5867"/>
      <c r="CM34" s="697"/>
      <c r="CN34" s="1751">
        <v>320</v>
      </c>
      <c r="CO34" s="6257" t="s">
        <v>1744</v>
      </c>
      <c r="CP34" s="6191"/>
      <c r="CQ34" s="6258" t="str">
        <f>IF(CN24=0,"",VLOOKUP(CN24,'Tablas psiquica'!$D$7:$R$145,14,FALSE))</f>
        <v/>
      </c>
      <c r="CR34" s="5838"/>
      <c r="CS34" s="5838"/>
      <c r="CT34" s="5867"/>
      <c r="CU34" s="1149"/>
      <c r="CV34" s="1751">
        <v>320</v>
      </c>
      <c r="CW34" s="6257" t="s">
        <v>1744</v>
      </c>
      <c r="CX34" s="6191"/>
      <c r="CY34" s="6258" t="str">
        <f>IF(CV24=0,"",VLOOKUP(CV24,'Tablas psiquica'!$D$7:$R$145,14,FALSE))</f>
        <v/>
      </c>
      <c r="CZ34" s="5838"/>
      <c r="DA34" s="5838"/>
      <c r="DB34" s="5867"/>
      <c r="DC34" s="426"/>
      <c r="DD34" s="420"/>
    </row>
    <row r="35" spans="1:108" ht="12" customHeight="1" x14ac:dyDescent="0.2">
      <c r="A35" s="420"/>
      <c r="B35" s="1149"/>
      <c r="C35" s="452">
        <v>440</v>
      </c>
      <c r="D35" s="6255" t="s">
        <v>1687</v>
      </c>
      <c r="E35" s="6256"/>
      <c r="F35" s="6252" t="str">
        <f>IF(C24=0,"",VLOOKUP(C24,'Tablas psiquica'!$D$7:$R$145,15,FALSE))</f>
        <v/>
      </c>
      <c r="G35" s="6253"/>
      <c r="H35" s="6253"/>
      <c r="I35" s="6254"/>
      <c r="J35" s="697"/>
      <c r="K35" s="452">
        <v>440</v>
      </c>
      <c r="L35" s="6255" t="s">
        <v>1687</v>
      </c>
      <c r="M35" s="6256"/>
      <c r="N35" s="6252" t="str">
        <f>IF(K24=0,"",VLOOKUP(K24,'Tablas psiquica'!$D$7:$R$145,15,FALSE))</f>
        <v/>
      </c>
      <c r="O35" s="6253"/>
      <c r="P35" s="6253"/>
      <c r="Q35" s="6254"/>
      <c r="R35" s="1149"/>
      <c r="S35" s="452">
        <v>440</v>
      </c>
      <c r="T35" s="6255" t="s">
        <v>1687</v>
      </c>
      <c r="U35" s="6256"/>
      <c r="V35" s="6252" t="str">
        <f>IF(S24=0,"",VLOOKUP(S24,'Tablas psiquica'!$D$7:$R$145,15,FALSE))</f>
        <v/>
      </c>
      <c r="W35" s="6253"/>
      <c r="X35" s="6253"/>
      <c r="Y35" s="6254"/>
      <c r="Z35" s="426"/>
      <c r="AA35" s="420"/>
      <c r="AB35" s="420"/>
      <c r="AC35" s="1149"/>
      <c r="AD35" s="452">
        <v>440</v>
      </c>
      <c r="AE35" s="6255" t="s">
        <v>1687</v>
      </c>
      <c r="AF35" s="6256"/>
      <c r="AG35" s="6252" t="str">
        <f>IF(AD24=0,"",VLOOKUP(AD24,'Tablas psiquica'!$D$7:$R$145,15,FALSE))</f>
        <v/>
      </c>
      <c r="AH35" s="6253"/>
      <c r="AI35" s="6253"/>
      <c r="AJ35" s="6254"/>
      <c r="AK35" s="697"/>
      <c r="AL35" s="452">
        <v>440</v>
      </c>
      <c r="AM35" s="6255" t="s">
        <v>1687</v>
      </c>
      <c r="AN35" s="6256"/>
      <c r="AO35" s="6252" t="str">
        <f>IF(AL24=0,"",VLOOKUP(AL24,'Tablas psiquica'!$D$7:$R$145,15,FALSE))</f>
        <v/>
      </c>
      <c r="AP35" s="6253"/>
      <c r="AQ35" s="6253"/>
      <c r="AR35" s="6254"/>
      <c r="AS35" s="1149"/>
      <c r="AT35" s="452">
        <v>440</v>
      </c>
      <c r="AU35" s="6255" t="s">
        <v>1687</v>
      </c>
      <c r="AV35" s="6256"/>
      <c r="AW35" s="6252" t="str">
        <f>IF(AT24=0,"",VLOOKUP(AT24,'Tablas psiquica'!$D$7:$R$145,15,FALSE))</f>
        <v/>
      </c>
      <c r="AX35" s="6253"/>
      <c r="AY35" s="6253"/>
      <c r="AZ35" s="6254"/>
      <c r="BA35" s="426"/>
      <c r="BB35" s="420"/>
      <c r="BC35" s="420"/>
      <c r="BD35" s="1149"/>
      <c r="BE35" s="452">
        <v>440</v>
      </c>
      <c r="BF35" s="6255" t="s">
        <v>1687</v>
      </c>
      <c r="BG35" s="6256"/>
      <c r="BH35" s="6252" t="str">
        <f>IF(BE24=0,"",VLOOKUP(BE24,'Tablas psiquica'!$D$7:$R$145,15,FALSE))</f>
        <v/>
      </c>
      <c r="BI35" s="6253"/>
      <c r="BJ35" s="6253"/>
      <c r="BK35" s="6254"/>
      <c r="BL35" s="697"/>
      <c r="BM35" s="452">
        <v>440</v>
      </c>
      <c r="BN35" s="6255" t="s">
        <v>1687</v>
      </c>
      <c r="BO35" s="6256"/>
      <c r="BP35" s="6252" t="str">
        <f>IF(BM24=0,"",VLOOKUP(BM24,'Tablas psiquica'!$D$7:$R$145,15,FALSE))</f>
        <v/>
      </c>
      <c r="BQ35" s="6253"/>
      <c r="BR35" s="6253"/>
      <c r="BS35" s="6254"/>
      <c r="BT35" s="1149"/>
      <c r="BU35" s="452">
        <v>440</v>
      </c>
      <c r="BV35" s="6255" t="s">
        <v>1687</v>
      </c>
      <c r="BW35" s="6256"/>
      <c r="BX35" s="6252" t="str">
        <f>IF(BU24=0,"",VLOOKUP(BU24,'Tablas psiquica'!$D$7:$R$145,15,FALSE))</f>
        <v/>
      </c>
      <c r="BY35" s="6253"/>
      <c r="BZ35" s="6253"/>
      <c r="CA35" s="6254"/>
      <c r="CB35" s="426"/>
      <c r="CC35" s="420"/>
      <c r="CD35" s="420"/>
      <c r="CE35" s="1149"/>
      <c r="CF35" s="452">
        <v>440</v>
      </c>
      <c r="CG35" s="6255" t="s">
        <v>1687</v>
      </c>
      <c r="CH35" s="6256"/>
      <c r="CI35" s="6252" t="str">
        <f>IF(CF24=0,"",VLOOKUP(CF24,'Tablas psiquica'!$D$7:$R$145,15,FALSE))</f>
        <v/>
      </c>
      <c r="CJ35" s="6253"/>
      <c r="CK35" s="6253"/>
      <c r="CL35" s="6254"/>
      <c r="CM35" s="697"/>
      <c r="CN35" s="452">
        <v>440</v>
      </c>
      <c r="CO35" s="6255" t="s">
        <v>1687</v>
      </c>
      <c r="CP35" s="6256"/>
      <c r="CQ35" s="6252" t="str">
        <f>IF(CN24=0,"",VLOOKUP(CN24,'Tablas psiquica'!$D$7:$R$145,15,FALSE))</f>
        <v/>
      </c>
      <c r="CR35" s="6253"/>
      <c r="CS35" s="6253"/>
      <c r="CT35" s="6254"/>
      <c r="CU35" s="1149"/>
      <c r="CV35" s="452">
        <v>440</v>
      </c>
      <c r="CW35" s="6255" t="s">
        <v>1687</v>
      </c>
      <c r="CX35" s="6256"/>
      <c r="CY35" s="6252" t="str">
        <f>IF(CV24=0,"",VLOOKUP(CV24,'Tablas psiquica'!$D$7:$R$145,15,FALSE))</f>
        <v/>
      </c>
      <c r="CZ35" s="6253"/>
      <c r="DA35" s="6253"/>
      <c r="DB35" s="6254"/>
      <c r="DC35" s="426"/>
      <c r="DD35" s="420"/>
    </row>
    <row r="36" spans="1:108" ht="12" customHeight="1" thickBot="1" x14ac:dyDescent="0.25">
      <c r="A36" s="420"/>
      <c r="B36" s="1149"/>
      <c r="C36" s="6247" t="s">
        <v>6337</v>
      </c>
      <c r="D36" s="6248"/>
      <c r="E36" s="453" t="str">
        <f>IF(C24=0,"",VLOOKUP(C24,'Tablas psiquica'!$D$7:$R$145,4,FALSE))</f>
        <v/>
      </c>
      <c r="F36" s="6249" t="s">
        <v>6332</v>
      </c>
      <c r="G36" s="6249"/>
      <c r="H36" s="6250" t="str">
        <f>IF(C24=0,"",VLOOKUP(C24,'Tablas psiquica'!$D$7:$R$145,5,FALSE))</f>
        <v/>
      </c>
      <c r="I36" s="6251"/>
      <c r="J36" s="697"/>
      <c r="K36" s="6247" t="s">
        <v>6337</v>
      </c>
      <c r="L36" s="6248"/>
      <c r="M36" s="453" t="str">
        <f>IF(K24=0,"",VLOOKUP(K24,'Tablas psiquica'!$D$7:$R$145,4,FALSE))</f>
        <v/>
      </c>
      <c r="N36" s="6249" t="s">
        <v>6332</v>
      </c>
      <c r="O36" s="6249"/>
      <c r="P36" s="6250" t="str">
        <f>IF(K24=0,"",VLOOKUP(K24,'Tablas psiquica'!$D$7:$R$145,5,FALSE))</f>
        <v/>
      </c>
      <c r="Q36" s="6251"/>
      <c r="R36" s="1149"/>
      <c r="S36" s="6247" t="s">
        <v>6337</v>
      </c>
      <c r="T36" s="6248"/>
      <c r="U36" s="453" t="str">
        <f>IF(S24=0,"",VLOOKUP(S24,'Tablas psiquica'!$D$7:$R$145,4,FALSE))</f>
        <v/>
      </c>
      <c r="V36" s="6249" t="s">
        <v>6332</v>
      </c>
      <c r="W36" s="6249"/>
      <c r="X36" s="6250" t="str">
        <f>IF(S24=0,"",VLOOKUP(S24,'Tablas psiquica'!$D$7:$R$145,5,FALSE))</f>
        <v/>
      </c>
      <c r="Y36" s="6251"/>
      <c r="Z36" s="426"/>
      <c r="AA36" s="420"/>
      <c r="AB36" s="420"/>
      <c r="AC36" s="1149"/>
      <c r="AD36" s="6247" t="s">
        <v>6337</v>
      </c>
      <c r="AE36" s="6248"/>
      <c r="AF36" s="453" t="str">
        <f>IF(AD24=0,"",VLOOKUP(AD24,'Tablas psiquica'!$D$7:$R$145,4,FALSE))</f>
        <v/>
      </c>
      <c r="AG36" s="6249" t="s">
        <v>6332</v>
      </c>
      <c r="AH36" s="6249"/>
      <c r="AI36" s="6250" t="str">
        <f>IF(AD24=0,"",VLOOKUP(AD24,'Tablas psiquica'!$D$7:$R$145,5,FALSE))</f>
        <v/>
      </c>
      <c r="AJ36" s="6251"/>
      <c r="AK36" s="697"/>
      <c r="AL36" s="6247" t="s">
        <v>6337</v>
      </c>
      <c r="AM36" s="6248"/>
      <c r="AN36" s="453" t="str">
        <f>IF(AL24=0,"",VLOOKUP(AL24,'Tablas psiquica'!$D$7:$R$145,4,FALSE))</f>
        <v/>
      </c>
      <c r="AO36" s="6249" t="s">
        <v>6332</v>
      </c>
      <c r="AP36" s="6249"/>
      <c r="AQ36" s="6250" t="str">
        <f>IF(AL24=0,"",VLOOKUP(AL24,'Tablas psiquica'!$D$7:$R$145,5,FALSE))</f>
        <v/>
      </c>
      <c r="AR36" s="6251"/>
      <c r="AS36" s="1149"/>
      <c r="AT36" s="6247" t="s">
        <v>6337</v>
      </c>
      <c r="AU36" s="6248"/>
      <c r="AV36" s="453" t="str">
        <f>IF(AT24=0,"",VLOOKUP(AT24,'Tablas psiquica'!$D$7:$R$145,4,FALSE))</f>
        <v/>
      </c>
      <c r="AW36" s="6249" t="s">
        <v>6332</v>
      </c>
      <c r="AX36" s="6249"/>
      <c r="AY36" s="6250" t="str">
        <f>IF(AT24=0,"",VLOOKUP(AT24,'Tablas psiquica'!$D$7:$R$145,5,FALSE))</f>
        <v/>
      </c>
      <c r="AZ36" s="6251"/>
      <c r="BA36" s="426"/>
      <c r="BB36" s="420"/>
      <c r="BC36" s="420"/>
      <c r="BD36" s="1149"/>
      <c r="BE36" s="6247" t="s">
        <v>6337</v>
      </c>
      <c r="BF36" s="6248"/>
      <c r="BG36" s="453" t="str">
        <f>IF(BE24=0,"",VLOOKUP(BE24,'Tablas psiquica'!$D$7:$R$145,4,FALSE))</f>
        <v/>
      </c>
      <c r="BH36" s="6249" t="s">
        <v>6332</v>
      </c>
      <c r="BI36" s="6249"/>
      <c r="BJ36" s="6250" t="str">
        <f>IF(BE24=0,"",VLOOKUP(BE24,'Tablas psiquica'!$D$7:$R$145,5,FALSE))</f>
        <v/>
      </c>
      <c r="BK36" s="6251"/>
      <c r="BL36" s="697"/>
      <c r="BM36" s="6247" t="s">
        <v>6337</v>
      </c>
      <c r="BN36" s="6248"/>
      <c r="BO36" s="453" t="str">
        <f>IF(BM24=0,"",VLOOKUP(BM24,'Tablas psiquica'!$D$7:$R$145,4,FALSE))</f>
        <v/>
      </c>
      <c r="BP36" s="6249" t="s">
        <v>6332</v>
      </c>
      <c r="BQ36" s="6249"/>
      <c r="BR36" s="6250" t="str">
        <f>IF(BM24=0,"",VLOOKUP(BM24,'Tablas psiquica'!$D$7:$R$145,5,FALSE))</f>
        <v/>
      </c>
      <c r="BS36" s="6251"/>
      <c r="BT36" s="1149"/>
      <c r="BU36" s="6247" t="s">
        <v>6337</v>
      </c>
      <c r="BV36" s="6248"/>
      <c r="BW36" s="453" t="str">
        <f>IF(BU24=0,"",VLOOKUP(BU24,'Tablas psiquica'!$D$7:$R$145,4,FALSE))</f>
        <v/>
      </c>
      <c r="BX36" s="6249" t="s">
        <v>6332</v>
      </c>
      <c r="BY36" s="6249"/>
      <c r="BZ36" s="6250" t="str">
        <f>IF(BU24=0,"",VLOOKUP(BU24,'Tablas psiquica'!$D$7:$R$145,5,FALSE))</f>
        <v/>
      </c>
      <c r="CA36" s="6251"/>
      <c r="CB36" s="426"/>
      <c r="CC36" s="420"/>
      <c r="CD36" s="420"/>
      <c r="CE36" s="1149"/>
      <c r="CF36" s="6247" t="s">
        <v>6337</v>
      </c>
      <c r="CG36" s="6248"/>
      <c r="CH36" s="453" t="str">
        <f>IF(CF24=0,"",VLOOKUP(CF24,'Tablas psiquica'!$D$7:$R$145,4,FALSE))</f>
        <v/>
      </c>
      <c r="CI36" s="6249" t="s">
        <v>6332</v>
      </c>
      <c r="CJ36" s="6249"/>
      <c r="CK36" s="6250" t="str">
        <f>IF(CF24=0,"",VLOOKUP(CF24,'Tablas psiquica'!$D$7:$R$145,5,FALSE))</f>
        <v/>
      </c>
      <c r="CL36" s="6251"/>
      <c r="CM36" s="697"/>
      <c r="CN36" s="6247" t="s">
        <v>6337</v>
      </c>
      <c r="CO36" s="6248"/>
      <c r="CP36" s="453" t="str">
        <f>IF(CN24=0,"",VLOOKUP(CN24,'Tablas psiquica'!$D$7:$R$145,4,FALSE))</f>
        <v/>
      </c>
      <c r="CQ36" s="6249" t="s">
        <v>6332</v>
      </c>
      <c r="CR36" s="6249"/>
      <c r="CS36" s="6250" t="str">
        <f>IF(CN24=0,"",VLOOKUP(CN24,'Tablas psiquica'!$D$7:$R$145,5,FALSE))</f>
        <v/>
      </c>
      <c r="CT36" s="6251"/>
      <c r="CU36" s="1149"/>
      <c r="CV36" s="6247" t="s">
        <v>6337</v>
      </c>
      <c r="CW36" s="6248"/>
      <c r="CX36" s="453" t="str">
        <f>IF(CV24=0,"",VLOOKUP(CV24,'Tablas psiquica'!$D$7:$R$145,4,FALSE))</f>
        <v/>
      </c>
      <c r="CY36" s="6249" t="s">
        <v>6332</v>
      </c>
      <c r="CZ36" s="6249"/>
      <c r="DA36" s="6250" t="str">
        <f>IF(CV24=0,"",VLOOKUP(CV24,'Tablas psiquica'!$D$7:$R$145,5,FALSE))</f>
        <v/>
      </c>
      <c r="DB36" s="6251"/>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68">
        <f>IFERROR(INDEX('Tablas psiquica'!$U$115:$AH$129,B38,Y$7),0)</f>
        <v>0</v>
      </c>
      <c r="D38" s="6269"/>
      <c r="E38" s="6269"/>
      <c r="F38" s="6269"/>
      <c r="G38" s="6269"/>
      <c r="H38" s="6269"/>
      <c r="I38" s="451" t="s">
        <v>1406</v>
      </c>
      <c r="J38" s="697">
        <v>8</v>
      </c>
      <c r="K38" s="6268">
        <f>IFERROR(INDEX('Tablas psiquica'!$U$115:$AH$129,J38,Y$7),0)</f>
        <v>0</v>
      </c>
      <c r="L38" s="6269"/>
      <c r="M38" s="6269"/>
      <c r="N38" s="6269"/>
      <c r="O38" s="6269"/>
      <c r="P38" s="6269"/>
      <c r="Q38" s="451" t="s">
        <v>1406</v>
      </c>
      <c r="R38" s="1149">
        <v>9</v>
      </c>
      <c r="S38" s="6268">
        <f>IFERROR(INDEX('Tablas psiquica'!$U$115:$AH$129,R38,Y$7),0)</f>
        <v>0</v>
      </c>
      <c r="T38" s="6269"/>
      <c r="U38" s="6269"/>
      <c r="V38" s="6269"/>
      <c r="W38" s="6269"/>
      <c r="X38" s="6269"/>
      <c r="Y38" s="451" t="s">
        <v>1406</v>
      </c>
      <c r="Z38" s="426"/>
      <c r="AA38" s="420"/>
      <c r="AB38" s="420"/>
      <c r="AC38" s="1149">
        <v>7</v>
      </c>
      <c r="AD38" s="6268">
        <f>IFERROR(INDEX('Tablas psiquica'!$U$115:$AH$129,AC38,AZ$7),0)</f>
        <v>0</v>
      </c>
      <c r="AE38" s="6269"/>
      <c r="AF38" s="6269"/>
      <c r="AG38" s="6269"/>
      <c r="AH38" s="6269"/>
      <c r="AI38" s="6269"/>
      <c r="AJ38" s="451" t="s">
        <v>1406</v>
      </c>
      <c r="AK38" s="697">
        <v>8</v>
      </c>
      <c r="AL38" s="6268">
        <f>IFERROR(INDEX('Tablas psiquica'!$U$115:$AH$129,AK38,AZ$7),0)</f>
        <v>0</v>
      </c>
      <c r="AM38" s="6269"/>
      <c r="AN38" s="6269"/>
      <c r="AO38" s="6269"/>
      <c r="AP38" s="6269"/>
      <c r="AQ38" s="6269"/>
      <c r="AR38" s="451" t="s">
        <v>1406</v>
      </c>
      <c r="AS38" s="1149">
        <v>9</v>
      </c>
      <c r="AT38" s="6268">
        <f>IFERROR(INDEX('Tablas psiquica'!$U$115:$AH$129,AS38,AZ$7),0)</f>
        <v>0</v>
      </c>
      <c r="AU38" s="6269"/>
      <c r="AV38" s="6269"/>
      <c r="AW38" s="6269"/>
      <c r="AX38" s="6269"/>
      <c r="AY38" s="6269"/>
      <c r="AZ38" s="451" t="s">
        <v>1406</v>
      </c>
      <c r="BA38" s="426"/>
      <c r="BB38" s="420"/>
      <c r="BC38" s="420"/>
      <c r="BD38" s="1149">
        <v>7</v>
      </c>
      <c r="BE38" s="6268">
        <f>IFERROR(INDEX('Tablas psiquica'!$U$115:$AH$129,BD38,CA$7),0)</f>
        <v>0</v>
      </c>
      <c r="BF38" s="6269"/>
      <c r="BG38" s="6269"/>
      <c r="BH38" s="6269"/>
      <c r="BI38" s="6269"/>
      <c r="BJ38" s="6269"/>
      <c r="BK38" s="451" t="s">
        <v>1406</v>
      </c>
      <c r="BL38" s="697">
        <v>8</v>
      </c>
      <c r="BM38" s="6268">
        <f>IFERROR(INDEX('Tablas psiquica'!$U$115:$AH$129,BL38,CA$7),0)</f>
        <v>0</v>
      </c>
      <c r="BN38" s="6269"/>
      <c r="BO38" s="6269"/>
      <c r="BP38" s="6269"/>
      <c r="BQ38" s="6269"/>
      <c r="BR38" s="6269"/>
      <c r="BS38" s="451" t="s">
        <v>1406</v>
      </c>
      <c r="BT38" s="1149">
        <v>9</v>
      </c>
      <c r="BU38" s="6268">
        <f>IFERROR(INDEX('Tablas psiquica'!$U$115:$AH$129,BT38,CA$7),0)</f>
        <v>0</v>
      </c>
      <c r="BV38" s="6269"/>
      <c r="BW38" s="6269"/>
      <c r="BX38" s="6269"/>
      <c r="BY38" s="6269"/>
      <c r="BZ38" s="6269"/>
      <c r="CA38" s="451" t="s">
        <v>1406</v>
      </c>
      <c r="CB38" s="426"/>
      <c r="CC38" s="420"/>
      <c r="CD38" s="420"/>
      <c r="CE38" s="1149">
        <v>7</v>
      </c>
      <c r="CF38" s="6268">
        <f>IFERROR(INDEX('Tablas psiquica'!$U$115:$AH$129,CE38,DB$7),0)</f>
        <v>0</v>
      </c>
      <c r="CG38" s="6269"/>
      <c r="CH38" s="6269"/>
      <c r="CI38" s="6269"/>
      <c r="CJ38" s="6269"/>
      <c r="CK38" s="6269"/>
      <c r="CL38" s="451" t="s">
        <v>1406</v>
      </c>
      <c r="CM38" s="697">
        <v>8</v>
      </c>
      <c r="CN38" s="6268">
        <f>IFERROR(INDEX('Tablas psiquica'!$U$115:$AH$129,CM38,DB$7),0)</f>
        <v>0</v>
      </c>
      <c r="CO38" s="6269"/>
      <c r="CP38" s="6269"/>
      <c r="CQ38" s="6269"/>
      <c r="CR38" s="6269"/>
      <c r="CS38" s="6269"/>
      <c r="CT38" s="451" t="s">
        <v>1406</v>
      </c>
      <c r="CU38" s="1149">
        <v>9</v>
      </c>
      <c r="CV38" s="6268">
        <f>IFERROR(INDEX('Tablas psiquica'!$U$115:$AH$129,CU38,DB$7),0)</f>
        <v>0</v>
      </c>
      <c r="CW38" s="6269"/>
      <c r="CX38" s="6269"/>
      <c r="CY38" s="6269"/>
      <c r="CZ38" s="6269"/>
      <c r="DA38" s="6269"/>
      <c r="DB38" s="451" t="s">
        <v>1406</v>
      </c>
      <c r="DC38" s="426"/>
      <c r="DD38" s="420"/>
    </row>
    <row r="39" spans="1:108" ht="12" customHeight="1" x14ac:dyDescent="0.2">
      <c r="A39" s="420"/>
      <c r="B39" s="1149"/>
      <c r="C39" s="6263" t="str">
        <f>IF(C38=0,"",VLOOKUP(C38,'Tablas psiquica'!$D$7:$R$145,2,FALSE))</f>
        <v/>
      </c>
      <c r="D39" s="6264"/>
      <c r="E39" s="6264"/>
      <c r="F39" s="6265"/>
      <c r="G39" s="6266" t="str">
        <f>IF(C38=0,"",IF(INDEX('Tablas psiquica'!$U$114:$AH$114,1,$Y$7)=0,"No Accesible",IF(ISNA(VLOOKUP(C38,Psíquicos!$AS$17:$AS$43,1,0)),"Accesible CV","Aprendido")))</f>
        <v/>
      </c>
      <c r="H39" s="6267"/>
      <c r="I39" s="1790" t="str">
        <f>IF(C38=0,"",VLOOKUP(C38,'Tablas psiquica'!$D$7:$R$145,3,FALSE))</f>
        <v/>
      </c>
      <c r="J39" s="953"/>
      <c r="K39" s="6263" t="str">
        <f>IF(K38=0,"",VLOOKUP(K38,'Tablas psiquica'!$D$7:$R$145,2,FALSE))</f>
        <v/>
      </c>
      <c r="L39" s="6264"/>
      <c r="M39" s="6264"/>
      <c r="N39" s="6265"/>
      <c r="O39" s="6266" t="str">
        <f>IF(K38=0,"",IF(INDEX('Tablas psiquica'!$U$114:$AH$114,1,$Y$7)=0,"No Accesible",IF(ISNA(VLOOKUP(K38,Psíquicos!$AS$17:$AS$43,1,0)),"Accesible CV","Aprendido")))</f>
        <v/>
      </c>
      <c r="P39" s="6267"/>
      <c r="Q39" s="1790" t="str">
        <f>IF(K38=0,"",VLOOKUP(K38,'Tablas psiquica'!$D$7:$R$145,3,FALSE))</f>
        <v/>
      </c>
      <c r="R39" s="1149"/>
      <c r="S39" s="6263" t="str">
        <f>IF(S38=0,"",VLOOKUP(S38,'Tablas psiquica'!$D$7:$R$145,2,FALSE))</f>
        <v/>
      </c>
      <c r="T39" s="6264"/>
      <c r="U39" s="6264"/>
      <c r="V39" s="6265"/>
      <c r="W39" s="6266" t="str">
        <f>IF(S38=0,"",IF(INDEX('Tablas psiquica'!$U$114:$AH$114,1,$Y$7)=0,"No Accesible",IF(ISNA(VLOOKUP(S38,Psíquicos!$AS$17:$AS$43,1,0)),"Accesible CV","Aprendido")))</f>
        <v/>
      </c>
      <c r="X39" s="6267"/>
      <c r="Y39" s="1790" t="str">
        <f>IF(S38=0,"",VLOOKUP(S38,'Tablas psiquica'!$D$7:$R$145,3,FALSE))</f>
        <v/>
      </c>
      <c r="Z39" s="426"/>
      <c r="AA39" s="420"/>
      <c r="AB39" s="420"/>
      <c r="AC39" s="1149"/>
      <c r="AD39" s="6263" t="str">
        <f>IF(AD38=0,"",VLOOKUP(AD38,'Tablas psiquica'!$D$7:$R$145,2,FALSE))</f>
        <v/>
      </c>
      <c r="AE39" s="6264"/>
      <c r="AF39" s="6264"/>
      <c r="AG39" s="6265"/>
      <c r="AH39" s="6266" t="str">
        <f>IF(AD38=0,"",IF(INDEX('Tablas psiquica'!$U$114:$AH$114,1,$AZ$7)=0,"No Accesible",IF(ISNA(VLOOKUP(AD38,Psíquicos!$AS$17:$AS$43,1,0)),"Accesible CV","Aprendido")))</f>
        <v/>
      </c>
      <c r="AI39" s="6267"/>
      <c r="AJ39" s="1790" t="str">
        <f>IF(AD38=0,"",VLOOKUP(AD38,'Tablas psiquica'!$D$7:$R$145,3,FALSE))</f>
        <v/>
      </c>
      <c r="AK39" s="953"/>
      <c r="AL39" s="6263" t="str">
        <f>IF(AL38=0,"",VLOOKUP(AL38,'Tablas psiquica'!$D$7:$R$145,2,FALSE))</f>
        <v/>
      </c>
      <c r="AM39" s="6264"/>
      <c r="AN39" s="6264"/>
      <c r="AO39" s="6265"/>
      <c r="AP39" s="6266" t="str">
        <f>IF(AL38=0,"",IF(INDEX('Tablas psiquica'!$U$114:$AH$114,1,$AZ$7)=0,"No Accesible",IF(ISNA(VLOOKUP(AL38,Psíquicos!$AS$17:$AS$43,1,0)),"Accesible CV","Aprendido")))</f>
        <v/>
      </c>
      <c r="AQ39" s="6267"/>
      <c r="AR39" s="1790" t="str">
        <f>IF(AL38=0,"",VLOOKUP(AL38,'Tablas psiquica'!$D$7:$R$145,3,FALSE))</f>
        <v/>
      </c>
      <c r="AS39" s="1149"/>
      <c r="AT39" s="6263" t="str">
        <f>IF(AT38=0,"",VLOOKUP(AT38,'Tablas psiquica'!$D$7:$R$145,2,FALSE))</f>
        <v/>
      </c>
      <c r="AU39" s="6264"/>
      <c r="AV39" s="6264"/>
      <c r="AW39" s="6265"/>
      <c r="AX39" s="6266" t="str">
        <f>IF(AT38=0,"",IF(INDEX('Tablas psiquica'!$U$114:$AH$114,1,$AZ$7)=0,"No Accesible",IF(ISNA(VLOOKUP(AT38,Psíquicos!$AS$17:$AS$43,1,0)),"Accesible CV","Aprendido")))</f>
        <v/>
      </c>
      <c r="AY39" s="6267"/>
      <c r="AZ39" s="1790" t="str">
        <f>IF(AT38=0,"",VLOOKUP(AT38,'Tablas psiquica'!$D$7:$R$145,3,FALSE))</f>
        <v/>
      </c>
      <c r="BA39" s="426"/>
      <c r="BB39" s="420"/>
      <c r="BC39" s="420"/>
      <c r="BD39" s="1149"/>
      <c r="BE39" s="6263" t="str">
        <f>IF(BE38=0,"",VLOOKUP(BE38,'Tablas psiquica'!$D$7:$R$145,2,FALSE))</f>
        <v/>
      </c>
      <c r="BF39" s="6264"/>
      <c r="BG39" s="6264"/>
      <c r="BH39" s="6265"/>
      <c r="BI39" s="6266" t="str">
        <f>IF(BE38=0,"",IF(INDEX('Tablas psiquica'!$U$114:$AH$114,1,$CA$7)=0,"No Accesible",IF(ISNA(VLOOKUP(BE38,Psíquicos!$AS$17:$AS$43,1,0)),"Accesible CV","Aprendido")))</f>
        <v/>
      </c>
      <c r="BJ39" s="6267"/>
      <c r="BK39" s="1790" t="str">
        <f>IF(BE38=0,"",VLOOKUP(BE38,'Tablas psiquica'!$D$7:$R$145,3,FALSE))</f>
        <v/>
      </c>
      <c r="BL39" s="953"/>
      <c r="BM39" s="6263" t="str">
        <f>IF(BM38=0,"",VLOOKUP(BM38,'Tablas psiquica'!$D$7:$R$145,2,FALSE))</f>
        <v/>
      </c>
      <c r="BN39" s="6264"/>
      <c r="BO39" s="6264"/>
      <c r="BP39" s="6265"/>
      <c r="BQ39" s="6266" t="str">
        <f>IF(BM38=0,"",IF(INDEX('Tablas psiquica'!$U$114:$AH$114,1,$CA$7)=0,"No Accesible",IF(ISNA(VLOOKUP(BM38,Psíquicos!$AS$17:$AS$43,1,0)),"Accesible CV","Aprendido")))</f>
        <v/>
      </c>
      <c r="BR39" s="6267"/>
      <c r="BS39" s="1790" t="str">
        <f>IF(BM38=0,"",VLOOKUP(BM38,'Tablas psiquica'!$D$7:$R$145,3,FALSE))</f>
        <v/>
      </c>
      <c r="BT39" s="1149"/>
      <c r="BU39" s="6263" t="str">
        <f>IF(BU38=0,"",VLOOKUP(BU38,'Tablas psiquica'!$D$7:$R$145,2,FALSE))</f>
        <v/>
      </c>
      <c r="BV39" s="6264"/>
      <c r="BW39" s="6264"/>
      <c r="BX39" s="6265"/>
      <c r="BY39" s="6266" t="str">
        <f>IF(BU38=0,"",IF(INDEX('Tablas psiquica'!$U$114:$AH$114,1,$CA$7)=0,"No Accesible",IF(ISNA(VLOOKUP(BU38,Psíquicos!$AS$17:$AS$43,1,0)),"Accesible CV","Aprendido")))</f>
        <v/>
      </c>
      <c r="BZ39" s="6267"/>
      <c r="CA39" s="1790" t="str">
        <f>IF(BU38=0,"",VLOOKUP(BU38,'Tablas psiquica'!$D$7:$R$145,3,FALSE))</f>
        <v/>
      </c>
      <c r="CB39" s="426"/>
      <c r="CC39" s="420"/>
      <c r="CD39" s="420"/>
      <c r="CE39" s="1149"/>
      <c r="CF39" s="6263" t="str">
        <f>IF(CF38=0,"",VLOOKUP(CF38,'Tablas psiquica'!$D$7:$R$145,2,FALSE))</f>
        <v/>
      </c>
      <c r="CG39" s="6264"/>
      <c r="CH39" s="6264"/>
      <c r="CI39" s="6265"/>
      <c r="CJ39" s="6266" t="str">
        <f>IF(CF38=0,"",IF(INDEX('Tablas psiquica'!$U$114:$AH$114,1,$DB$7)=0,"No Accesible",IF(ISNA(VLOOKUP(CF38,Psíquicos!$AS$17:$AS$43,1,0)),"Accesible CV","Aprendido")))</f>
        <v/>
      </c>
      <c r="CK39" s="6267"/>
      <c r="CL39" s="1790" t="str">
        <f>IF(CF38=0,"",VLOOKUP(CF38,'Tablas psiquica'!$D$7:$R$145,3,FALSE))</f>
        <v/>
      </c>
      <c r="CM39" s="953"/>
      <c r="CN39" s="6263" t="str">
        <f>IF(CN38=0,"",VLOOKUP(CN38,'Tablas psiquica'!$D$7:$R$145,2,FALSE))</f>
        <v/>
      </c>
      <c r="CO39" s="6264"/>
      <c r="CP39" s="6264"/>
      <c r="CQ39" s="6265"/>
      <c r="CR39" s="6266" t="str">
        <f>IF(CN38=0,"",IF(INDEX('Tablas psiquica'!$U$114:$AH$114,1,$DB$7)=0,"No Accesible",IF(ISNA(VLOOKUP(CN38,Psíquicos!$AS$17:$AS$43,1,0)),"Accesible CV","Aprendido")))</f>
        <v/>
      </c>
      <c r="CS39" s="6267"/>
      <c r="CT39" s="1790" t="str">
        <f>IF(CN38=0,"",VLOOKUP(CN38,'Tablas psiquica'!$D$7:$R$145,3,FALSE))</f>
        <v/>
      </c>
      <c r="CU39" s="1149"/>
      <c r="CV39" s="6263" t="str">
        <f>IF(CV38=0,"",VLOOKUP(CV38,'Tablas psiquica'!$D$7:$R$145,2,FALSE))</f>
        <v/>
      </c>
      <c r="CW39" s="6264"/>
      <c r="CX39" s="6264"/>
      <c r="CY39" s="6265"/>
      <c r="CZ39" s="6266" t="str">
        <f>IF(CV38=0,"",IF(INDEX('Tablas psiquica'!$U$114:$AH$114,1,$DB$7)=0,"No Accesible",IF(ISNA(VLOOKUP(CV38,Psíquicos!$AS$17:$AS$43,1,0)),"Accesible CV","Aprendido")))</f>
        <v/>
      </c>
      <c r="DA39" s="6267"/>
      <c r="DB39" s="1790" t="str">
        <f>IF(CV38=0,"",VLOOKUP(CV38,'Tablas psiquica'!$D$7:$R$145,3,FALSE))</f>
        <v/>
      </c>
      <c r="DC39" s="426"/>
      <c r="DD39" s="420"/>
    </row>
    <row r="40" spans="1:108" ht="12" customHeight="1" x14ac:dyDescent="0.2">
      <c r="A40" s="420"/>
      <c r="B40" s="1149"/>
      <c r="C40" s="1751">
        <v>20</v>
      </c>
      <c r="D40" s="6257" t="s">
        <v>1727</v>
      </c>
      <c r="E40" s="6191"/>
      <c r="F40" s="6258" t="str">
        <f>IF(C38=0,"",VLOOKUP(C38,'Tablas psiquica'!$D$7:$R$145,6,FALSE))</f>
        <v/>
      </c>
      <c r="G40" s="5838"/>
      <c r="H40" s="5838"/>
      <c r="I40" s="5867"/>
      <c r="J40" s="697"/>
      <c r="K40" s="1751">
        <v>20</v>
      </c>
      <c r="L40" s="6257" t="s">
        <v>1727</v>
      </c>
      <c r="M40" s="6191"/>
      <c r="N40" s="6258" t="str">
        <f>IF(K38=0,"",VLOOKUP(K38,'Tablas psiquica'!$D$7:$R$145,6,FALSE))</f>
        <v/>
      </c>
      <c r="O40" s="5838"/>
      <c r="P40" s="5838"/>
      <c r="Q40" s="5867"/>
      <c r="R40" s="1149"/>
      <c r="S40" s="1751">
        <v>20</v>
      </c>
      <c r="T40" s="6257" t="s">
        <v>1727</v>
      </c>
      <c r="U40" s="6191"/>
      <c r="V40" s="6258" t="str">
        <f>IF(S38=0,"",VLOOKUP(S38,'Tablas psiquica'!$D$7:$R$145,6,FALSE))</f>
        <v/>
      </c>
      <c r="W40" s="5838"/>
      <c r="X40" s="5838"/>
      <c r="Y40" s="5867"/>
      <c r="Z40" s="426"/>
      <c r="AA40" s="420"/>
      <c r="AB40" s="420"/>
      <c r="AC40" s="1149"/>
      <c r="AD40" s="1751">
        <v>20</v>
      </c>
      <c r="AE40" s="6257" t="s">
        <v>1727</v>
      </c>
      <c r="AF40" s="6191"/>
      <c r="AG40" s="6258" t="str">
        <f>IF(AD38=0,"",VLOOKUP(AD38,'Tablas psiquica'!$D$7:$R$145,6,FALSE))</f>
        <v/>
      </c>
      <c r="AH40" s="5838"/>
      <c r="AI40" s="5838"/>
      <c r="AJ40" s="5867"/>
      <c r="AK40" s="697"/>
      <c r="AL40" s="1751">
        <v>20</v>
      </c>
      <c r="AM40" s="6257" t="s">
        <v>1727</v>
      </c>
      <c r="AN40" s="6191"/>
      <c r="AO40" s="6258" t="str">
        <f>IF(AL38=0,"",VLOOKUP(AL38,'Tablas psiquica'!$D$7:$R$145,6,FALSE))</f>
        <v/>
      </c>
      <c r="AP40" s="5838"/>
      <c r="AQ40" s="5838"/>
      <c r="AR40" s="5867"/>
      <c r="AS40" s="1149"/>
      <c r="AT40" s="1751">
        <v>20</v>
      </c>
      <c r="AU40" s="6257" t="s">
        <v>1727</v>
      </c>
      <c r="AV40" s="6191"/>
      <c r="AW40" s="6258" t="str">
        <f>IF(AT38=0,"",VLOOKUP(AT38,'Tablas psiquica'!$D$7:$R$145,6,FALSE))</f>
        <v/>
      </c>
      <c r="AX40" s="5838"/>
      <c r="AY40" s="5838"/>
      <c r="AZ40" s="5867"/>
      <c r="BA40" s="426"/>
      <c r="BB40" s="420"/>
      <c r="BC40" s="420"/>
      <c r="BD40" s="1149"/>
      <c r="BE40" s="1751">
        <v>20</v>
      </c>
      <c r="BF40" s="6257" t="s">
        <v>1727</v>
      </c>
      <c r="BG40" s="6191"/>
      <c r="BH40" s="6258" t="str">
        <f>IF(BE38=0,"",VLOOKUP(BE38,'Tablas psiquica'!$D$7:$R$145,6,FALSE))</f>
        <v/>
      </c>
      <c r="BI40" s="5838"/>
      <c r="BJ40" s="5838"/>
      <c r="BK40" s="5867"/>
      <c r="BL40" s="697"/>
      <c r="BM40" s="1751">
        <v>20</v>
      </c>
      <c r="BN40" s="6257" t="s">
        <v>1727</v>
      </c>
      <c r="BO40" s="6191"/>
      <c r="BP40" s="6258" t="str">
        <f>IF(BM38=0,"",VLOOKUP(BM38,'Tablas psiquica'!$D$7:$R$145,6,FALSE))</f>
        <v/>
      </c>
      <c r="BQ40" s="5838"/>
      <c r="BR40" s="5838"/>
      <c r="BS40" s="5867"/>
      <c r="BT40" s="1149"/>
      <c r="BU40" s="1751">
        <v>20</v>
      </c>
      <c r="BV40" s="6257" t="s">
        <v>1727</v>
      </c>
      <c r="BW40" s="6191"/>
      <c r="BX40" s="6258" t="str">
        <f>IF(BU38=0,"",VLOOKUP(BU38,'Tablas psiquica'!$D$7:$R$145,6,FALSE))</f>
        <v/>
      </c>
      <c r="BY40" s="5838"/>
      <c r="BZ40" s="5838"/>
      <c r="CA40" s="5867"/>
      <c r="CB40" s="426"/>
      <c r="CC40" s="420"/>
      <c r="CD40" s="420"/>
      <c r="CE40" s="1149"/>
      <c r="CF40" s="1751">
        <v>20</v>
      </c>
      <c r="CG40" s="6257" t="s">
        <v>1727</v>
      </c>
      <c r="CH40" s="6191"/>
      <c r="CI40" s="6258" t="str">
        <f>IF(CF38=0,"",VLOOKUP(CF38,'Tablas psiquica'!$D$7:$R$145,6,FALSE))</f>
        <v/>
      </c>
      <c r="CJ40" s="5838"/>
      <c r="CK40" s="5838"/>
      <c r="CL40" s="5867"/>
      <c r="CM40" s="697"/>
      <c r="CN40" s="1751">
        <v>20</v>
      </c>
      <c r="CO40" s="6257" t="s">
        <v>1727</v>
      </c>
      <c r="CP40" s="6191"/>
      <c r="CQ40" s="6258" t="str">
        <f>IF(CN38=0,"",VLOOKUP(CN38,'Tablas psiquica'!$D$7:$R$145,6,FALSE))</f>
        <v/>
      </c>
      <c r="CR40" s="5838"/>
      <c r="CS40" s="5838"/>
      <c r="CT40" s="5867"/>
      <c r="CU40" s="1149"/>
      <c r="CV40" s="1751">
        <v>20</v>
      </c>
      <c r="CW40" s="6257" t="s">
        <v>1727</v>
      </c>
      <c r="CX40" s="6191"/>
      <c r="CY40" s="6258" t="str">
        <f>IF(CV38=0,"",VLOOKUP(CV38,'Tablas psiquica'!$D$7:$R$145,6,FALSE))</f>
        <v/>
      </c>
      <c r="CZ40" s="5838"/>
      <c r="DA40" s="5838"/>
      <c r="DB40" s="5867"/>
      <c r="DC40" s="426"/>
      <c r="DD40" s="420"/>
    </row>
    <row r="41" spans="1:108" ht="12" customHeight="1" x14ac:dyDescent="0.2">
      <c r="A41" s="420"/>
      <c r="B41" s="1149"/>
      <c r="C41" s="1750">
        <v>40</v>
      </c>
      <c r="D41" s="6259" t="s">
        <v>1729</v>
      </c>
      <c r="E41" s="6186"/>
      <c r="F41" s="6260" t="str">
        <f>IF(C38=0,"",VLOOKUP(C38,'Tablas psiquica'!$D$7:$R$145,7,FALSE))</f>
        <v/>
      </c>
      <c r="G41" s="6261"/>
      <c r="H41" s="6261"/>
      <c r="I41" s="6262"/>
      <c r="J41" s="697"/>
      <c r="K41" s="1750">
        <v>40</v>
      </c>
      <c r="L41" s="6259" t="s">
        <v>1729</v>
      </c>
      <c r="M41" s="6186"/>
      <c r="N41" s="6260" t="str">
        <f>IF(K38=0,"",VLOOKUP(K38,'Tablas psiquica'!$D$7:$R$145,7,FALSE))</f>
        <v/>
      </c>
      <c r="O41" s="6261"/>
      <c r="P41" s="6261"/>
      <c r="Q41" s="6262"/>
      <c r="R41" s="1149"/>
      <c r="S41" s="1750">
        <v>40</v>
      </c>
      <c r="T41" s="6259" t="s">
        <v>1729</v>
      </c>
      <c r="U41" s="6186"/>
      <c r="V41" s="6260" t="str">
        <f>IF(S38=0,"",VLOOKUP(S38,'Tablas psiquica'!$D$7:$R$145,7,FALSE))</f>
        <v/>
      </c>
      <c r="W41" s="6261"/>
      <c r="X41" s="6261"/>
      <c r="Y41" s="6262"/>
      <c r="Z41" s="426"/>
      <c r="AA41" s="420"/>
      <c r="AB41" s="420"/>
      <c r="AC41" s="1149"/>
      <c r="AD41" s="1750">
        <v>40</v>
      </c>
      <c r="AE41" s="6259" t="s">
        <v>1729</v>
      </c>
      <c r="AF41" s="6186"/>
      <c r="AG41" s="6260" t="str">
        <f>IF(AD38=0,"",VLOOKUP(AD38,'Tablas psiquica'!$D$7:$R$145,7,FALSE))</f>
        <v/>
      </c>
      <c r="AH41" s="6261"/>
      <c r="AI41" s="6261"/>
      <c r="AJ41" s="6262"/>
      <c r="AK41" s="697"/>
      <c r="AL41" s="1750">
        <v>40</v>
      </c>
      <c r="AM41" s="6259" t="s">
        <v>1729</v>
      </c>
      <c r="AN41" s="6186"/>
      <c r="AO41" s="6260" t="str">
        <f>IF(AL38=0,"",VLOOKUP(AL38,'Tablas psiquica'!$D$7:$R$145,7,FALSE))</f>
        <v/>
      </c>
      <c r="AP41" s="6261"/>
      <c r="AQ41" s="6261"/>
      <c r="AR41" s="6262"/>
      <c r="AS41" s="1149"/>
      <c r="AT41" s="1750">
        <v>40</v>
      </c>
      <c r="AU41" s="6259" t="s">
        <v>1729</v>
      </c>
      <c r="AV41" s="6186"/>
      <c r="AW41" s="6260" t="str">
        <f>IF(AT38=0,"",VLOOKUP(AT38,'Tablas psiquica'!$D$7:$R$145,7,FALSE))</f>
        <v/>
      </c>
      <c r="AX41" s="6261"/>
      <c r="AY41" s="6261"/>
      <c r="AZ41" s="6262"/>
      <c r="BA41" s="426"/>
      <c r="BB41" s="420"/>
      <c r="BC41" s="420"/>
      <c r="BD41" s="1149"/>
      <c r="BE41" s="1750">
        <v>40</v>
      </c>
      <c r="BF41" s="6259" t="s">
        <v>1729</v>
      </c>
      <c r="BG41" s="6186"/>
      <c r="BH41" s="6260" t="str">
        <f>IF(BE38=0,"",VLOOKUP(BE38,'Tablas psiquica'!$D$7:$R$145,7,FALSE))</f>
        <v/>
      </c>
      <c r="BI41" s="6261"/>
      <c r="BJ41" s="6261"/>
      <c r="BK41" s="6262"/>
      <c r="BL41" s="697"/>
      <c r="BM41" s="1750">
        <v>40</v>
      </c>
      <c r="BN41" s="6259" t="s">
        <v>1729</v>
      </c>
      <c r="BO41" s="6186"/>
      <c r="BP41" s="6260" t="str">
        <f>IF(BM38=0,"",VLOOKUP(BM38,'Tablas psiquica'!$D$7:$R$145,7,FALSE))</f>
        <v/>
      </c>
      <c r="BQ41" s="6261"/>
      <c r="BR41" s="6261"/>
      <c r="BS41" s="6262"/>
      <c r="BT41" s="1149"/>
      <c r="BU41" s="1750">
        <v>40</v>
      </c>
      <c r="BV41" s="6259" t="s">
        <v>1729</v>
      </c>
      <c r="BW41" s="6186"/>
      <c r="BX41" s="6260" t="str">
        <f>IF(BU38=0,"",VLOOKUP(BU38,'Tablas psiquica'!$D$7:$R$145,7,FALSE))</f>
        <v/>
      </c>
      <c r="BY41" s="6261"/>
      <c r="BZ41" s="6261"/>
      <c r="CA41" s="6262"/>
      <c r="CB41" s="426"/>
      <c r="CC41" s="420"/>
      <c r="CD41" s="420"/>
      <c r="CE41" s="1149"/>
      <c r="CF41" s="1750">
        <v>40</v>
      </c>
      <c r="CG41" s="6259" t="s">
        <v>1729</v>
      </c>
      <c r="CH41" s="6186"/>
      <c r="CI41" s="6260" t="str">
        <f>IF(CF38=0,"",VLOOKUP(CF38,'Tablas psiquica'!$D$7:$R$145,7,FALSE))</f>
        <v/>
      </c>
      <c r="CJ41" s="6261"/>
      <c r="CK41" s="6261"/>
      <c r="CL41" s="6262"/>
      <c r="CM41" s="697"/>
      <c r="CN41" s="1750">
        <v>40</v>
      </c>
      <c r="CO41" s="6259" t="s">
        <v>1729</v>
      </c>
      <c r="CP41" s="6186"/>
      <c r="CQ41" s="6260" t="str">
        <f>IF(CN38=0,"",VLOOKUP(CN38,'Tablas psiquica'!$D$7:$R$145,7,FALSE))</f>
        <v/>
      </c>
      <c r="CR41" s="6261"/>
      <c r="CS41" s="6261"/>
      <c r="CT41" s="6262"/>
      <c r="CU41" s="1149"/>
      <c r="CV41" s="1750">
        <v>40</v>
      </c>
      <c r="CW41" s="6259" t="s">
        <v>1729</v>
      </c>
      <c r="CX41" s="6186"/>
      <c r="CY41" s="6260" t="str">
        <f>IF(CV38=0,"",VLOOKUP(CV38,'Tablas psiquica'!$D$7:$R$145,7,FALSE))</f>
        <v/>
      </c>
      <c r="CZ41" s="6261"/>
      <c r="DA41" s="6261"/>
      <c r="DB41" s="6262"/>
      <c r="DC41" s="426"/>
      <c r="DD41" s="420"/>
    </row>
    <row r="42" spans="1:108" ht="12" customHeight="1" x14ac:dyDescent="0.2">
      <c r="A42" s="420"/>
      <c r="B42" s="1149"/>
      <c r="C42" s="1751">
        <v>80</v>
      </c>
      <c r="D42" s="6257" t="s">
        <v>1732</v>
      </c>
      <c r="E42" s="6191"/>
      <c r="F42" s="6258" t="str">
        <f>IF(C38=0,"",VLOOKUP(C38,'Tablas psiquica'!$D$7:$R$145,8,FALSE))</f>
        <v/>
      </c>
      <c r="G42" s="5838"/>
      <c r="H42" s="5838"/>
      <c r="I42" s="5867"/>
      <c r="J42" s="697"/>
      <c r="K42" s="1751">
        <v>80</v>
      </c>
      <c r="L42" s="6257" t="s">
        <v>1732</v>
      </c>
      <c r="M42" s="6191"/>
      <c r="N42" s="6258" t="str">
        <f>IF(K38=0,"",VLOOKUP(K38,'Tablas psiquica'!$D$7:$R$145,8,FALSE))</f>
        <v/>
      </c>
      <c r="O42" s="5838"/>
      <c r="P42" s="5838"/>
      <c r="Q42" s="5867"/>
      <c r="R42" s="1149"/>
      <c r="S42" s="1751">
        <v>80</v>
      </c>
      <c r="T42" s="6257" t="s">
        <v>1732</v>
      </c>
      <c r="U42" s="6191"/>
      <c r="V42" s="6258" t="str">
        <f>IF(S38=0,"",VLOOKUP(S38,'Tablas psiquica'!$D$7:$R$145,8,FALSE))</f>
        <v/>
      </c>
      <c r="W42" s="5838"/>
      <c r="X42" s="5838"/>
      <c r="Y42" s="5867"/>
      <c r="Z42" s="426"/>
      <c r="AA42" s="420"/>
      <c r="AB42" s="420"/>
      <c r="AC42" s="1149"/>
      <c r="AD42" s="1751">
        <v>80</v>
      </c>
      <c r="AE42" s="6257" t="s">
        <v>1732</v>
      </c>
      <c r="AF42" s="6191"/>
      <c r="AG42" s="6258" t="str">
        <f>IF(AD38=0,"",VLOOKUP(AD38,'Tablas psiquica'!$D$7:$R$145,8,FALSE))</f>
        <v/>
      </c>
      <c r="AH42" s="5838"/>
      <c r="AI42" s="5838"/>
      <c r="AJ42" s="5867"/>
      <c r="AK42" s="697"/>
      <c r="AL42" s="1751">
        <v>80</v>
      </c>
      <c r="AM42" s="6257" t="s">
        <v>1732</v>
      </c>
      <c r="AN42" s="6191"/>
      <c r="AO42" s="6258" t="str">
        <f>IF(AL38=0,"",VLOOKUP(AL38,'Tablas psiquica'!$D$7:$R$145,8,FALSE))</f>
        <v/>
      </c>
      <c r="AP42" s="5838"/>
      <c r="AQ42" s="5838"/>
      <c r="AR42" s="5867"/>
      <c r="AS42" s="1149"/>
      <c r="AT42" s="1751">
        <v>80</v>
      </c>
      <c r="AU42" s="6257" t="s">
        <v>1732</v>
      </c>
      <c r="AV42" s="6191"/>
      <c r="AW42" s="6258" t="str">
        <f>IF(AT38=0,"",VLOOKUP(AT38,'Tablas psiquica'!$D$7:$R$145,8,FALSE))</f>
        <v/>
      </c>
      <c r="AX42" s="5838"/>
      <c r="AY42" s="5838"/>
      <c r="AZ42" s="5867"/>
      <c r="BA42" s="426"/>
      <c r="BB42" s="420"/>
      <c r="BC42" s="420"/>
      <c r="BD42" s="1149"/>
      <c r="BE42" s="1751">
        <v>80</v>
      </c>
      <c r="BF42" s="6257" t="s">
        <v>1732</v>
      </c>
      <c r="BG42" s="6191"/>
      <c r="BH42" s="6258" t="str">
        <f>IF(BE38=0,"",VLOOKUP(BE38,'Tablas psiquica'!$D$7:$R$145,8,FALSE))</f>
        <v/>
      </c>
      <c r="BI42" s="5838"/>
      <c r="BJ42" s="5838"/>
      <c r="BK42" s="5867"/>
      <c r="BL42" s="697"/>
      <c r="BM42" s="1751">
        <v>80</v>
      </c>
      <c r="BN42" s="6257" t="s">
        <v>1732</v>
      </c>
      <c r="BO42" s="6191"/>
      <c r="BP42" s="6258" t="str">
        <f>IF(BM38=0,"",VLOOKUP(BM38,'Tablas psiquica'!$D$7:$R$145,8,FALSE))</f>
        <v/>
      </c>
      <c r="BQ42" s="5838"/>
      <c r="BR42" s="5838"/>
      <c r="BS42" s="5867"/>
      <c r="BT42" s="1149"/>
      <c r="BU42" s="1751">
        <v>80</v>
      </c>
      <c r="BV42" s="6257" t="s">
        <v>1732</v>
      </c>
      <c r="BW42" s="6191"/>
      <c r="BX42" s="6258" t="str">
        <f>IF(BU38=0,"",VLOOKUP(BU38,'Tablas psiquica'!$D$7:$R$145,8,FALSE))</f>
        <v/>
      </c>
      <c r="BY42" s="5838"/>
      <c r="BZ42" s="5838"/>
      <c r="CA42" s="5867"/>
      <c r="CB42" s="426"/>
      <c r="CC42" s="420"/>
      <c r="CD42" s="420"/>
      <c r="CE42" s="1149"/>
      <c r="CF42" s="1751">
        <v>80</v>
      </c>
      <c r="CG42" s="6257" t="s">
        <v>1732</v>
      </c>
      <c r="CH42" s="6191"/>
      <c r="CI42" s="6258" t="str">
        <f>IF(CF38=0,"",VLOOKUP(CF38,'Tablas psiquica'!$D$7:$R$145,8,FALSE))</f>
        <v/>
      </c>
      <c r="CJ42" s="5838"/>
      <c r="CK42" s="5838"/>
      <c r="CL42" s="5867"/>
      <c r="CM42" s="697"/>
      <c r="CN42" s="1751">
        <v>80</v>
      </c>
      <c r="CO42" s="6257" t="s">
        <v>1732</v>
      </c>
      <c r="CP42" s="6191"/>
      <c r="CQ42" s="6258" t="str">
        <f>IF(CN38=0,"",VLOOKUP(CN38,'Tablas psiquica'!$D$7:$R$145,8,FALSE))</f>
        <v/>
      </c>
      <c r="CR42" s="5838"/>
      <c r="CS42" s="5838"/>
      <c r="CT42" s="5867"/>
      <c r="CU42" s="1149"/>
      <c r="CV42" s="1751">
        <v>80</v>
      </c>
      <c r="CW42" s="6257" t="s">
        <v>1732</v>
      </c>
      <c r="CX42" s="6191"/>
      <c r="CY42" s="6258" t="str">
        <f>IF(CV38=0,"",VLOOKUP(CV38,'Tablas psiquica'!$D$7:$R$145,8,FALSE))</f>
        <v/>
      </c>
      <c r="CZ42" s="5838"/>
      <c r="DA42" s="5838"/>
      <c r="DB42" s="5867"/>
      <c r="DC42" s="426"/>
      <c r="DD42" s="420"/>
    </row>
    <row r="43" spans="1:108" ht="12" customHeight="1" x14ac:dyDescent="0.2">
      <c r="A43" s="420"/>
      <c r="B43" s="1149"/>
      <c r="C43" s="1750">
        <v>120</v>
      </c>
      <c r="D43" s="6259" t="s">
        <v>1735</v>
      </c>
      <c r="E43" s="6186"/>
      <c r="F43" s="6260" t="str">
        <f>IF(C38=0,"",VLOOKUP(C38,'Tablas psiquica'!$D$7:$R$145,9,FALSE))</f>
        <v/>
      </c>
      <c r="G43" s="6261"/>
      <c r="H43" s="6261"/>
      <c r="I43" s="6262"/>
      <c r="J43" s="697"/>
      <c r="K43" s="1750">
        <v>120</v>
      </c>
      <c r="L43" s="6259" t="s">
        <v>1735</v>
      </c>
      <c r="M43" s="6186"/>
      <c r="N43" s="6260" t="str">
        <f>IF(K38=0,"",VLOOKUP(K38,'Tablas psiquica'!$D$7:$R$145,9,FALSE))</f>
        <v/>
      </c>
      <c r="O43" s="6261"/>
      <c r="P43" s="6261"/>
      <c r="Q43" s="6262"/>
      <c r="R43" s="1149"/>
      <c r="S43" s="1750">
        <v>120</v>
      </c>
      <c r="T43" s="6259" t="s">
        <v>1735</v>
      </c>
      <c r="U43" s="6186"/>
      <c r="V43" s="6260" t="str">
        <f>IF(S38=0,"",VLOOKUP(S38,'Tablas psiquica'!$D$7:$R$145,9,FALSE))</f>
        <v/>
      </c>
      <c r="W43" s="6261"/>
      <c r="X43" s="6261"/>
      <c r="Y43" s="6262"/>
      <c r="Z43" s="426"/>
      <c r="AA43" s="420"/>
      <c r="AB43" s="420"/>
      <c r="AC43" s="1149"/>
      <c r="AD43" s="1750">
        <v>120</v>
      </c>
      <c r="AE43" s="6259" t="s">
        <v>1735</v>
      </c>
      <c r="AF43" s="6186"/>
      <c r="AG43" s="6260" t="str">
        <f>IF(AD38=0,"",VLOOKUP(AD38,'Tablas psiquica'!$D$7:$R$145,9,FALSE))</f>
        <v/>
      </c>
      <c r="AH43" s="6261"/>
      <c r="AI43" s="6261"/>
      <c r="AJ43" s="6262"/>
      <c r="AK43" s="697"/>
      <c r="AL43" s="1750">
        <v>120</v>
      </c>
      <c r="AM43" s="6259" t="s">
        <v>1735</v>
      </c>
      <c r="AN43" s="6186"/>
      <c r="AO43" s="6260" t="str">
        <f>IF(AL38=0,"",VLOOKUP(AL38,'Tablas psiquica'!$D$7:$R$145,9,FALSE))</f>
        <v/>
      </c>
      <c r="AP43" s="6261"/>
      <c r="AQ43" s="6261"/>
      <c r="AR43" s="6262"/>
      <c r="AS43" s="1149"/>
      <c r="AT43" s="1750">
        <v>120</v>
      </c>
      <c r="AU43" s="6259" t="s">
        <v>1735</v>
      </c>
      <c r="AV43" s="6186"/>
      <c r="AW43" s="6260" t="str">
        <f>IF(AT38=0,"",VLOOKUP(AT38,'Tablas psiquica'!$D$7:$R$145,9,FALSE))</f>
        <v/>
      </c>
      <c r="AX43" s="6261"/>
      <c r="AY43" s="6261"/>
      <c r="AZ43" s="6262"/>
      <c r="BA43" s="426"/>
      <c r="BB43" s="420"/>
      <c r="BC43" s="420"/>
      <c r="BD43" s="1149"/>
      <c r="BE43" s="1750">
        <v>120</v>
      </c>
      <c r="BF43" s="6259" t="s">
        <v>1735</v>
      </c>
      <c r="BG43" s="6186"/>
      <c r="BH43" s="6260" t="str">
        <f>IF(BE38=0,"",VLOOKUP(BE38,'Tablas psiquica'!$D$7:$R$145,9,FALSE))</f>
        <v/>
      </c>
      <c r="BI43" s="6261"/>
      <c r="BJ43" s="6261"/>
      <c r="BK43" s="6262"/>
      <c r="BL43" s="697"/>
      <c r="BM43" s="1750">
        <v>120</v>
      </c>
      <c r="BN43" s="6259" t="s">
        <v>1735</v>
      </c>
      <c r="BO43" s="6186"/>
      <c r="BP43" s="6260" t="str">
        <f>IF(BM38=0,"",VLOOKUP(BM38,'Tablas psiquica'!$D$7:$R$145,9,FALSE))</f>
        <v/>
      </c>
      <c r="BQ43" s="6261"/>
      <c r="BR43" s="6261"/>
      <c r="BS43" s="6262"/>
      <c r="BT43" s="1149"/>
      <c r="BU43" s="1750">
        <v>120</v>
      </c>
      <c r="BV43" s="6259" t="s">
        <v>1735</v>
      </c>
      <c r="BW43" s="6186"/>
      <c r="BX43" s="6260" t="str">
        <f>IF(BU38=0,"",VLOOKUP(BU38,'Tablas psiquica'!$D$7:$R$145,9,FALSE))</f>
        <v/>
      </c>
      <c r="BY43" s="6261"/>
      <c r="BZ43" s="6261"/>
      <c r="CA43" s="6262"/>
      <c r="CB43" s="426"/>
      <c r="CC43" s="420"/>
      <c r="CD43" s="420"/>
      <c r="CE43" s="1149"/>
      <c r="CF43" s="1750">
        <v>120</v>
      </c>
      <c r="CG43" s="6259" t="s">
        <v>1735</v>
      </c>
      <c r="CH43" s="6186"/>
      <c r="CI43" s="6260" t="str">
        <f>IF(CF38=0,"",VLOOKUP(CF38,'Tablas psiquica'!$D$7:$R$145,9,FALSE))</f>
        <v/>
      </c>
      <c r="CJ43" s="6261"/>
      <c r="CK43" s="6261"/>
      <c r="CL43" s="6262"/>
      <c r="CM43" s="697"/>
      <c r="CN43" s="1750">
        <v>120</v>
      </c>
      <c r="CO43" s="6259" t="s">
        <v>1735</v>
      </c>
      <c r="CP43" s="6186"/>
      <c r="CQ43" s="6260" t="str">
        <f>IF(CN38=0,"",VLOOKUP(CN38,'Tablas psiquica'!$D$7:$R$145,9,FALSE))</f>
        <v/>
      </c>
      <c r="CR43" s="6261"/>
      <c r="CS43" s="6261"/>
      <c r="CT43" s="6262"/>
      <c r="CU43" s="1149"/>
      <c r="CV43" s="1750">
        <v>120</v>
      </c>
      <c r="CW43" s="6259" t="s">
        <v>1735</v>
      </c>
      <c r="CX43" s="6186"/>
      <c r="CY43" s="6260" t="str">
        <f>IF(CV38=0,"",VLOOKUP(CV38,'Tablas psiquica'!$D$7:$R$145,9,FALSE))</f>
        <v/>
      </c>
      <c r="CZ43" s="6261"/>
      <c r="DA43" s="6261"/>
      <c r="DB43" s="6262"/>
      <c r="DC43" s="426"/>
      <c r="DD43" s="420"/>
    </row>
    <row r="44" spans="1:108" ht="12" customHeight="1" x14ac:dyDescent="0.2">
      <c r="A44" s="420"/>
      <c r="B44" s="1149"/>
      <c r="C44" s="1751">
        <v>140</v>
      </c>
      <c r="D44" s="6257" t="s">
        <v>6335</v>
      </c>
      <c r="E44" s="6191"/>
      <c r="F44" s="6258" t="str">
        <f>IF(C38=0,"",VLOOKUP(C38,'Tablas psiquica'!$D$7:$R$145,10,FALSE))</f>
        <v/>
      </c>
      <c r="G44" s="5838"/>
      <c r="H44" s="5838"/>
      <c r="I44" s="5867"/>
      <c r="J44" s="697"/>
      <c r="K44" s="1751">
        <v>140</v>
      </c>
      <c r="L44" s="6257" t="s">
        <v>6335</v>
      </c>
      <c r="M44" s="6191"/>
      <c r="N44" s="6258" t="str">
        <f>IF(K38=0,"",VLOOKUP(K38,'Tablas psiquica'!$D$7:$R$145,10,FALSE))</f>
        <v/>
      </c>
      <c r="O44" s="5838"/>
      <c r="P44" s="5838"/>
      <c r="Q44" s="5867"/>
      <c r="R44" s="1149"/>
      <c r="S44" s="1751">
        <v>140</v>
      </c>
      <c r="T44" s="6257" t="s">
        <v>6335</v>
      </c>
      <c r="U44" s="6191"/>
      <c r="V44" s="6258" t="str">
        <f>IF(S38=0,"",VLOOKUP(S38,'Tablas psiquica'!$D$7:$R$145,10,FALSE))</f>
        <v/>
      </c>
      <c r="W44" s="5838"/>
      <c r="X44" s="5838"/>
      <c r="Y44" s="5867"/>
      <c r="Z44" s="426"/>
      <c r="AA44" s="420"/>
      <c r="AB44" s="420"/>
      <c r="AC44" s="1149"/>
      <c r="AD44" s="1751">
        <v>140</v>
      </c>
      <c r="AE44" s="6257" t="s">
        <v>6335</v>
      </c>
      <c r="AF44" s="6191"/>
      <c r="AG44" s="6258" t="str">
        <f>IF(AD38=0,"",VLOOKUP(AD38,'Tablas psiquica'!$D$7:$R$145,10,FALSE))</f>
        <v/>
      </c>
      <c r="AH44" s="5838"/>
      <c r="AI44" s="5838"/>
      <c r="AJ44" s="5867"/>
      <c r="AK44" s="697"/>
      <c r="AL44" s="1751">
        <v>140</v>
      </c>
      <c r="AM44" s="6257" t="s">
        <v>6335</v>
      </c>
      <c r="AN44" s="6191"/>
      <c r="AO44" s="6258" t="str">
        <f>IF(AL38=0,"",VLOOKUP(AL38,'Tablas psiquica'!$D$7:$R$145,10,FALSE))</f>
        <v/>
      </c>
      <c r="AP44" s="5838"/>
      <c r="AQ44" s="5838"/>
      <c r="AR44" s="5867"/>
      <c r="AS44" s="1149"/>
      <c r="AT44" s="1751">
        <v>140</v>
      </c>
      <c r="AU44" s="6257" t="s">
        <v>6335</v>
      </c>
      <c r="AV44" s="6191"/>
      <c r="AW44" s="6258" t="str">
        <f>IF(AT38=0,"",VLOOKUP(AT38,'Tablas psiquica'!$D$7:$R$145,10,FALSE))</f>
        <v/>
      </c>
      <c r="AX44" s="5838"/>
      <c r="AY44" s="5838"/>
      <c r="AZ44" s="5867"/>
      <c r="BA44" s="426"/>
      <c r="BB44" s="420"/>
      <c r="BC44" s="420"/>
      <c r="BD44" s="1149"/>
      <c r="BE44" s="1751">
        <v>140</v>
      </c>
      <c r="BF44" s="6257" t="s">
        <v>6335</v>
      </c>
      <c r="BG44" s="6191"/>
      <c r="BH44" s="6258" t="str">
        <f>IF(BE38=0,"",VLOOKUP(BE38,'Tablas psiquica'!$D$7:$R$145,10,FALSE))</f>
        <v/>
      </c>
      <c r="BI44" s="5838"/>
      <c r="BJ44" s="5838"/>
      <c r="BK44" s="5867"/>
      <c r="BL44" s="697"/>
      <c r="BM44" s="1751">
        <v>140</v>
      </c>
      <c r="BN44" s="6257" t="s">
        <v>6335</v>
      </c>
      <c r="BO44" s="6191"/>
      <c r="BP44" s="6258" t="str">
        <f>IF(BM38=0,"",VLOOKUP(BM38,'Tablas psiquica'!$D$7:$R$145,10,FALSE))</f>
        <v/>
      </c>
      <c r="BQ44" s="5838"/>
      <c r="BR44" s="5838"/>
      <c r="BS44" s="5867"/>
      <c r="BT44" s="1149"/>
      <c r="BU44" s="1751">
        <v>140</v>
      </c>
      <c r="BV44" s="6257" t="s">
        <v>6335</v>
      </c>
      <c r="BW44" s="6191"/>
      <c r="BX44" s="6258" t="str">
        <f>IF(BU38=0,"",VLOOKUP(BU38,'Tablas psiquica'!$D$7:$R$145,10,FALSE))</f>
        <v/>
      </c>
      <c r="BY44" s="5838"/>
      <c r="BZ44" s="5838"/>
      <c r="CA44" s="5867"/>
      <c r="CB44" s="426"/>
      <c r="CC44" s="420"/>
      <c r="CD44" s="420"/>
      <c r="CE44" s="1149"/>
      <c r="CF44" s="1751">
        <v>140</v>
      </c>
      <c r="CG44" s="6257" t="s">
        <v>6335</v>
      </c>
      <c r="CH44" s="6191"/>
      <c r="CI44" s="6258" t="str">
        <f>IF(CF38=0,"",VLOOKUP(CF38,'Tablas psiquica'!$D$7:$R$145,10,FALSE))</f>
        <v/>
      </c>
      <c r="CJ44" s="5838"/>
      <c r="CK44" s="5838"/>
      <c r="CL44" s="5867"/>
      <c r="CM44" s="697"/>
      <c r="CN44" s="1751">
        <v>140</v>
      </c>
      <c r="CO44" s="6257" t="s">
        <v>6335</v>
      </c>
      <c r="CP44" s="6191"/>
      <c r="CQ44" s="6258" t="str">
        <f>IF(CN38=0,"",VLOOKUP(CN38,'Tablas psiquica'!$D$7:$R$145,10,FALSE))</f>
        <v/>
      </c>
      <c r="CR44" s="5838"/>
      <c r="CS44" s="5838"/>
      <c r="CT44" s="5867"/>
      <c r="CU44" s="1149"/>
      <c r="CV44" s="1751">
        <v>140</v>
      </c>
      <c r="CW44" s="6257" t="s">
        <v>6335</v>
      </c>
      <c r="CX44" s="6191"/>
      <c r="CY44" s="6258" t="str">
        <f>IF(CV38=0,"",VLOOKUP(CV38,'Tablas psiquica'!$D$7:$R$145,10,FALSE))</f>
        <v/>
      </c>
      <c r="CZ44" s="5838"/>
      <c r="DA44" s="5838"/>
      <c r="DB44" s="5867"/>
      <c r="DC44" s="426"/>
      <c r="DD44" s="420"/>
    </row>
    <row r="45" spans="1:108" ht="12" customHeight="1" x14ac:dyDescent="0.2">
      <c r="A45" s="420"/>
      <c r="B45" s="1149"/>
      <c r="C45" s="1750">
        <v>180</v>
      </c>
      <c r="D45" s="6259" t="s">
        <v>1739</v>
      </c>
      <c r="E45" s="6186"/>
      <c r="F45" s="6260" t="str">
        <f>IF(C38=0,"",VLOOKUP(C38,'Tablas psiquica'!$D$7:$R$145,11,FALSE))</f>
        <v/>
      </c>
      <c r="G45" s="6261"/>
      <c r="H45" s="6261"/>
      <c r="I45" s="6262"/>
      <c r="J45" s="697"/>
      <c r="K45" s="1750">
        <v>180</v>
      </c>
      <c r="L45" s="6259" t="s">
        <v>1739</v>
      </c>
      <c r="M45" s="6186"/>
      <c r="N45" s="6260" t="str">
        <f>IF(K38=0,"",VLOOKUP(K38,'Tablas psiquica'!$D$7:$R$145,11,FALSE))</f>
        <v/>
      </c>
      <c r="O45" s="6261"/>
      <c r="P45" s="6261"/>
      <c r="Q45" s="6262"/>
      <c r="R45" s="1149"/>
      <c r="S45" s="1750">
        <v>180</v>
      </c>
      <c r="T45" s="6259" t="s">
        <v>1739</v>
      </c>
      <c r="U45" s="6186"/>
      <c r="V45" s="6260" t="str">
        <f>IF(S38=0,"",VLOOKUP(S38,'Tablas psiquica'!$D$7:$R$145,11,FALSE))</f>
        <v/>
      </c>
      <c r="W45" s="6261"/>
      <c r="X45" s="6261"/>
      <c r="Y45" s="6262"/>
      <c r="Z45" s="426"/>
      <c r="AA45" s="420"/>
      <c r="AB45" s="420"/>
      <c r="AC45" s="1149"/>
      <c r="AD45" s="1750">
        <v>180</v>
      </c>
      <c r="AE45" s="6259" t="s">
        <v>1739</v>
      </c>
      <c r="AF45" s="6186"/>
      <c r="AG45" s="6260" t="str">
        <f>IF(AD38=0,"",VLOOKUP(AD38,'Tablas psiquica'!$D$7:$R$145,11,FALSE))</f>
        <v/>
      </c>
      <c r="AH45" s="6261"/>
      <c r="AI45" s="6261"/>
      <c r="AJ45" s="6262"/>
      <c r="AK45" s="697"/>
      <c r="AL45" s="1750">
        <v>180</v>
      </c>
      <c r="AM45" s="6259" t="s">
        <v>1739</v>
      </c>
      <c r="AN45" s="6186"/>
      <c r="AO45" s="6260" t="str">
        <f>IF(AL38=0,"",VLOOKUP(AL38,'Tablas psiquica'!$D$7:$R$145,11,FALSE))</f>
        <v/>
      </c>
      <c r="AP45" s="6261"/>
      <c r="AQ45" s="6261"/>
      <c r="AR45" s="6262"/>
      <c r="AS45" s="1149"/>
      <c r="AT45" s="1750">
        <v>180</v>
      </c>
      <c r="AU45" s="6259" t="s">
        <v>1739</v>
      </c>
      <c r="AV45" s="6186"/>
      <c r="AW45" s="6260" t="str">
        <f>IF(AT38=0,"",VLOOKUP(AT38,'Tablas psiquica'!$D$7:$R$145,11,FALSE))</f>
        <v/>
      </c>
      <c r="AX45" s="6261"/>
      <c r="AY45" s="6261"/>
      <c r="AZ45" s="6262"/>
      <c r="BA45" s="426"/>
      <c r="BB45" s="420"/>
      <c r="BC45" s="420"/>
      <c r="BD45" s="1149"/>
      <c r="BE45" s="1750">
        <v>180</v>
      </c>
      <c r="BF45" s="6259" t="s">
        <v>1739</v>
      </c>
      <c r="BG45" s="6186"/>
      <c r="BH45" s="6260" t="str">
        <f>IF(BE38=0,"",VLOOKUP(BE38,'Tablas psiquica'!$D$7:$R$145,11,FALSE))</f>
        <v/>
      </c>
      <c r="BI45" s="6261"/>
      <c r="BJ45" s="6261"/>
      <c r="BK45" s="6262"/>
      <c r="BL45" s="697"/>
      <c r="BM45" s="1750">
        <v>180</v>
      </c>
      <c r="BN45" s="6259" t="s">
        <v>1739</v>
      </c>
      <c r="BO45" s="6186"/>
      <c r="BP45" s="6260" t="str">
        <f>IF(BM38=0,"",VLOOKUP(BM38,'Tablas psiquica'!$D$7:$R$145,11,FALSE))</f>
        <v/>
      </c>
      <c r="BQ45" s="6261"/>
      <c r="BR45" s="6261"/>
      <c r="BS45" s="6262"/>
      <c r="BT45" s="1149"/>
      <c r="BU45" s="1750">
        <v>180</v>
      </c>
      <c r="BV45" s="6259" t="s">
        <v>1739</v>
      </c>
      <c r="BW45" s="6186"/>
      <c r="BX45" s="6260" t="str">
        <f>IF(BU38=0,"",VLOOKUP(BU38,'Tablas psiquica'!$D$7:$R$145,11,FALSE))</f>
        <v/>
      </c>
      <c r="BY45" s="6261"/>
      <c r="BZ45" s="6261"/>
      <c r="CA45" s="6262"/>
      <c r="CB45" s="426"/>
      <c r="CC45" s="420"/>
      <c r="CD45" s="420"/>
      <c r="CE45" s="1149"/>
      <c r="CF45" s="1750">
        <v>180</v>
      </c>
      <c r="CG45" s="6259" t="s">
        <v>1739</v>
      </c>
      <c r="CH45" s="6186"/>
      <c r="CI45" s="6260" t="str">
        <f>IF(CF38=0,"",VLOOKUP(CF38,'Tablas psiquica'!$D$7:$R$145,11,FALSE))</f>
        <v/>
      </c>
      <c r="CJ45" s="6261"/>
      <c r="CK45" s="6261"/>
      <c r="CL45" s="6262"/>
      <c r="CM45" s="697"/>
      <c r="CN45" s="1750">
        <v>180</v>
      </c>
      <c r="CO45" s="6259" t="s">
        <v>1739</v>
      </c>
      <c r="CP45" s="6186"/>
      <c r="CQ45" s="6260" t="str">
        <f>IF(CN38=0,"",VLOOKUP(CN38,'Tablas psiquica'!$D$7:$R$145,11,FALSE))</f>
        <v/>
      </c>
      <c r="CR45" s="6261"/>
      <c r="CS45" s="6261"/>
      <c r="CT45" s="6262"/>
      <c r="CU45" s="1149"/>
      <c r="CV45" s="1750">
        <v>180</v>
      </c>
      <c r="CW45" s="6259" t="s">
        <v>1739</v>
      </c>
      <c r="CX45" s="6186"/>
      <c r="CY45" s="6260" t="str">
        <f>IF(CV38=0,"",VLOOKUP(CV38,'Tablas psiquica'!$D$7:$R$145,11,FALSE))</f>
        <v/>
      </c>
      <c r="CZ45" s="6261"/>
      <c r="DA45" s="6261"/>
      <c r="DB45" s="6262"/>
      <c r="DC45" s="426"/>
      <c r="DD45" s="420"/>
    </row>
    <row r="46" spans="1:108" ht="12" customHeight="1" x14ac:dyDescent="0.2">
      <c r="A46" s="420"/>
      <c r="B46" s="1149"/>
      <c r="C46" s="1751">
        <v>240</v>
      </c>
      <c r="D46" s="6257" t="s">
        <v>6336</v>
      </c>
      <c r="E46" s="6191"/>
      <c r="F46" s="6258" t="str">
        <f>IF(C38=0,"",VLOOKUP(C38,'Tablas psiquica'!$D$7:$R$145,12,FALSE))</f>
        <v/>
      </c>
      <c r="G46" s="5838"/>
      <c r="H46" s="5838"/>
      <c r="I46" s="5867"/>
      <c r="J46" s="697"/>
      <c r="K46" s="1751">
        <v>240</v>
      </c>
      <c r="L46" s="6257" t="s">
        <v>6336</v>
      </c>
      <c r="M46" s="6191"/>
      <c r="N46" s="6258" t="str">
        <f>IF(K38=0,"",VLOOKUP(K38,'Tablas psiquica'!$D$7:$R$145,12,FALSE))</f>
        <v/>
      </c>
      <c r="O46" s="5838"/>
      <c r="P46" s="5838"/>
      <c r="Q46" s="5867"/>
      <c r="R46" s="1149"/>
      <c r="S46" s="1751">
        <v>240</v>
      </c>
      <c r="T46" s="6257" t="s">
        <v>6336</v>
      </c>
      <c r="U46" s="6191"/>
      <c r="V46" s="6258" t="str">
        <f>IF(S38=0,"",VLOOKUP(S38,'Tablas psiquica'!$D$7:$R$145,12,FALSE))</f>
        <v/>
      </c>
      <c r="W46" s="5838"/>
      <c r="X46" s="5838"/>
      <c r="Y46" s="5867"/>
      <c r="Z46" s="426"/>
      <c r="AA46" s="420"/>
      <c r="AB46" s="420"/>
      <c r="AC46" s="1149"/>
      <c r="AD46" s="1751">
        <v>240</v>
      </c>
      <c r="AE46" s="6257" t="s">
        <v>6336</v>
      </c>
      <c r="AF46" s="6191"/>
      <c r="AG46" s="6258" t="str">
        <f>IF(AD38=0,"",VLOOKUP(AD38,'Tablas psiquica'!$D$7:$R$145,12,FALSE))</f>
        <v/>
      </c>
      <c r="AH46" s="5838"/>
      <c r="AI46" s="5838"/>
      <c r="AJ46" s="5867"/>
      <c r="AK46" s="697"/>
      <c r="AL46" s="1751">
        <v>240</v>
      </c>
      <c r="AM46" s="6257" t="s">
        <v>6336</v>
      </c>
      <c r="AN46" s="6191"/>
      <c r="AO46" s="6258" t="str">
        <f>IF(AL38=0,"",VLOOKUP(AL38,'Tablas psiquica'!$D$7:$R$145,12,FALSE))</f>
        <v/>
      </c>
      <c r="AP46" s="5838"/>
      <c r="AQ46" s="5838"/>
      <c r="AR46" s="5867"/>
      <c r="AS46" s="1149"/>
      <c r="AT46" s="1751">
        <v>240</v>
      </c>
      <c r="AU46" s="6257" t="s">
        <v>6336</v>
      </c>
      <c r="AV46" s="6191"/>
      <c r="AW46" s="6258" t="str">
        <f>IF(AT38=0,"",VLOOKUP(AT38,'Tablas psiquica'!$D$7:$R$145,12,FALSE))</f>
        <v/>
      </c>
      <c r="AX46" s="5838"/>
      <c r="AY46" s="5838"/>
      <c r="AZ46" s="5867"/>
      <c r="BA46" s="426"/>
      <c r="BB46" s="420"/>
      <c r="BC46" s="420"/>
      <c r="BD46" s="1149"/>
      <c r="BE46" s="1751">
        <v>240</v>
      </c>
      <c r="BF46" s="6257" t="s">
        <v>6336</v>
      </c>
      <c r="BG46" s="6191"/>
      <c r="BH46" s="6258" t="str">
        <f>IF(BE38=0,"",VLOOKUP(BE38,'Tablas psiquica'!$D$7:$R$145,12,FALSE))</f>
        <v/>
      </c>
      <c r="BI46" s="5838"/>
      <c r="BJ46" s="5838"/>
      <c r="BK46" s="5867"/>
      <c r="BL46" s="697"/>
      <c r="BM46" s="1751">
        <v>240</v>
      </c>
      <c r="BN46" s="6257" t="s">
        <v>6336</v>
      </c>
      <c r="BO46" s="6191"/>
      <c r="BP46" s="6258" t="str">
        <f>IF(BM38=0,"",VLOOKUP(BM38,'Tablas psiquica'!$D$7:$R$145,12,FALSE))</f>
        <v/>
      </c>
      <c r="BQ46" s="5838"/>
      <c r="BR46" s="5838"/>
      <c r="BS46" s="5867"/>
      <c r="BT46" s="1149"/>
      <c r="BU46" s="1751">
        <v>240</v>
      </c>
      <c r="BV46" s="6257" t="s">
        <v>6336</v>
      </c>
      <c r="BW46" s="6191"/>
      <c r="BX46" s="6258" t="str">
        <f>IF(BU38=0,"",VLOOKUP(BU38,'Tablas psiquica'!$D$7:$R$145,12,FALSE))</f>
        <v/>
      </c>
      <c r="BY46" s="5838"/>
      <c r="BZ46" s="5838"/>
      <c r="CA46" s="5867"/>
      <c r="CB46" s="426"/>
      <c r="CC46" s="420"/>
      <c r="CD46" s="420"/>
      <c r="CE46" s="1149"/>
      <c r="CF46" s="1751">
        <v>240</v>
      </c>
      <c r="CG46" s="6257" t="s">
        <v>6336</v>
      </c>
      <c r="CH46" s="6191"/>
      <c r="CI46" s="6258" t="str">
        <f>IF(CF38=0,"",VLOOKUP(CF38,'Tablas psiquica'!$D$7:$R$145,12,FALSE))</f>
        <v/>
      </c>
      <c r="CJ46" s="5838"/>
      <c r="CK46" s="5838"/>
      <c r="CL46" s="5867"/>
      <c r="CM46" s="697"/>
      <c r="CN46" s="1751">
        <v>240</v>
      </c>
      <c r="CO46" s="6257" t="s">
        <v>6336</v>
      </c>
      <c r="CP46" s="6191"/>
      <c r="CQ46" s="6258" t="str">
        <f>IF(CN38=0,"",VLOOKUP(CN38,'Tablas psiquica'!$D$7:$R$145,12,FALSE))</f>
        <v/>
      </c>
      <c r="CR46" s="5838"/>
      <c r="CS46" s="5838"/>
      <c r="CT46" s="5867"/>
      <c r="CU46" s="1149"/>
      <c r="CV46" s="1751">
        <v>240</v>
      </c>
      <c r="CW46" s="6257" t="s">
        <v>6336</v>
      </c>
      <c r="CX46" s="6191"/>
      <c r="CY46" s="6258" t="str">
        <f>IF(CV38=0,"",VLOOKUP(CV38,'Tablas psiquica'!$D$7:$R$145,12,FALSE))</f>
        <v/>
      </c>
      <c r="CZ46" s="5838"/>
      <c r="DA46" s="5838"/>
      <c r="DB46" s="5867"/>
      <c r="DC46" s="426"/>
      <c r="DD46" s="420"/>
    </row>
    <row r="47" spans="1:108" ht="12" customHeight="1" x14ac:dyDescent="0.2">
      <c r="A47" s="420"/>
      <c r="B47" s="1149"/>
      <c r="C47" s="1750">
        <v>280</v>
      </c>
      <c r="D47" s="6259" t="s">
        <v>1742</v>
      </c>
      <c r="E47" s="6186"/>
      <c r="F47" s="6260" t="str">
        <f>IF(C38=0,"",VLOOKUP(C38,'Tablas psiquica'!$D$7:$R$145,13,FALSE))</f>
        <v/>
      </c>
      <c r="G47" s="6261"/>
      <c r="H47" s="6261"/>
      <c r="I47" s="6262"/>
      <c r="J47" s="697"/>
      <c r="K47" s="1750">
        <v>280</v>
      </c>
      <c r="L47" s="6259" t="s">
        <v>1742</v>
      </c>
      <c r="M47" s="6186"/>
      <c r="N47" s="6260" t="str">
        <f>IF(K38=0,"",VLOOKUP(K38,'Tablas psiquica'!$D$7:$R$145,13,FALSE))</f>
        <v/>
      </c>
      <c r="O47" s="6261"/>
      <c r="P47" s="6261"/>
      <c r="Q47" s="6262"/>
      <c r="R47" s="1149"/>
      <c r="S47" s="1750">
        <v>280</v>
      </c>
      <c r="T47" s="6259" t="s">
        <v>1742</v>
      </c>
      <c r="U47" s="6186"/>
      <c r="V47" s="6260" t="str">
        <f>IF(S38=0,"",VLOOKUP(S38,'Tablas psiquica'!$D$7:$R$145,13,FALSE))</f>
        <v/>
      </c>
      <c r="W47" s="6261"/>
      <c r="X47" s="6261"/>
      <c r="Y47" s="6262"/>
      <c r="Z47" s="426"/>
      <c r="AA47" s="420"/>
      <c r="AB47" s="420"/>
      <c r="AC47" s="1149"/>
      <c r="AD47" s="1750">
        <v>280</v>
      </c>
      <c r="AE47" s="6259" t="s">
        <v>1742</v>
      </c>
      <c r="AF47" s="6186"/>
      <c r="AG47" s="6260" t="str">
        <f>IF(AD38=0,"",VLOOKUP(AD38,'Tablas psiquica'!$D$7:$R$145,13,FALSE))</f>
        <v/>
      </c>
      <c r="AH47" s="6261"/>
      <c r="AI47" s="6261"/>
      <c r="AJ47" s="6262"/>
      <c r="AK47" s="697"/>
      <c r="AL47" s="1750">
        <v>280</v>
      </c>
      <c r="AM47" s="6259" t="s">
        <v>1742</v>
      </c>
      <c r="AN47" s="6186"/>
      <c r="AO47" s="6260" t="str">
        <f>IF(AL38=0,"",VLOOKUP(AL38,'Tablas psiquica'!$D$7:$R$145,13,FALSE))</f>
        <v/>
      </c>
      <c r="AP47" s="6261"/>
      <c r="AQ47" s="6261"/>
      <c r="AR47" s="6262"/>
      <c r="AS47" s="1149"/>
      <c r="AT47" s="1750">
        <v>280</v>
      </c>
      <c r="AU47" s="6259" t="s">
        <v>1742</v>
      </c>
      <c r="AV47" s="6186"/>
      <c r="AW47" s="6260" t="str">
        <f>IF(AT38=0,"",VLOOKUP(AT38,'Tablas psiquica'!$D$7:$R$145,13,FALSE))</f>
        <v/>
      </c>
      <c r="AX47" s="6261"/>
      <c r="AY47" s="6261"/>
      <c r="AZ47" s="6262"/>
      <c r="BA47" s="426"/>
      <c r="BB47" s="420"/>
      <c r="BC47" s="420"/>
      <c r="BD47" s="1149"/>
      <c r="BE47" s="1750">
        <v>280</v>
      </c>
      <c r="BF47" s="6259" t="s">
        <v>1742</v>
      </c>
      <c r="BG47" s="6186"/>
      <c r="BH47" s="6260" t="str">
        <f>IF(BE38=0,"",VLOOKUP(BE38,'Tablas psiquica'!$D$7:$R$145,13,FALSE))</f>
        <v/>
      </c>
      <c r="BI47" s="6261"/>
      <c r="BJ47" s="6261"/>
      <c r="BK47" s="6262"/>
      <c r="BL47" s="697"/>
      <c r="BM47" s="1750">
        <v>280</v>
      </c>
      <c r="BN47" s="6259" t="s">
        <v>1742</v>
      </c>
      <c r="BO47" s="6186"/>
      <c r="BP47" s="6260" t="str">
        <f>IF(BM38=0,"",VLOOKUP(BM38,'Tablas psiquica'!$D$7:$R$145,13,FALSE))</f>
        <v/>
      </c>
      <c r="BQ47" s="6261"/>
      <c r="BR47" s="6261"/>
      <c r="BS47" s="6262"/>
      <c r="BT47" s="1149"/>
      <c r="BU47" s="1750">
        <v>280</v>
      </c>
      <c r="BV47" s="6259" t="s">
        <v>1742</v>
      </c>
      <c r="BW47" s="6186"/>
      <c r="BX47" s="6260" t="str">
        <f>IF(BU38=0,"",VLOOKUP(BU38,'Tablas psiquica'!$D$7:$R$145,13,FALSE))</f>
        <v/>
      </c>
      <c r="BY47" s="6261"/>
      <c r="BZ47" s="6261"/>
      <c r="CA47" s="6262"/>
      <c r="CB47" s="426"/>
      <c r="CC47" s="420"/>
      <c r="CD47" s="420"/>
      <c r="CE47" s="1149"/>
      <c r="CF47" s="1750">
        <v>280</v>
      </c>
      <c r="CG47" s="6259" t="s">
        <v>1742</v>
      </c>
      <c r="CH47" s="6186"/>
      <c r="CI47" s="6260" t="str">
        <f>IF(CF38=0,"",VLOOKUP(CF38,'Tablas psiquica'!$D$7:$R$145,13,FALSE))</f>
        <v/>
      </c>
      <c r="CJ47" s="6261"/>
      <c r="CK47" s="6261"/>
      <c r="CL47" s="6262"/>
      <c r="CM47" s="697"/>
      <c r="CN47" s="1750">
        <v>280</v>
      </c>
      <c r="CO47" s="6259" t="s">
        <v>1742</v>
      </c>
      <c r="CP47" s="6186"/>
      <c r="CQ47" s="6260" t="str">
        <f>IF(CN38=0,"",VLOOKUP(CN38,'Tablas psiquica'!$D$7:$R$145,13,FALSE))</f>
        <v/>
      </c>
      <c r="CR47" s="6261"/>
      <c r="CS47" s="6261"/>
      <c r="CT47" s="6262"/>
      <c r="CU47" s="1149"/>
      <c r="CV47" s="1750">
        <v>280</v>
      </c>
      <c r="CW47" s="6259" t="s">
        <v>1742</v>
      </c>
      <c r="CX47" s="6186"/>
      <c r="CY47" s="6260" t="str">
        <f>IF(CV38=0,"",VLOOKUP(CV38,'Tablas psiquica'!$D$7:$R$145,13,FALSE))</f>
        <v/>
      </c>
      <c r="CZ47" s="6261"/>
      <c r="DA47" s="6261"/>
      <c r="DB47" s="6262"/>
      <c r="DC47" s="426"/>
      <c r="DD47" s="420"/>
    </row>
    <row r="48" spans="1:108" ht="12" customHeight="1" x14ac:dyDescent="0.2">
      <c r="A48" s="420"/>
      <c r="B48" s="1149"/>
      <c r="C48" s="1751">
        <v>320</v>
      </c>
      <c r="D48" s="6257" t="s">
        <v>1744</v>
      </c>
      <c r="E48" s="6191"/>
      <c r="F48" s="6258" t="str">
        <f>IF(C38=0,"",VLOOKUP(C38,'Tablas psiquica'!$D$7:$R$145,14,FALSE))</f>
        <v/>
      </c>
      <c r="G48" s="5838"/>
      <c r="H48" s="5838"/>
      <c r="I48" s="5867"/>
      <c r="J48" s="697"/>
      <c r="K48" s="1751">
        <v>320</v>
      </c>
      <c r="L48" s="6257" t="s">
        <v>1744</v>
      </c>
      <c r="M48" s="6191"/>
      <c r="N48" s="6258" t="str">
        <f>IF(K38=0,"",VLOOKUP(K38,'Tablas psiquica'!$D$7:$R$145,14,FALSE))</f>
        <v/>
      </c>
      <c r="O48" s="5838"/>
      <c r="P48" s="5838"/>
      <c r="Q48" s="5867"/>
      <c r="R48" s="1149"/>
      <c r="S48" s="1751">
        <v>320</v>
      </c>
      <c r="T48" s="6257" t="s">
        <v>1744</v>
      </c>
      <c r="U48" s="6191"/>
      <c r="V48" s="6258" t="str">
        <f>IF(S38=0,"",VLOOKUP(S38,'Tablas psiquica'!$D$7:$R$145,14,FALSE))</f>
        <v/>
      </c>
      <c r="W48" s="5838"/>
      <c r="X48" s="5838"/>
      <c r="Y48" s="5867"/>
      <c r="Z48" s="426"/>
      <c r="AA48" s="420"/>
      <c r="AB48" s="420"/>
      <c r="AC48" s="1149"/>
      <c r="AD48" s="1751">
        <v>320</v>
      </c>
      <c r="AE48" s="6257" t="s">
        <v>1744</v>
      </c>
      <c r="AF48" s="6191"/>
      <c r="AG48" s="6258" t="str">
        <f>IF(AD38=0,"",VLOOKUP(AD38,'Tablas psiquica'!$D$7:$R$145,14,FALSE))</f>
        <v/>
      </c>
      <c r="AH48" s="5838"/>
      <c r="AI48" s="5838"/>
      <c r="AJ48" s="5867"/>
      <c r="AK48" s="697"/>
      <c r="AL48" s="1751">
        <v>320</v>
      </c>
      <c r="AM48" s="6257" t="s">
        <v>1744</v>
      </c>
      <c r="AN48" s="6191"/>
      <c r="AO48" s="6258" t="str">
        <f>IF(AL38=0,"",VLOOKUP(AL38,'Tablas psiquica'!$D$7:$R$145,14,FALSE))</f>
        <v/>
      </c>
      <c r="AP48" s="5838"/>
      <c r="AQ48" s="5838"/>
      <c r="AR48" s="5867"/>
      <c r="AS48" s="1149"/>
      <c r="AT48" s="1751">
        <v>320</v>
      </c>
      <c r="AU48" s="6257" t="s">
        <v>1744</v>
      </c>
      <c r="AV48" s="6191"/>
      <c r="AW48" s="6258" t="str">
        <f>IF(AT38=0,"",VLOOKUP(AT38,'Tablas psiquica'!$D$7:$R$145,14,FALSE))</f>
        <v/>
      </c>
      <c r="AX48" s="5838"/>
      <c r="AY48" s="5838"/>
      <c r="AZ48" s="5867"/>
      <c r="BA48" s="426"/>
      <c r="BB48" s="420"/>
      <c r="BC48" s="420"/>
      <c r="BD48" s="1149"/>
      <c r="BE48" s="1751">
        <v>320</v>
      </c>
      <c r="BF48" s="6257" t="s">
        <v>1744</v>
      </c>
      <c r="BG48" s="6191"/>
      <c r="BH48" s="6258" t="str">
        <f>IF(BE38=0,"",VLOOKUP(BE38,'Tablas psiquica'!$D$7:$R$145,14,FALSE))</f>
        <v/>
      </c>
      <c r="BI48" s="5838"/>
      <c r="BJ48" s="5838"/>
      <c r="BK48" s="5867"/>
      <c r="BL48" s="697"/>
      <c r="BM48" s="1751">
        <v>320</v>
      </c>
      <c r="BN48" s="6257" t="s">
        <v>1744</v>
      </c>
      <c r="BO48" s="6191"/>
      <c r="BP48" s="6258" t="str">
        <f>IF(BM38=0,"",VLOOKUP(BM38,'Tablas psiquica'!$D$7:$R$145,14,FALSE))</f>
        <v/>
      </c>
      <c r="BQ48" s="5838"/>
      <c r="BR48" s="5838"/>
      <c r="BS48" s="5867"/>
      <c r="BT48" s="1149"/>
      <c r="BU48" s="1751">
        <v>320</v>
      </c>
      <c r="BV48" s="6257" t="s">
        <v>1744</v>
      </c>
      <c r="BW48" s="6191"/>
      <c r="BX48" s="6258" t="str">
        <f>IF(BU38=0,"",VLOOKUP(BU38,'Tablas psiquica'!$D$7:$R$145,14,FALSE))</f>
        <v/>
      </c>
      <c r="BY48" s="5838"/>
      <c r="BZ48" s="5838"/>
      <c r="CA48" s="5867"/>
      <c r="CB48" s="426"/>
      <c r="CC48" s="420"/>
      <c r="CD48" s="420"/>
      <c r="CE48" s="1149"/>
      <c r="CF48" s="1751">
        <v>320</v>
      </c>
      <c r="CG48" s="6257" t="s">
        <v>1744</v>
      </c>
      <c r="CH48" s="6191"/>
      <c r="CI48" s="6258" t="str">
        <f>IF(CF38=0,"",VLOOKUP(CF38,'Tablas psiquica'!$D$7:$R$145,14,FALSE))</f>
        <v/>
      </c>
      <c r="CJ48" s="5838"/>
      <c r="CK48" s="5838"/>
      <c r="CL48" s="5867"/>
      <c r="CM48" s="697"/>
      <c r="CN48" s="1751">
        <v>320</v>
      </c>
      <c r="CO48" s="6257" t="s">
        <v>1744</v>
      </c>
      <c r="CP48" s="6191"/>
      <c r="CQ48" s="6258" t="str">
        <f>IF(CN38=0,"",VLOOKUP(CN38,'Tablas psiquica'!$D$7:$R$145,14,FALSE))</f>
        <v/>
      </c>
      <c r="CR48" s="5838"/>
      <c r="CS48" s="5838"/>
      <c r="CT48" s="5867"/>
      <c r="CU48" s="1149"/>
      <c r="CV48" s="1751">
        <v>320</v>
      </c>
      <c r="CW48" s="6257" t="s">
        <v>1744</v>
      </c>
      <c r="CX48" s="6191"/>
      <c r="CY48" s="6258" t="str">
        <f>IF(CV38=0,"",VLOOKUP(CV38,'Tablas psiquica'!$D$7:$R$145,14,FALSE))</f>
        <v/>
      </c>
      <c r="CZ48" s="5838"/>
      <c r="DA48" s="5838"/>
      <c r="DB48" s="5867"/>
      <c r="DC48" s="426"/>
      <c r="DD48" s="420"/>
    </row>
    <row r="49" spans="1:108" ht="12" customHeight="1" x14ac:dyDescent="0.2">
      <c r="A49" s="420"/>
      <c r="B49" s="1149"/>
      <c r="C49" s="452">
        <v>440</v>
      </c>
      <c r="D49" s="6255" t="s">
        <v>1687</v>
      </c>
      <c r="E49" s="6256"/>
      <c r="F49" s="6252" t="str">
        <f>IF(C38=0,"",VLOOKUP(C38,'Tablas psiquica'!$D$7:$R$145,15,FALSE))</f>
        <v/>
      </c>
      <c r="G49" s="6253"/>
      <c r="H49" s="6253"/>
      <c r="I49" s="6254"/>
      <c r="J49" s="697"/>
      <c r="K49" s="452">
        <v>440</v>
      </c>
      <c r="L49" s="6255" t="s">
        <v>1687</v>
      </c>
      <c r="M49" s="6256"/>
      <c r="N49" s="6252" t="str">
        <f>IF(K38=0,"",VLOOKUP(K38,'Tablas psiquica'!$D$7:$R$145,15,FALSE))</f>
        <v/>
      </c>
      <c r="O49" s="6253"/>
      <c r="P49" s="6253"/>
      <c r="Q49" s="6254"/>
      <c r="R49" s="1149"/>
      <c r="S49" s="452">
        <v>440</v>
      </c>
      <c r="T49" s="6255" t="s">
        <v>1687</v>
      </c>
      <c r="U49" s="6256"/>
      <c r="V49" s="6252" t="str">
        <f>IF(S38=0,"",VLOOKUP(S38,'Tablas psiquica'!$D$7:$R$145,15,FALSE))</f>
        <v/>
      </c>
      <c r="W49" s="6253"/>
      <c r="X49" s="6253"/>
      <c r="Y49" s="6254"/>
      <c r="Z49" s="426"/>
      <c r="AA49" s="420"/>
      <c r="AB49" s="420"/>
      <c r="AC49" s="1149"/>
      <c r="AD49" s="452">
        <v>440</v>
      </c>
      <c r="AE49" s="6255" t="s">
        <v>1687</v>
      </c>
      <c r="AF49" s="6256"/>
      <c r="AG49" s="6252" t="str">
        <f>IF(AD38=0,"",VLOOKUP(AD38,'Tablas psiquica'!$D$7:$R$145,15,FALSE))</f>
        <v/>
      </c>
      <c r="AH49" s="6253"/>
      <c r="AI49" s="6253"/>
      <c r="AJ49" s="6254"/>
      <c r="AK49" s="697"/>
      <c r="AL49" s="452">
        <v>440</v>
      </c>
      <c r="AM49" s="6255" t="s">
        <v>1687</v>
      </c>
      <c r="AN49" s="6256"/>
      <c r="AO49" s="6252" t="str">
        <f>IF(AL38=0,"",VLOOKUP(AL38,'Tablas psiquica'!$D$7:$R$145,15,FALSE))</f>
        <v/>
      </c>
      <c r="AP49" s="6253"/>
      <c r="AQ49" s="6253"/>
      <c r="AR49" s="6254"/>
      <c r="AS49" s="1149"/>
      <c r="AT49" s="452">
        <v>440</v>
      </c>
      <c r="AU49" s="6255" t="s">
        <v>1687</v>
      </c>
      <c r="AV49" s="6256"/>
      <c r="AW49" s="6252" t="str">
        <f>IF(AT38=0,"",VLOOKUP(AT38,'Tablas psiquica'!$D$7:$R$145,15,FALSE))</f>
        <v/>
      </c>
      <c r="AX49" s="6253"/>
      <c r="AY49" s="6253"/>
      <c r="AZ49" s="6254"/>
      <c r="BA49" s="426"/>
      <c r="BB49" s="420"/>
      <c r="BC49" s="420"/>
      <c r="BD49" s="1149"/>
      <c r="BE49" s="452">
        <v>440</v>
      </c>
      <c r="BF49" s="6255" t="s">
        <v>1687</v>
      </c>
      <c r="BG49" s="6256"/>
      <c r="BH49" s="6252" t="str">
        <f>IF(BE38=0,"",VLOOKUP(BE38,'Tablas psiquica'!$D$7:$R$145,15,FALSE))</f>
        <v/>
      </c>
      <c r="BI49" s="6253"/>
      <c r="BJ49" s="6253"/>
      <c r="BK49" s="6254"/>
      <c r="BL49" s="697"/>
      <c r="BM49" s="452">
        <v>440</v>
      </c>
      <c r="BN49" s="6255" t="s">
        <v>1687</v>
      </c>
      <c r="BO49" s="6256"/>
      <c r="BP49" s="6252" t="str">
        <f>IF(BM38=0,"",VLOOKUP(BM38,'Tablas psiquica'!$D$7:$R$145,15,FALSE))</f>
        <v/>
      </c>
      <c r="BQ49" s="6253"/>
      <c r="BR49" s="6253"/>
      <c r="BS49" s="6254"/>
      <c r="BT49" s="1149"/>
      <c r="BU49" s="452">
        <v>440</v>
      </c>
      <c r="BV49" s="6255" t="s">
        <v>1687</v>
      </c>
      <c r="BW49" s="6256"/>
      <c r="BX49" s="6252" t="str">
        <f>IF(BU38=0,"",VLOOKUP(BU38,'Tablas psiquica'!$D$7:$R$145,15,FALSE))</f>
        <v/>
      </c>
      <c r="BY49" s="6253"/>
      <c r="BZ49" s="6253"/>
      <c r="CA49" s="6254"/>
      <c r="CB49" s="426"/>
      <c r="CC49" s="420"/>
      <c r="CD49" s="420"/>
      <c r="CE49" s="1149"/>
      <c r="CF49" s="452">
        <v>440</v>
      </c>
      <c r="CG49" s="6255" t="s">
        <v>1687</v>
      </c>
      <c r="CH49" s="6256"/>
      <c r="CI49" s="6252" t="str">
        <f>IF(CF38=0,"",VLOOKUP(CF38,'Tablas psiquica'!$D$7:$R$145,15,FALSE))</f>
        <v/>
      </c>
      <c r="CJ49" s="6253"/>
      <c r="CK49" s="6253"/>
      <c r="CL49" s="6254"/>
      <c r="CM49" s="697"/>
      <c r="CN49" s="452">
        <v>440</v>
      </c>
      <c r="CO49" s="6255" t="s">
        <v>1687</v>
      </c>
      <c r="CP49" s="6256"/>
      <c r="CQ49" s="6252" t="str">
        <f>IF(CN38=0,"",VLOOKUP(CN38,'Tablas psiquica'!$D$7:$R$145,15,FALSE))</f>
        <v/>
      </c>
      <c r="CR49" s="6253"/>
      <c r="CS49" s="6253"/>
      <c r="CT49" s="6254"/>
      <c r="CU49" s="1149"/>
      <c r="CV49" s="452">
        <v>440</v>
      </c>
      <c r="CW49" s="6255" t="s">
        <v>1687</v>
      </c>
      <c r="CX49" s="6256"/>
      <c r="CY49" s="6252" t="str">
        <f>IF(CV38=0,"",VLOOKUP(CV38,'Tablas psiquica'!$D$7:$R$145,15,FALSE))</f>
        <v/>
      </c>
      <c r="CZ49" s="6253"/>
      <c r="DA49" s="6253"/>
      <c r="DB49" s="6254"/>
      <c r="DC49" s="426"/>
      <c r="DD49" s="420"/>
    </row>
    <row r="50" spans="1:108" ht="12" customHeight="1" thickBot="1" x14ac:dyDescent="0.25">
      <c r="A50" s="420"/>
      <c r="B50" s="1149"/>
      <c r="C50" s="6247" t="s">
        <v>6337</v>
      </c>
      <c r="D50" s="6248"/>
      <c r="E50" s="453" t="str">
        <f>IF(C38=0,"",VLOOKUP(C38,'Tablas psiquica'!$D$7:$R$145,4,FALSE))</f>
        <v/>
      </c>
      <c r="F50" s="6249" t="s">
        <v>6332</v>
      </c>
      <c r="G50" s="6249"/>
      <c r="H50" s="6250" t="str">
        <f>IF(C38=0,"",VLOOKUP(C38,'Tablas psiquica'!$D$7:$R$145,5,FALSE))</f>
        <v/>
      </c>
      <c r="I50" s="6251"/>
      <c r="J50" s="697"/>
      <c r="K50" s="6247" t="s">
        <v>6337</v>
      </c>
      <c r="L50" s="6248"/>
      <c r="M50" s="453" t="str">
        <f>IF(K38=0,"",VLOOKUP(K38,'Tablas psiquica'!$D$7:$R$145,4,FALSE))</f>
        <v/>
      </c>
      <c r="N50" s="6249" t="s">
        <v>6332</v>
      </c>
      <c r="O50" s="6249"/>
      <c r="P50" s="6250" t="str">
        <f>IF(K38=0,"",VLOOKUP(K38,'Tablas psiquica'!$D$7:$R$145,5,FALSE))</f>
        <v/>
      </c>
      <c r="Q50" s="6251"/>
      <c r="R50" s="1149"/>
      <c r="S50" s="6247" t="s">
        <v>6337</v>
      </c>
      <c r="T50" s="6248"/>
      <c r="U50" s="453" t="str">
        <f>IF(S38=0,"",VLOOKUP(S38,'Tablas psiquica'!$D$7:$R$145,4,FALSE))</f>
        <v/>
      </c>
      <c r="V50" s="6249" t="s">
        <v>6332</v>
      </c>
      <c r="W50" s="6249"/>
      <c r="X50" s="6250" t="str">
        <f>IF(S38=0,"",VLOOKUP(S38,'Tablas psiquica'!$D$7:$R$145,5,FALSE))</f>
        <v/>
      </c>
      <c r="Y50" s="6251"/>
      <c r="Z50" s="426"/>
      <c r="AA50" s="420"/>
      <c r="AB50" s="420"/>
      <c r="AC50" s="1149"/>
      <c r="AD50" s="6247" t="s">
        <v>6337</v>
      </c>
      <c r="AE50" s="6248"/>
      <c r="AF50" s="453" t="str">
        <f>IF(AD38=0,"",VLOOKUP(AD38,'Tablas psiquica'!$D$7:$R$145,4,FALSE))</f>
        <v/>
      </c>
      <c r="AG50" s="6249" t="s">
        <v>6332</v>
      </c>
      <c r="AH50" s="6249"/>
      <c r="AI50" s="6250" t="str">
        <f>IF(AD38=0,"",VLOOKUP(AD38,'Tablas psiquica'!$D$7:$R$145,5,FALSE))</f>
        <v/>
      </c>
      <c r="AJ50" s="6251"/>
      <c r="AK50" s="697"/>
      <c r="AL50" s="6247" t="s">
        <v>6337</v>
      </c>
      <c r="AM50" s="6248"/>
      <c r="AN50" s="453" t="str">
        <f>IF(AL38=0,"",VLOOKUP(AL38,'Tablas psiquica'!$D$7:$R$145,4,FALSE))</f>
        <v/>
      </c>
      <c r="AO50" s="6249" t="s">
        <v>6332</v>
      </c>
      <c r="AP50" s="6249"/>
      <c r="AQ50" s="6250" t="str">
        <f>IF(AL38=0,"",VLOOKUP(AL38,'Tablas psiquica'!$D$7:$R$145,5,FALSE))</f>
        <v/>
      </c>
      <c r="AR50" s="6251"/>
      <c r="AS50" s="1149"/>
      <c r="AT50" s="6247" t="s">
        <v>6337</v>
      </c>
      <c r="AU50" s="6248"/>
      <c r="AV50" s="453" t="str">
        <f>IF(AT38=0,"",VLOOKUP(AT38,'Tablas psiquica'!$D$7:$R$145,4,FALSE))</f>
        <v/>
      </c>
      <c r="AW50" s="6249" t="s">
        <v>6332</v>
      </c>
      <c r="AX50" s="6249"/>
      <c r="AY50" s="6250" t="str">
        <f>IF(AT38=0,"",VLOOKUP(AT38,'Tablas psiquica'!$D$7:$R$145,5,FALSE))</f>
        <v/>
      </c>
      <c r="AZ50" s="6251"/>
      <c r="BA50" s="426"/>
      <c r="BB50" s="420"/>
      <c r="BC50" s="420"/>
      <c r="BD50" s="1149"/>
      <c r="BE50" s="6247" t="s">
        <v>6337</v>
      </c>
      <c r="BF50" s="6248"/>
      <c r="BG50" s="453" t="str">
        <f>IF(BE38=0,"",VLOOKUP(BE38,'Tablas psiquica'!$D$7:$R$145,4,FALSE))</f>
        <v/>
      </c>
      <c r="BH50" s="6249" t="s">
        <v>6332</v>
      </c>
      <c r="BI50" s="6249"/>
      <c r="BJ50" s="6250" t="str">
        <f>IF(BE38=0,"",VLOOKUP(BE38,'Tablas psiquica'!$D$7:$R$145,5,FALSE))</f>
        <v/>
      </c>
      <c r="BK50" s="6251"/>
      <c r="BL50" s="697"/>
      <c r="BM50" s="6247" t="s">
        <v>6337</v>
      </c>
      <c r="BN50" s="6248"/>
      <c r="BO50" s="453" t="str">
        <f>IF(BM38=0,"",VLOOKUP(BM38,'Tablas psiquica'!$D$7:$R$145,4,FALSE))</f>
        <v/>
      </c>
      <c r="BP50" s="6249" t="s">
        <v>6332</v>
      </c>
      <c r="BQ50" s="6249"/>
      <c r="BR50" s="6250" t="str">
        <f>IF(BM38=0,"",VLOOKUP(BM38,'Tablas psiquica'!$D$7:$R$145,5,FALSE))</f>
        <v/>
      </c>
      <c r="BS50" s="6251"/>
      <c r="BT50" s="1149"/>
      <c r="BU50" s="6247" t="s">
        <v>6337</v>
      </c>
      <c r="BV50" s="6248"/>
      <c r="BW50" s="453" t="str">
        <f>IF(BU38=0,"",VLOOKUP(BU38,'Tablas psiquica'!$D$7:$R$145,4,FALSE))</f>
        <v/>
      </c>
      <c r="BX50" s="6249" t="s">
        <v>6332</v>
      </c>
      <c r="BY50" s="6249"/>
      <c r="BZ50" s="6250" t="str">
        <f>IF(BU38=0,"",VLOOKUP(BU38,'Tablas psiquica'!$D$7:$R$145,5,FALSE))</f>
        <v/>
      </c>
      <c r="CA50" s="6251"/>
      <c r="CB50" s="426"/>
      <c r="CC50" s="420"/>
      <c r="CD50" s="420"/>
      <c r="CE50" s="1149"/>
      <c r="CF50" s="6247" t="s">
        <v>6337</v>
      </c>
      <c r="CG50" s="6248"/>
      <c r="CH50" s="453" t="str">
        <f>IF(CF38=0,"",VLOOKUP(CF38,'Tablas psiquica'!$D$7:$R$145,4,FALSE))</f>
        <v/>
      </c>
      <c r="CI50" s="6249" t="s">
        <v>6332</v>
      </c>
      <c r="CJ50" s="6249"/>
      <c r="CK50" s="6250" t="str">
        <f>IF(CF38=0,"",VLOOKUP(CF38,'Tablas psiquica'!$D$7:$R$145,5,FALSE))</f>
        <v/>
      </c>
      <c r="CL50" s="6251"/>
      <c r="CM50" s="697"/>
      <c r="CN50" s="6247" t="s">
        <v>6337</v>
      </c>
      <c r="CO50" s="6248"/>
      <c r="CP50" s="453" t="str">
        <f>IF(CN38=0,"",VLOOKUP(CN38,'Tablas psiquica'!$D$7:$R$145,4,FALSE))</f>
        <v/>
      </c>
      <c r="CQ50" s="6249" t="s">
        <v>6332</v>
      </c>
      <c r="CR50" s="6249"/>
      <c r="CS50" s="6250" t="str">
        <f>IF(CN38=0,"",VLOOKUP(CN38,'Tablas psiquica'!$D$7:$R$145,5,FALSE))</f>
        <v/>
      </c>
      <c r="CT50" s="6251"/>
      <c r="CU50" s="1149"/>
      <c r="CV50" s="6247" t="s">
        <v>6337</v>
      </c>
      <c r="CW50" s="6248"/>
      <c r="CX50" s="453" t="str">
        <f>IF(CV38=0,"",VLOOKUP(CV38,'Tablas psiquica'!$D$7:$R$145,4,FALSE))</f>
        <v/>
      </c>
      <c r="CY50" s="6249" t="s">
        <v>6332</v>
      </c>
      <c r="CZ50" s="6249"/>
      <c r="DA50" s="6250" t="str">
        <f>IF(CV38=0,"",VLOOKUP(CV38,'Tablas psiquica'!$D$7:$R$145,5,FALSE))</f>
        <v/>
      </c>
      <c r="DB50" s="6251"/>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68">
        <f>IFERROR(INDEX('Tablas psiquica'!$U$115:$AH$129,B52,Y$7),0)</f>
        <v>0</v>
      </c>
      <c r="D52" s="6269"/>
      <c r="E52" s="6269"/>
      <c r="F52" s="6269"/>
      <c r="G52" s="6269"/>
      <c r="H52" s="6269"/>
      <c r="I52" s="451" t="s">
        <v>1406</v>
      </c>
      <c r="J52" s="697">
        <v>11</v>
      </c>
      <c r="K52" s="6268">
        <f>IFERROR(INDEX('Tablas psiquica'!$U$115:$AH$129,J52,Y$7),0)</f>
        <v>0</v>
      </c>
      <c r="L52" s="6269"/>
      <c r="M52" s="6269"/>
      <c r="N52" s="6269"/>
      <c r="O52" s="6269"/>
      <c r="P52" s="6269"/>
      <c r="Q52" s="451" t="s">
        <v>1406</v>
      </c>
      <c r="R52" s="1149">
        <v>12</v>
      </c>
      <c r="S52" s="6268">
        <f>IFERROR(INDEX('Tablas psiquica'!$U$115:$AH$129,R52,Y$7),0)</f>
        <v>0</v>
      </c>
      <c r="T52" s="6269"/>
      <c r="U52" s="6269"/>
      <c r="V52" s="6269"/>
      <c r="W52" s="6269"/>
      <c r="X52" s="6269"/>
      <c r="Y52" s="451" t="s">
        <v>1406</v>
      </c>
      <c r="Z52" s="426"/>
      <c r="AA52" s="420"/>
      <c r="AB52" s="420"/>
      <c r="AC52" s="1149">
        <v>10</v>
      </c>
      <c r="AD52" s="6268">
        <f>IFERROR(INDEX('Tablas psiquica'!$U$115:$AH$129,AC52,AZ$7),0)</f>
        <v>0</v>
      </c>
      <c r="AE52" s="6269"/>
      <c r="AF52" s="6269"/>
      <c r="AG52" s="6269"/>
      <c r="AH52" s="6269"/>
      <c r="AI52" s="6269"/>
      <c r="AJ52" s="451" t="s">
        <v>1406</v>
      </c>
      <c r="AK52" s="697">
        <v>11</v>
      </c>
      <c r="AL52" s="6268">
        <f>IFERROR(INDEX('Tablas psiquica'!$U$115:$AH$129,AK52,AZ$7),0)</f>
        <v>0</v>
      </c>
      <c r="AM52" s="6269"/>
      <c r="AN52" s="6269"/>
      <c r="AO52" s="6269"/>
      <c r="AP52" s="6269"/>
      <c r="AQ52" s="6269"/>
      <c r="AR52" s="451" t="s">
        <v>1406</v>
      </c>
      <c r="AS52" s="1149">
        <v>12</v>
      </c>
      <c r="AT52" s="6268">
        <f>IFERROR(INDEX('Tablas psiquica'!$U$115:$AH$129,AS52,AZ$7),0)</f>
        <v>0</v>
      </c>
      <c r="AU52" s="6269"/>
      <c r="AV52" s="6269"/>
      <c r="AW52" s="6269"/>
      <c r="AX52" s="6269"/>
      <c r="AY52" s="6269"/>
      <c r="AZ52" s="451" t="s">
        <v>1406</v>
      </c>
      <c r="BA52" s="426"/>
      <c r="BB52" s="420"/>
      <c r="BC52" s="420"/>
      <c r="BD52" s="1149">
        <v>10</v>
      </c>
      <c r="BE52" s="6268">
        <f>IFERROR(INDEX('Tablas psiquica'!$U$115:$AH$129,BD52,CA$7),0)</f>
        <v>0</v>
      </c>
      <c r="BF52" s="6269"/>
      <c r="BG52" s="6269"/>
      <c r="BH52" s="6269"/>
      <c r="BI52" s="6269"/>
      <c r="BJ52" s="6269"/>
      <c r="BK52" s="451" t="s">
        <v>1406</v>
      </c>
      <c r="BL52" s="697">
        <v>11</v>
      </c>
      <c r="BM52" s="6268">
        <f>IFERROR(INDEX('Tablas psiquica'!$U$115:$AH$129,BL52,CA$7),0)</f>
        <v>0</v>
      </c>
      <c r="BN52" s="6269"/>
      <c r="BO52" s="6269"/>
      <c r="BP52" s="6269"/>
      <c r="BQ52" s="6269"/>
      <c r="BR52" s="6269"/>
      <c r="BS52" s="451" t="s">
        <v>1406</v>
      </c>
      <c r="BT52" s="1149">
        <v>12</v>
      </c>
      <c r="BU52" s="6268">
        <f>IFERROR(INDEX('Tablas psiquica'!$U$115:$AH$129,BT52,CA$7),0)</f>
        <v>0</v>
      </c>
      <c r="BV52" s="6269"/>
      <c r="BW52" s="6269"/>
      <c r="BX52" s="6269"/>
      <c r="BY52" s="6269"/>
      <c r="BZ52" s="6269"/>
      <c r="CA52" s="451" t="s">
        <v>1406</v>
      </c>
      <c r="CB52" s="426"/>
      <c r="CC52" s="420"/>
      <c r="CD52" s="420"/>
      <c r="CE52" s="1149">
        <v>10</v>
      </c>
      <c r="CF52" s="6268">
        <f>IFERROR(INDEX('Tablas psiquica'!$U$115:$AH$129,CE52,DB$7),0)</f>
        <v>0</v>
      </c>
      <c r="CG52" s="6269"/>
      <c r="CH52" s="6269"/>
      <c r="CI52" s="6269"/>
      <c r="CJ52" s="6269"/>
      <c r="CK52" s="6269"/>
      <c r="CL52" s="451" t="s">
        <v>1406</v>
      </c>
      <c r="CM52" s="697">
        <v>11</v>
      </c>
      <c r="CN52" s="6268">
        <f>IFERROR(INDEX('Tablas psiquica'!$U$115:$AH$129,CM52,DB$7),0)</f>
        <v>0</v>
      </c>
      <c r="CO52" s="6269"/>
      <c r="CP52" s="6269"/>
      <c r="CQ52" s="6269"/>
      <c r="CR52" s="6269"/>
      <c r="CS52" s="6269"/>
      <c r="CT52" s="451" t="s">
        <v>1406</v>
      </c>
      <c r="CU52" s="1149">
        <v>12</v>
      </c>
      <c r="CV52" s="6268">
        <f>IFERROR(INDEX('Tablas psiquica'!$U$115:$AH$129,CU52,DB$7),0)</f>
        <v>0</v>
      </c>
      <c r="CW52" s="6269"/>
      <c r="CX52" s="6269"/>
      <c r="CY52" s="6269"/>
      <c r="CZ52" s="6269"/>
      <c r="DA52" s="6269"/>
      <c r="DB52" s="451" t="s">
        <v>1406</v>
      </c>
      <c r="DC52" s="426"/>
      <c r="DD52" s="420"/>
    </row>
    <row r="53" spans="1:108" ht="12" customHeight="1" x14ac:dyDescent="0.2">
      <c r="A53" s="420"/>
      <c r="B53" s="1149"/>
      <c r="C53" s="6263" t="str">
        <f>IF(C52=0,"",VLOOKUP(C52,'Tablas psiquica'!$D$7:$R$145,2,FALSE))</f>
        <v/>
      </c>
      <c r="D53" s="6264"/>
      <c r="E53" s="6264"/>
      <c r="F53" s="6265"/>
      <c r="G53" s="6266" t="str">
        <f>IF(C52=0,"",IF(INDEX('Tablas psiquica'!$U$114:$AH$114,1,$Y$7)=0,"No Accesible",IF(ISNA(VLOOKUP(C52,Psíquicos!$AS$17:$AS$43,1,0)),"Accesible CV","Aprendido")))</f>
        <v/>
      </c>
      <c r="H53" s="6267"/>
      <c r="I53" s="1790" t="str">
        <f>IF(C52=0,"",VLOOKUP(C52,'Tablas psiquica'!$D$7:$R$145,3,FALSE))</f>
        <v/>
      </c>
      <c r="J53" s="697"/>
      <c r="K53" s="6263" t="str">
        <f>IF(K52=0,"",VLOOKUP(K52,'Tablas psiquica'!$D$7:$R$145,2,FALSE))</f>
        <v/>
      </c>
      <c r="L53" s="6264"/>
      <c r="M53" s="6264"/>
      <c r="N53" s="6265"/>
      <c r="O53" s="6266" t="str">
        <f>IF(K52=0,"",IF(INDEX('Tablas psiquica'!$U$114:$AH$114,1,$Y$7)=0,"No Accesible",IF(ISNA(VLOOKUP(K52,Psíquicos!$AS$17:$AS$43,1,0)),"Accesible CV","Aprendido")))</f>
        <v/>
      </c>
      <c r="P53" s="6267"/>
      <c r="Q53" s="1790" t="str">
        <f>IF(K52=0,"",VLOOKUP(K52,'Tablas psiquica'!$D$7:$R$145,3,FALSE))</f>
        <v/>
      </c>
      <c r="R53" s="1149"/>
      <c r="S53" s="6263" t="str">
        <f>IF(S52=0,"",VLOOKUP(S52,'Tablas psiquica'!$D$7:$R$145,2,FALSE))</f>
        <v/>
      </c>
      <c r="T53" s="6264"/>
      <c r="U53" s="6264"/>
      <c r="V53" s="6265"/>
      <c r="W53" s="6266" t="str">
        <f>IF(S52=0,"",IF(INDEX('Tablas psiquica'!$U$114:$AH$114,1,$Y$7)=0,"No Accesible",IF(ISNA(VLOOKUP(S52,Psíquicos!$AS$17:$AS$43,1,0)),"Accesible CV","Aprendido")))</f>
        <v/>
      </c>
      <c r="X53" s="6267"/>
      <c r="Y53" s="1790" t="str">
        <f>IF(S52=0,"",VLOOKUP(S52,'Tablas psiquica'!$D$7:$R$145,3,FALSE))</f>
        <v/>
      </c>
      <c r="Z53" s="426"/>
      <c r="AA53" s="420"/>
      <c r="AB53" s="420"/>
      <c r="AC53" s="1149"/>
      <c r="AD53" s="6263" t="str">
        <f>IF(AD52=0,"",VLOOKUP(AD52,'Tablas psiquica'!$D$7:$R$145,2,FALSE))</f>
        <v/>
      </c>
      <c r="AE53" s="6264"/>
      <c r="AF53" s="6264"/>
      <c r="AG53" s="6265"/>
      <c r="AH53" s="6266" t="str">
        <f>IF(AD52=0,"",IF(INDEX('Tablas psiquica'!$U$114:$AH$114,1,$AZ$7)=0,"No Accesible",IF(ISNA(VLOOKUP(AD52,Psíquicos!$AS$17:$AS$43,1,0)),"Accesible CV","Aprendido")))</f>
        <v/>
      </c>
      <c r="AI53" s="6267"/>
      <c r="AJ53" s="1790" t="str">
        <f>IF(AD52=0,"",VLOOKUP(AD52,'Tablas psiquica'!$D$7:$R$145,3,FALSE))</f>
        <v/>
      </c>
      <c r="AK53" s="697"/>
      <c r="AL53" s="6263" t="str">
        <f>IF(AL52=0,"",VLOOKUP(AL52,'Tablas psiquica'!$D$7:$R$145,2,FALSE))</f>
        <v/>
      </c>
      <c r="AM53" s="6264"/>
      <c r="AN53" s="6264"/>
      <c r="AO53" s="6265"/>
      <c r="AP53" s="6266" t="str">
        <f>IF(AL52=0,"",IF(INDEX('Tablas psiquica'!$U$114:$AH$114,1,$AZ$7)=0,"No Accesible",IF(ISNA(VLOOKUP(AL52,Psíquicos!$AS$17:$AS$43,1,0)),"Accesible CV","Aprendido")))</f>
        <v/>
      </c>
      <c r="AQ53" s="6267"/>
      <c r="AR53" s="1790" t="str">
        <f>IF(AL52=0,"",VLOOKUP(AL52,'Tablas psiquica'!$D$7:$R$145,3,FALSE))</f>
        <v/>
      </c>
      <c r="AS53" s="1149"/>
      <c r="AT53" s="6263" t="str">
        <f>IF(AT52=0,"",VLOOKUP(AT52,'Tablas psiquica'!$D$7:$R$145,2,FALSE))</f>
        <v/>
      </c>
      <c r="AU53" s="6264"/>
      <c r="AV53" s="6264"/>
      <c r="AW53" s="6265"/>
      <c r="AX53" s="6266" t="str">
        <f>IF(AT52=0,"",IF(INDEX('Tablas psiquica'!$U$114:$AH$114,1,$AZ$7)=0,"No Accesible",IF(ISNA(VLOOKUP(AT52,Psíquicos!$AS$17:$AS$43,1,0)),"Accesible CV","Aprendido")))</f>
        <v/>
      </c>
      <c r="AY53" s="6267"/>
      <c r="AZ53" s="1790" t="str">
        <f>IF(AT52=0,"",VLOOKUP(AT52,'Tablas psiquica'!$D$7:$R$145,3,FALSE))</f>
        <v/>
      </c>
      <c r="BA53" s="426"/>
      <c r="BB53" s="420"/>
      <c r="BC53" s="420"/>
      <c r="BD53" s="1149"/>
      <c r="BE53" s="6263" t="str">
        <f>IF(BE52=0,"",VLOOKUP(BE52,'Tablas psiquica'!$D$7:$R$145,2,FALSE))</f>
        <v/>
      </c>
      <c r="BF53" s="6264"/>
      <c r="BG53" s="6264"/>
      <c r="BH53" s="6265"/>
      <c r="BI53" s="6266" t="str">
        <f>IF(BE52=0,"",IF(INDEX('Tablas psiquica'!$U$114:$AH$114,1,$CA$7)=0,"No Accesible",IF(ISNA(VLOOKUP(BE52,Psíquicos!$AS$17:$AS$43,1,0)),"Accesible CV","Aprendido")))</f>
        <v/>
      </c>
      <c r="BJ53" s="6267"/>
      <c r="BK53" s="1790" t="str">
        <f>IF(BE52=0,"",VLOOKUP(BE52,'Tablas psiquica'!$D$7:$R$145,3,FALSE))</f>
        <v/>
      </c>
      <c r="BL53" s="697"/>
      <c r="BM53" s="6263" t="str">
        <f>IF(BM52=0,"",VLOOKUP(BM52,'Tablas psiquica'!$D$7:$R$145,2,FALSE))</f>
        <v/>
      </c>
      <c r="BN53" s="6264"/>
      <c r="BO53" s="6264"/>
      <c r="BP53" s="6265"/>
      <c r="BQ53" s="6266" t="str">
        <f>IF(BM52=0,"",IF(INDEX('Tablas psiquica'!$U$114:$AH$114,1,$CA$7)=0,"No Accesible",IF(ISNA(VLOOKUP(BM52,Psíquicos!$AS$17:$AS$43,1,0)),"Accesible CV","Aprendido")))</f>
        <v/>
      </c>
      <c r="BR53" s="6267"/>
      <c r="BS53" s="1790" t="str">
        <f>IF(BM52=0,"",VLOOKUP(BM52,'Tablas psiquica'!$D$7:$R$145,3,FALSE))</f>
        <v/>
      </c>
      <c r="BT53" s="1149"/>
      <c r="BU53" s="6263" t="str">
        <f>IF(BU52=0,"",VLOOKUP(BU52,'Tablas psiquica'!$D$7:$R$145,2,FALSE))</f>
        <v/>
      </c>
      <c r="BV53" s="6264"/>
      <c r="BW53" s="6264"/>
      <c r="BX53" s="6265"/>
      <c r="BY53" s="6266" t="str">
        <f>IF(BU52=0,"",IF(INDEX('Tablas psiquica'!$U$114:$AH$114,1,$CA$7)=0,"No Accesible",IF(ISNA(VLOOKUP(BU52,Psíquicos!$AS$17:$AS$43,1,0)),"Accesible CV","Aprendido")))</f>
        <v/>
      </c>
      <c r="BZ53" s="6267"/>
      <c r="CA53" s="1790" t="str">
        <f>IF(BU52=0,"",VLOOKUP(BU52,'Tablas psiquica'!$D$7:$R$145,3,FALSE))</f>
        <v/>
      </c>
      <c r="CB53" s="426"/>
      <c r="CC53" s="420"/>
      <c r="CD53" s="420"/>
      <c r="CE53" s="1149"/>
      <c r="CF53" s="6263" t="str">
        <f>IF(CF52=0,"",VLOOKUP(CF52,'Tablas psiquica'!$D$7:$R$145,2,FALSE))</f>
        <v/>
      </c>
      <c r="CG53" s="6264"/>
      <c r="CH53" s="6264"/>
      <c r="CI53" s="6265"/>
      <c r="CJ53" s="6266" t="str">
        <f>IF(CF52=0,"",IF(INDEX('Tablas psiquica'!$U$114:$AH$114,1,$DB$7)=0,"No Accesible",IF(ISNA(VLOOKUP(CF52,Psíquicos!$AS$17:$AS$43,1,0)),"Accesible CV","Aprendido")))</f>
        <v/>
      </c>
      <c r="CK53" s="6267"/>
      <c r="CL53" s="1790" t="str">
        <f>IF(CF52=0,"",VLOOKUP(CF52,'Tablas psiquica'!$D$7:$R$145,3,FALSE))</f>
        <v/>
      </c>
      <c r="CM53" s="697"/>
      <c r="CN53" s="6263" t="str">
        <f>IF(CN52=0,"",VLOOKUP(CN52,'Tablas psiquica'!$D$7:$R$145,2,FALSE))</f>
        <v/>
      </c>
      <c r="CO53" s="6264"/>
      <c r="CP53" s="6264"/>
      <c r="CQ53" s="6265"/>
      <c r="CR53" s="6266" t="str">
        <f>IF(CN52=0,"",IF(INDEX('Tablas psiquica'!$U$114:$AH$114,1,$DB$7)=0,"No Accesible",IF(ISNA(VLOOKUP(CN52,Psíquicos!$AS$17:$AS$43,1,0)),"Accesible CV","Aprendido")))</f>
        <v/>
      </c>
      <c r="CS53" s="6267"/>
      <c r="CT53" s="1790" t="str">
        <f>IF(CN52=0,"",VLOOKUP(CN52,'Tablas psiquica'!$D$7:$R$145,3,FALSE))</f>
        <v/>
      </c>
      <c r="CU53" s="1149"/>
      <c r="CV53" s="6263" t="str">
        <f>IF(CV52=0,"",VLOOKUP(CV52,'Tablas psiquica'!$D$7:$R$145,2,FALSE))</f>
        <v/>
      </c>
      <c r="CW53" s="6264"/>
      <c r="CX53" s="6264"/>
      <c r="CY53" s="6265"/>
      <c r="CZ53" s="6266" t="str">
        <f>IF(CV52=0,"",IF(INDEX('Tablas psiquica'!$U$114:$AH$114,1,$DB$7)=0,"No Accesible",IF(ISNA(VLOOKUP(CV52,Psíquicos!$AS$17:$AS$43,1,0)),"Accesible CV","Aprendido")))</f>
        <v/>
      </c>
      <c r="DA53" s="6267"/>
      <c r="DB53" s="1790" t="str">
        <f>IF(CV52=0,"",VLOOKUP(CV52,'Tablas psiquica'!$D$7:$R$145,3,FALSE))</f>
        <v/>
      </c>
      <c r="DC53" s="426"/>
      <c r="DD53" s="420"/>
    </row>
    <row r="54" spans="1:108" ht="12" customHeight="1" x14ac:dyDescent="0.2">
      <c r="A54" s="420"/>
      <c r="B54" s="1149"/>
      <c r="C54" s="1751">
        <v>20</v>
      </c>
      <c r="D54" s="6257" t="s">
        <v>1727</v>
      </c>
      <c r="E54" s="6191"/>
      <c r="F54" s="6258" t="str">
        <f>IF(C52=0,"",VLOOKUP(C52,'Tablas psiquica'!$D$7:$R$145,6,FALSE))</f>
        <v/>
      </c>
      <c r="G54" s="5838"/>
      <c r="H54" s="5838"/>
      <c r="I54" s="5867"/>
      <c r="J54" s="697"/>
      <c r="K54" s="1751">
        <v>20</v>
      </c>
      <c r="L54" s="6257" t="s">
        <v>1727</v>
      </c>
      <c r="M54" s="6191"/>
      <c r="N54" s="6258" t="str">
        <f>IF(K52=0,"",VLOOKUP(K52,'Tablas psiquica'!$D$7:$R$145,6,FALSE))</f>
        <v/>
      </c>
      <c r="O54" s="5838"/>
      <c r="P54" s="5838"/>
      <c r="Q54" s="5867"/>
      <c r="R54" s="1149"/>
      <c r="S54" s="1751">
        <v>20</v>
      </c>
      <c r="T54" s="6257" t="s">
        <v>1727</v>
      </c>
      <c r="U54" s="6191"/>
      <c r="V54" s="6258" t="str">
        <f>IF(S52=0,"",VLOOKUP(S52,'Tablas psiquica'!$D$7:$R$145,6,FALSE))</f>
        <v/>
      </c>
      <c r="W54" s="5838"/>
      <c r="X54" s="5838"/>
      <c r="Y54" s="5867"/>
      <c r="Z54" s="426"/>
      <c r="AA54" s="420"/>
      <c r="AB54" s="420"/>
      <c r="AC54" s="1149"/>
      <c r="AD54" s="1751">
        <v>20</v>
      </c>
      <c r="AE54" s="6257" t="s">
        <v>1727</v>
      </c>
      <c r="AF54" s="6191"/>
      <c r="AG54" s="6258" t="str">
        <f>IF(AD52=0,"",VLOOKUP(AD52,'Tablas psiquica'!$D$7:$R$145,6,FALSE))</f>
        <v/>
      </c>
      <c r="AH54" s="5838"/>
      <c r="AI54" s="5838"/>
      <c r="AJ54" s="5867"/>
      <c r="AK54" s="697"/>
      <c r="AL54" s="1751">
        <v>20</v>
      </c>
      <c r="AM54" s="6257" t="s">
        <v>1727</v>
      </c>
      <c r="AN54" s="6191"/>
      <c r="AO54" s="6258" t="str">
        <f>IF(AL52=0,"",VLOOKUP(AL52,'Tablas psiquica'!$D$7:$R$145,6,FALSE))</f>
        <v/>
      </c>
      <c r="AP54" s="5838"/>
      <c r="AQ54" s="5838"/>
      <c r="AR54" s="5867"/>
      <c r="AS54" s="1149"/>
      <c r="AT54" s="1751">
        <v>20</v>
      </c>
      <c r="AU54" s="6257" t="s">
        <v>1727</v>
      </c>
      <c r="AV54" s="6191"/>
      <c r="AW54" s="6258" t="str">
        <f>IF(AT52=0,"",VLOOKUP(AT52,'Tablas psiquica'!$D$7:$R$145,6,FALSE))</f>
        <v/>
      </c>
      <c r="AX54" s="5838"/>
      <c r="AY54" s="5838"/>
      <c r="AZ54" s="5867"/>
      <c r="BA54" s="426"/>
      <c r="BB54" s="420"/>
      <c r="BC54" s="420"/>
      <c r="BD54" s="1149"/>
      <c r="BE54" s="1751">
        <v>20</v>
      </c>
      <c r="BF54" s="6257" t="s">
        <v>1727</v>
      </c>
      <c r="BG54" s="6191"/>
      <c r="BH54" s="6258" t="str">
        <f>IF(BE52=0,"",VLOOKUP(BE52,'Tablas psiquica'!$D$7:$R$145,6,FALSE))</f>
        <v/>
      </c>
      <c r="BI54" s="5838"/>
      <c r="BJ54" s="5838"/>
      <c r="BK54" s="5867"/>
      <c r="BL54" s="697"/>
      <c r="BM54" s="1751">
        <v>20</v>
      </c>
      <c r="BN54" s="6257" t="s">
        <v>1727</v>
      </c>
      <c r="BO54" s="6191"/>
      <c r="BP54" s="6258" t="str">
        <f>IF(BM52=0,"",VLOOKUP(BM52,'Tablas psiquica'!$D$7:$R$145,6,FALSE))</f>
        <v/>
      </c>
      <c r="BQ54" s="5838"/>
      <c r="BR54" s="5838"/>
      <c r="BS54" s="5867"/>
      <c r="BT54" s="1149"/>
      <c r="BU54" s="1751">
        <v>20</v>
      </c>
      <c r="BV54" s="6257" t="s">
        <v>1727</v>
      </c>
      <c r="BW54" s="6191"/>
      <c r="BX54" s="6258" t="str">
        <f>IF(BU52=0,"",VLOOKUP(BU52,'Tablas psiquica'!$D$7:$R$145,6,FALSE))</f>
        <v/>
      </c>
      <c r="BY54" s="5838"/>
      <c r="BZ54" s="5838"/>
      <c r="CA54" s="5867"/>
      <c r="CB54" s="426"/>
      <c r="CC54" s="420"/>
      <c r="CD54" s="420"/>
      <c r="CE54" s="1149"/>
      <c r="CF54" s="1751">
        <v>20</v>
      </c>
      <c r="CG54" s="6257" t="s">
        <v>1727</v>
      </c>
      <c r="CH54" s="6191"/>
      <c r="CI54" s="6258" t="str">
        <f>IF(CF52=0,"",VLOOKUP(CF52,'Tablas psiquica'!$D$7:$R$145,6,FALSE))</f>
        <v/>
      </c>
      <c r="CJ54" s="5838"/>
      <c r="CK54" s="5838"/>
      <c r="CL54" s="5867"/>
      <c r="CM54" s="697"/>
      <c r="CN54" s="1751">
        <v>20</v>
      </c>
      <c r="CO54" s="6257" t="s">
        <v>1727</v>
      </c>
      <c r="CP54" s="6191"/>
      <c r="CQ54" s="6258" t="str">
        <f>IF(CN52=0,"",VLOOKUP(CN52,'Tablas psiquica'!$D$7:$R$145,6,FALSE))</f>
        <v/>
      </c>
      <c r="CR54" s="5838"/>
      <c r="CS54" s="5838"/>
      <c r="CT54" s="5867"/>
      <c r="CU54" s="1149"/>
      <c r="CV54" s="1751">
        <v>20</v>
      </c>
      <c r="CW54" s="6257" t="s">
        <v>1727</v>
      </c>
      <c r="CX54" s="6191"/>
      <c r="CY54" s="6258" t="str">
        <f>IF(CV52=0,"",VLOOKUP(CV52,'Tablas psiquica'!$D$7:$R$145,6,FALSE))</f>
        <v/>
      </c>
      <c r="CZ54" s="5838"/>
      <c r="DA54" s="5838"/>
      <c r="DB54" s="5867"/>
      <c r="DC54" s="426"/>
      <c r="DD54" s="420"/>
    </row>
    <row r="55" spans="1:108" ht="12" customHeight="1" x14ac:dyDescent="0.2">
      <c r="A55" s="420"/>
      <c r="B55" s="1149"/>
      <c r="C55" s="1750">
        <v>40</v>
      </c>
      <c r="D55" s="6259" t="s">
        <v>1729</v>
      </c>
      <c r="E55" s="6186"/>
      <c r="F55" s="6260" t="str">
        <f>IF(C52=0,"",VLOOKUP(C52,'Tablas psiquica'!$D$7:$R$145,7,FALSE))</f>
        <v/>
      </c>
      <c r="G55" s="6261"/>
      <c r="H55" s="6261"/>
      <c r="I55" s="6262"/>
      <c r="J55" s="697"/>
      <c r="K55" s="1750">
        <v>40</v>
      </c>
      <c r="L55" s="6259" t="s">
        <v>1729</v>
      </c>
      <c r="M55" s="6186"/>
      <c r="N55" s="6260" t="str">
        <f>IF(K52=0,"",VLOOKUP(K52,'Tablas psiquica'!$D$7:$R$145,7,FALSE))</f>
        <v/>
      </c>
      <c r="O55" s="6261"/>
      <c r="P55" s="6261"/>
      <c r="Q55" s="6262"/>
      <c r="R55" s="1149"/>
      <c r="S55" s="1750">
        <v>40</v>
      </c>
      <c r="T55" s="6259" t="s">
        <v>1729</v>
      </c>
      <c r="U55" s="6186"/>
      <c r="V55" s="6260" t="str">
        <f>IF(S52=0,"",VLOOKUP(S52,'Tablas psiquica'!$D$7:$R$145,7,FALSE))</f>
        <v/>
      </c>
      <c r="W55" s="6261"/>
      <c r="X55" s="6261"/>
      <c r="Y55" s="6262"/>
      <c r="Z55" s="426"/>
      <c r="AA55" s="420"/>
      <c r="AB55" s="420"/>
      <c r="AC55" s="1149"/>
      <c r="AD55" s="1750">
        <v>40</v>
      </c>
      <c r="AE55" s="6259" t="s">
        <v>1729</v>
      </c>
      <c r="AF55" s="6186"/>
      <c r="AG55" s="6260" t="str">
        <f>IF(AD52=0,"",VLOOKUP(AD52,'Tablas psiquica'!$D$7:$R$145,7,FALSE))</f>
        <v/>
      </c>
      <c r="AH55" s="6261"/>
      <c r="AI55" s="6261"/>
      <c r="AJ55" s="6262"/>
      <c r="AK55" s="697"/>
      <c r="AL55" s="1750">
        <v>40</v>
      </c>
      <c r="AM55" s="6259" t="s">
        <v>1729</v>
      </c>
      <c r="AN55" s="6186"/>
      <c r="AO55" s="6260" t="str">
        <f>IF(AL52=0,"",VLOOKUP(AL52,'Tablas psiquica'!$D$7:$R$145,7,FALSE))</f>
        <v/>
      </c>
      <c r="AP55" s="6261"/>
      <c r="AQ55" s="6261"/>
      <c r="AR55" s="6262"/>
      <c r="AS55" s="1149"/>
      <c r="AT55" s="1750">
        <v>40</v>
      </c>
      <c r="AU55" s="6259" t="s">
        <v>1729</v>
      </c>
      <c r="AV55" s="6186"/>
      <c r="AW55" s="6260" t="str">
        <f>IF(AT52=0,"",VLOOKUP(AT52,'Tablas psiquica'!$D$7:$R$145,7,FALSE))</f>
        <v/>
      </c>
      <c r="AX55" s="6261"/>
      <c r="AY55" s="6261"/>
      <c r="AZ55" s="6262"/>
      <c r="BA55" s="426"/>
      <c r="BB55" s="420"/>
      <c r="BC55" s="420"/>
      <c r="BD55" s="1149"/>
      <c r="BE55" s="1750">
        <v>40</v>
      </c>
      <c r="BF55" s="6259" t="s">
        <v>1729</v>
      </c>
      <c r="BG55" s="6186"/>
      <c r="BH55" s="6260" t="str">
        <f>IF(BE52=0,"",VLOOKUP(BE52,'Tablas psiquica'!$D$7:$R$145,7,FALSE))</f>
        <v/>
      </c>
      <c r="BI55" s="6261"/>
      <c r="BJ55" s="6261"/>
      <c r="BK55" s="6262"/>
      <c r="BL55" s="697"/>
      <c r="BM55" s="1750">
        <v>40</v>
      </c>
      <c r="BN55" s="6259" t="s">
        <v>1729</v>
      </c>
      <c r="BO55" s="6186"/>
      <c r="BP55" s="6260" t="str">
        <f>IF(BM52=0,"",VLOOKUP(BM52,'Tablas psiquica'!$D$7:$R$145,7,FALSE))</f>
        <v/>
      </c>
      <c r="BQ55" s="6261"/>
      <c r="BR55" s="6261"/>
      <c r="BS55" s="6262"/>
      <c r="BT55" s="1149"/>
      <c r="BU55" s="1750">
        <v>40</v>
      </c>
      <c r="BV55" s="6259" t="s">
        <v>1729</v>
      </c>
      <c r="BW55" s="6186"/>
      <c r="BX55" s="6260" t="str">
        <f>IF(BU52=0,"",VLOOKUP(BU52,'Tablas psiquica'!$D$7:$R$145,7,FALSE))</f>
        <v/>
      </c>
      <c r="BY55" s="6261"/>
      <c r="BZ55" s="6261"/>
      <c r="CA55" s="6262"/>
      <c r="CB55" s="426"/>
      <c r="CC55" s="420"/>
      <c r="CD55" s="420"/>
      <c r="CE55" s="1149"/>
      <c r="CF55" s="1750">
        <v>40</v>
      </c>
      <c r="CG55" s="6259" t="s">
        <v>1729</v>
      </c>
      <c r="CH55" s="6186"/>
      <c r="CI55" s="6260" t="str">
        <f>IF(CF52=0,"",VLOOKUP(CF52,'Tablas psiquica'!$D$7:$R$145,7,FALSE))</f>
        <v/>
      </c>
      <c r="CJ55" s="6261"/>
      <c r="CK55" s="6261"/>
      <c r="CL55" s="6262"/>
      <c r="CM55" s="697"/>
      <c r="CN55" s="1750">
        <v>40</v>
      </c>
      <c r="CO55" s="6259" t="s">
        <v>1729</v>
      </c>
      <c r="CP55" s="6186"/>
      <c r="CQ55" s="6260" t="str">
        <f>IF(CN52=0,"",VLOOKUP(CN52,'Tablas psiquica'!$D$7:$R$145,7,FALSE))</f>
        <v/>
      </c>
      <c r="CR55" s="6261"/>
      <c r="CS55" s="6261"/>
      <c r="CT55" s="6262"/>
      <c r="CU55" s="1149"/>
      <c r="CV55" s="1750">
        <v>40</v>
      </c>
      <c r="CW55" s="6259" t="s">
        <v>1729</v>
      </c>
      <c r="CX55" s="6186"/>
      <c r="CY55" s="6260" t="str">
        <f>IF(CV52=0,"",VLOOKUP(CV52,'Tablas psiquica'!$D$7:$R$145,7,FALSE))</f>
        <v/>
      </c>
      <c r="CZ55" s="6261"/>
      <c r="DA55" s="6261"/>
      <c r="DB55" s="6262"/>
      <c r="DC55" s="426"/>
      <c r="DD55" s="420"/>
    </row>
    <row r="56" spans="1:108" ht="12" customHeight="1" x14ac:dyDescent="0.2">
      <c r="A56" s="420"/>
      <c r="B56" s="1149"/>
      <c r="C56" s="1751">
        <v>80</v>
      </c>
      <c r="D56" s="6257" t="s">
        <v>1732</v>
      </c>
      <c r="E56" s="6191"/>
      <c r="F56" s="6258" t="str">
        <f>IF(C52=0,"",VLOOKUP(C52,'Tablas psiquica'!$D$7:$R$145,8,FALSE))</f>
        <v/>
      </c>
      <c r="G56" s="5838"/>
      <c r="H56" s="5838"/>
      <c r="I56" s="5867"/>
      <c r="J56" s="697"/>
      <c r="K56" s="1751">
        <v>80</v>
      </c>
      <c r="L56" s="6257" t="s">
        <v>1732</v>
      </c>
      <c r="M56" s="6191"/>
      <c r="N56" s="6258" t="str">
        <f>IF(K52=0,"",VLOOKUP(K52,'Tablas psiquica'!$D$7:$R$145,8,FALSE))</f>
        <v/>
      </c>
      <c r="O56" s="5838"/>
      <c r="P56" s="5838"/>
      <c r="Q56" s="5867"/>
      <c r="R56" s="1149"/>
      <c r="S56" s="1751">
        <v>80</v>
      </c>
      <c r="T56" s="6257" t="s">
        <v>1732</v>
      </c>
      <c r="U56" s="6191"/>
      <c r="V56" s="6258" t="str">
        <f>IF(S52=0,"",VLOOKUP(S52,'Tablas psiquica'!$D$7:$R$145,8,FALSE))</f>
        <v/>
      </c>
      <c r="W56" s="5838"/>
      <c r="X56" s="5838"/>
      <c r="Y56" s="5867"/>
      <c r="Z56" s="426"/>
      <c r="AA56" s="420"/>
      <c r="AB56" s="420"/>
      <c r="AC56" s="1149"/>
      <c r="AD56" s="1751">
        <v>80</v>
      </c>
      <c r="AE56" s="6257" t="s">
        <v>1732</v>
      </c>
      <c r="AF56" s="6191"/>
      <c r="AG56" s="6258" t="str">
        <f>IF(AD52=0,"",VLOOKUP(AD52,'Tablas psiquica'!$D$7:$R$145,8,FALSE))</f>
        <v/>
      </c>
      <c r="AH56" s="5838"/>
      <c r="AI56" s="5838"/>
      <c r="AJ56" s="5867"/>
      <c r="AK56" s="697"/>
      <c r="AL56" s="1751">
        <v>80</v>
      </c>
      <c r="AM56" s="6257" t="s">
        <v>1732</v>
      </c>
      <c r="AN56" s="6191"/>
      <c r="AO56" s="6258" t="str">
        <f>IF(AL52=0,"",VLOOKUP(AL52,'Tablas psiquica'!$D$7:$R$145,8,FALSE))</f>
        <v/>
      </c>
      <c r="AP56" s="5838"/>
      <c r="AQ56" s="5838"/>
      <c r="AR56" s="5867"/>
      <c r="AS56" s="1149"/>
      <c r="AT56" s="1751">
        <v>80</v>
      </c>
      <c r="AU56" s="6257" t="s">
        <v>1732</v>
      </c>
      <c r="AV56" s="6191"/>
      <c r="AW56" s="6258" t="str">
        <f>IF(AT52=0,"",VLOOKUP(AT52,'Tablas psiquica'!$D$7:$R$145,8,FALSE))</f>
        <v/>
      </c>
      <c r="AX56" s="5838"/>
      <c r="AY56" s="5838"/>
      <c r="AZ56" s="5867"/>
      <c r="BA56" s="426"/>
      <c r="BB56" s="420"/>
      <c r="BC56" s="420"/>
      <c r="BD56" s="1149"/>
      <c r="BE56" s="1751">
        <v>80</v>
      </c>
      <c r="BF56" s="6257" t="s">
        <v>1732</v>
      </c>
      <c r="BG56" s="6191"/>
      <c r="BH56" s="6258" t="str">
        <f>IF(BE52=0,"",VLOOKUP(BE52,'Tablas psiquica'!$D$7:$R$145,8,FALSE))</f>
        <v/>
      </c>
      <c r="BI56" s="5838"/>
      <c r="BJ56" s="5838"/>
      <c r="BK56" s="5867"/>
      <c r="BL56" s="697"/>
      <c r="BM56" s="1751">
        <v>80</v>
      </c>
      <c r="BN56" s="6257" t="s">
        <v>1732</v>
      </c>
      <c r="BO56" s="6191"/>
      <c r="BP56" s="6258" t="str">
        <f>IF(BM52=0,"",VLOOKUP(BM52,'Tablas psiquica'!$D$7:$R$145,8,FALSE))</f>
        <v/>
      </c>
      <c r="BQ56" s="5838"/>
      <c r="BR56" s="5838"/>
      <c r="BS56" s="5867"/>
      <c r="BT56" s="1149"/>
      <c r="BU56" s="1751">
        <v>80</v>
      </c>
      <c r="BV56" s="6257" t="s">
        <v>1732</v>
      </c>
      <c r="BW56" s="6191"/>
      <c r="BX56" s="6258" t="str">
        <f>IF(BU52=0,"",VLOOKUP(BU52,'Tablas psiquica'!$D$7:$R$145,8,FALSE))</f>
        <v/>
      </c>
      <c r="BY56" s="5838"/>
      <c r="BZ56" s="5838"/>
      <c r="CA56" s="5867"/>
      <c r="CB56" s="426"/>
      <c r="CC56" s="420"/>
      <c r="CD56" s="420"/>
      <c r="CE56" s="1149"/>
      <c r="CF56" s="1751">
        <v>80</v>
      </c>
      <c r="CG56" s="6257" t="s">
        <v>1732</v>
      </c>
      <c r="CH56" s="6191"/>
      <c r="CI56" s="6258" t="str">
        <f>IF(CF52=0,"",VLOOKUP(CF52,'Tablas psiquica'!$D$7:$R$145,8,FALSE))</f>
        <v/>
      </c>
      <c r="CJ56" s="5838"/>
      <c r="CK56" s="5838"/>
      <c r="CL56" s="5867"/>
      <c r="CM56" s="697"/>
      <c r="CN56" s="1751">
        <v>80</v>
      </c>
      <c r="CO56" s="6257" t="s">
        <v>1732</v>
      </c>
      <c r="CP56" s="6191"/>
      <c r="CQ56" s="6258" t="str">
        <f>IF(CN52=0,"",VLOOKUP(CN52,'Tablas psiquica'!$D$7:$R$145,8,FALSE))</f>
        <v/>
      </c>
      <c r="CR56" s="5838"/>
      <c r="CS56" s="5838"/>
      <c r="CT56" s="5867"/>
      <c r="CU56" s="1149"/>
      <c r="CV56" s="1751">
        <v>80</v>
      </c>
      <c r="CW56" s="6257" t="s">
        <v>1732</v>
      </c>
      <c r="CX56" s="6191"/>
      <c r="CY56" s="6258" t="str">
        <f>IF(CV52=0,"",VLOOKUP(CV52,'Tablas psiquica'!$D$7:$R$145,8,FALSE))</f>
        <v/>
      </c>
      <c r="CZ56" s="5838"/>
      <c r="DA56" s="5838"/>
      <c r="DB56" s="5867"/>
      <c r="DC56" s="426"/>
      <c r="DD56" s="420"/>
    </row>
    <row r="57" spans="1:108" ht="12" customHeight="1" x14ac:dyDescent="0.2">
      <c r="A57" s="420"/>
      <c r="B57" s="1149"/>
      <c r="C57" s="1750">
        <v>120</v>
      </c>
      <c r="D57" s="6259" t="s">
        <v>1735</v>
      </c>
      <c r="E57" s="6186"/>
      <c r="F57" s="6260" t="str">
        <f>IF(C52=0,"",VLOOKUP(C52,'Tablas psiquica'!$D$7:$R$145,9,FALSE))</f>
        <v/>
      </c>
      <c r="G57" s="6261"/>
      <c r="H57" s="6261"/>
      <c r="I57" s="6262"/>
      <c r="J57" s="697"/>
      <c r="K57" s="1750">
        <v>120</v>
      </c>
      <c r="L57" s="6259" t="s">
        <v>1735</v>
      </c>
      <c r="M57" s="6186"/>
      <c r="N57" s="6260" t="str">
        <f>IF(K52=0,"",VLOOKUP(K52,'Tablas psiquica'!$D$7:$R$145,9,FALSE))</f>
        <v/>
      </c>
      <c r="O57" s="6261"/>
      <c r="P57" s="6261"/>
      <c r="Q57" s="6262"/>
      <c r="R57" s="1149"/>
      <c r="S57" s="1750">
        <v>120</v>
      </c>
      <c r="T57" s="6259" t="s">
        <v>1735</v>
      </c>
      <c r="U57" s="6186"/>
      <c r="V57" s="6260" t="str">
        <f>IF(S52=0,"",VLOOKUP(S52,'Tablas psiquica'!$D$7:$R$145,9,FALSE))</f>
        <v/>
      </c>
      <c r="W57" s="6261"/>
      <c r="X57" s="6261"/>
      <c r="Y57" s="6262"/>
      <c r="Z57" s="426"/>
      <c r="AA57" s="420"/>
      <c r="AB57" s="420"/>
      <c r="AC57" s="1149"/>
      <c r="AD57" s="1750">
        <v>120</v>
      </c>
      <c r="AE57" s="6259" t="s">
        <v>1735</v>
      </c>
      <c r="AF57" s="6186"/>
      <c r="AG57" s="6260" t="str">
        <f>IF(AD52=0,"",VLOOKUP(AD52,'Tablas psiquica'!$D$7:$R$145,9,FALSE))</f>
        <v/>
      </c>
      <c r="AH57" s="6261"/>
      <c r="AI57" s="6261"/>
      <c r="AJ57" s="6262"/>
      <c r="AK57" s="697"/>
      <c r="AL57" s="1750">
        <v>120</v>
      </c>
      <c r="AM57" s="6259" t="s">
        <v>1735</v>
      </c>
      <c r="AN57" s="6186"/>
      <c r="AO57" s="6260" t="str">
        <f>IF(AL52=0,"",VLOOKUP(AL52,'Tablas psiquica'!$D$7:$R$145,9,FALSE))</f>
        <v/>
      </c>
      <c r="AP57" s="6261"/>
      <c r="AQ57" s="6261"/>
      <c r="AR57" s="6262"/>
      <c r="AS57" s="1149"/>
      <c r="AT57" s="1750">
        <v>120</v>
      </c>
      <c r="AU57" s="6259" t="s">
        <v>1735</v>
      </c>
      <c r="AV57" s="6186"/>
      <c r="AW57" s="6260" t="str">
        <f>IF(AT52=0,"",VLOOKUP(AT52,'Tablas psiquica'!$D$7:$R$145,9,FALSE))</f>
        <v/>
      </c>
      <c r="AX57" s="6261"/>
      <c r="AY57" s="6261"/>
      <c r="AZ57" s="6262"/>
      <c r="BA57" s="426"/>
      <c r="BB57" s="420"/>
      <c r="BC57" s="420"/>
      <c r="BD57" s="1149"/>
      <c r="BE57" s="1750">
        <v>120</v>
      </c>
      <c r="BF57" s="6259" t="s">
        <v>1735</v>
      </c>
      <c r="BG57" s="6186"/>
      <c r="BH57" s="6260" t="str">
        <f>IF(BE52=0,"",VLOOKUP(BE52,'Tablas psiquica'!$D$7:$R$145,9,FALSE))</f>
        <v/>
      </c>
      <c r="BI57" s="6261"/>
      <c r="BJ57" s="6261"/>
      <c r="BK57" s="6262"/>
      <c r="BL57" s="697"/>
      <c r="BM57" s="1750">
        <v>120</v>
      </c>
      <c r="BN57" s="6259" t="s">
        <v>1735</v>
      </c>
      <c r="BO57" s="6186"/>
      <c r="BP57" s="6260" t="str">
        <f>IF(BM52=0,"",VLOOKUP(BM52,'Tablas psiquica'!$D$7:$R$145,9,FALSE))</f>
        <v/>
      </c>
      <c r="BQ57" s="6261"/>
      <c r="BR57" s="6261"/>
      <c r="BS57" s="6262"/>
      <c r="BT57" s="1149"/>
      <c r="BU57" s="1750">
        <v>120</v>
      </c>
      <c r="BV57" s="6259" t="s">
        <v>1735</v>
      </c>
      <c r="BW57" s="6186"/>
      <c r="BX57" s="6260" t="str">
        <f>IF(BU52=0,"",VLOOKUP(BU52,'Tablas psiquica'!$D$7:$R$145,9,FALSE))</f>
        <v/>
      </c>
      <c r="BY57" s="6261"/>
      <c r="BZ57" s="6261"/>
      <c r="CA57" s="6262"/>
      <c r="CB57" s="426"/>
      <c r="CC57" s="420"/>
      <c r="CD57" s="420"/>
      <c r="CE57" s="1149"/>
      <c r="CF57" s="1750">
        <v>120</v>
      </c>
      <c r="CG57" s="6259" t="s">
        <v>1735</v>
      </c>
      <c r="CH57" s="6186"/>
      <c r="CI57" s="6260" t="str">
        <f>IF(CF52=0,"",VLOOKUP(CF52,'Tablas psiquica'!$D$7:$R$145,9,FALSE))</f>
        <v/>
      </c>
      <c r="CJ57" s="6261"/>
      <c r="CK57" s="6261"/>
      <c r="CL57" s="6262"/>
      <c r="CM57" s="697"/>
      <c r="CN57" s="1750">
        <v>120</v>
      </c>
      <c r="CO57" s="6259" t="s">
        <v>1735</v>
      </c>
      <c r="CP57" s="6186"/>
      <c r="CQ57" s="6260" t="str">
        <f>IF(CN52=0,"",VLOOKUP(CN52,'Tablas psiquica'!$D$7:$R$145,9,FALSE))</f>
        <v/>
      </c>
      <c r="CR57" s="6261"/>
      <c r="CS57" s="6261"/>
      <c r="CT57" s="6262"/>
      <c r="CU57" s="1149"/>
      <c r="CV57" s="1750">
        <v>120</v>
      </c>
      <c r="CW57" s="6259" t="s">
        <v>1735</v>
      </c>
      <c r="CX57" s="6186"/>
      <c r="CY57" s="6260" t="str">
        <f>IF(CV52=0,"",VLOOKUP(CV52,'Tablas psiquica'!$D$7:$R$145,9,FALSE))</f>
        <v/>
      </c>
      <c r="CZ57" s="6261"/>
      <c r="DA57" s="6261"/>
      <c r="DB57" s="6262"/>
      <c r="DC57" s="426"/>
      <c r="DD57" s="420"/>
    </row>
    <row r="58" spans="1:108" ht="12" customHeight="1" x14ac:dyDescent="0.2">
      <c r="A58" s="420"/>
      <c r="B58" s="1149"/>
      <c r="C58" s="1751">
        <v>140</v>
      </c>
      <c r="D58" s="6257" t="s">
        <v>6335</v>
      </c>
      <c r="E58" s="6191"/>
      <c r="F58" s="6258" t="str">
        <f>IF(C52=0,"",VLOOKUP(C52,'Tablas psiquica'!$D$7:$R$145,10,FALSE))</f>
        <v/>
      </c>
      <c r="G58" s="5838"/>
      <c r="H58" s="5838"/>
      <c r="I58" s="5867"/>
      <c r="J58" s="697"/>
      <c r="K58" s="1751">
        <v>140</v>
      </c>
      <c r="L58" s="6257" t="s">
        <v>6335</v>
      </c>
      <c r="M58" s="6191"/>
      <c r="N58" s="6258" t="str">
        <f>IF(K52=0,"",VLOOKUP(K52,'Tablas psiquica'!$D$7:$R$145,10,FALSE))</f>
        <v/>
      </c>
      <c r="O58" s="5838"/>
      <c r="P58" s="5838"/>
      <c r="Q58" s="5867"/>
      <c r="R58" s="1149"/>
      <c r="S58" s="1751">
        <v>140</v>
      </c>
      <c r="T58" s="6257" t="s">
        <v>6335</v>
      </c>
      <c r="U58" s="6191"/>
      <c r="V58" s="6258" t="str">
        <f>IF(S52=0,"",VLOOKUP(S52,'Tablas psiquica'!$D$7:$R$145,10,FALSE))</f>
        <v/>
      </c>
      <c r="W58" s="5838"/>
      <c r="X58" s="5838"/>
      <c r="Y58" s="5867"/>
      <c r="Z58" s="426"/>
      <c r="AA58" s="420"/>
      <c r="AB58" s="420"/>
      <c r="AC58" s="1149"/>
      <c r="AD58" s="1751">
        <v>140</v>
      </c>
      <c r="AE58" s="6257" t="s">
        <v>6335</v>
      </c>
      <c r="AF58" s="6191"/>
      <c r="AG58" s="6258" t="str">
        <f>IF(AD52=0,"",VLOOKUP(AD52,'Tablas psiquica'!$D$7:$R$145,10,FALSE))</f>
        <v/>
      </c>
      <c r="AH58" s="5838"/>
      <c r="AI58" s="5838"/>
      <c r="AJ58" s="5867"/>
      <c r="AK58" s="697"/>
      <c r="AL58" s="1751">
        <v>140</v>
      </c>
      <c r="AM58" s="6257" t="s">
        <v>6335</v>
      </c>
      <c r="AN58" s="6191"/>
      <c r="AO58" s="6258" t="str">
        <f>IF(AL52=0,"",VLOOKUP(AL52,'Tablas psiquica'!$D$7:$R$145,10,FALSE))</f>
        <v/>
      </c>
      <c r="AP58" s="5838"/>
      <c r="AQ58" s="5838"/>
      <c r="AR58" s="5867"/>
      <c r="AS58" s="1149"/>
      <c r="AT58" s="1751">
        <v>140</v>
      </c>
      <c r="AU58" s="6257" t="s">
        <v>6335</v>
      </c>
      <c r="AV58" s="6191"/>
      <c r="AW58" s="6258" t="str">
        <f>IF(AT52=0,"",VLOOKUP(AT52,'Tablas psiquica'!$D$7:$R$145,10,FALSE))</f>
        <v/>
      </c>
      <c r="AX58" s="5838"/>
      <c r="AY58" s="5838"/>
      <c r="AZ58" s="5867"/>
      <c r="BA58" s="426"/>
      <c r="BB58" s="420"/>
      <c r="BC58" s="420"/>
      <c r="BD58" s="1149"/>
      <c r="BE58" s="1751">
        <v>140</v>
      </c>
      <c r="BF58" s="6257" t="s">
        <v>6335</v>
      </c>
      <c r="BG58" s="6191"/>
      <c r="BH58" s="6258" t="str">
        <f>IF(BE52=0,"",VLOOKUP(BE52,'Tablas psiquica'!$D$7:$R$145,10,FALSE))</f>
        <v/>
      </c>
      <c r="BI58" s="5838"/>
      <c r="BJ58" s="5838"/>
      <c r="BK58" s="5867"/>
      <c r="BL58" s="697"/>
      <c r="BM58" s="1751">
        <v>140</v>
      </c>
      <c r="BN58" s="6257" t="s">
        <v>6335</v>
      </c>
      <c r="BO58" s="6191"/>
      <c r="BP58" s="6258" t="str">
        <f>IF(BM52=0,"",VLOOKUP(BM52,'Tablas psiquica'!$D$7:$R$145,10,FALSE))</f>
        <v/>
      </c>
      <c r="BQ58" s="5838"/>
      <c r="BR58" s="5838"/>
      <c r="BS58" s="5867"/>
      <c r="BT58" s="1149"/>
      <c r="BU58" s="1751">
        <v>140</v>
      </c>
      <c r="BV58" s="6257" t="s">
        <v>6335</v>
      </c>
      <c r="BW58" s="6191"/>
      <c r="BX58" s="6258" t="str">
        <f>IF(BU52=0,"",VLOOKUP(BU52,'Tablas psiquica'!$D$7:$R$145,10,FALSE))</f>
        <v/>
      </c>
      <c r="BY58" s="5838"/>
      <c r="BZ58" s="5838"/>
      <c r="CA58" s="5867"/>
      <c r="CB58" s="426"/>
      <c r="CC58" s="420"/>
      <c r="CD58" s="420"/>
      <c r="CE58" s="1149"/>
      <c r="CF58" s="1751">
        <v>140</v>
      </c>
      <c r="CG58" s="6257" t="s">
        <v>6335</v>
      </c>
      <c r="CH58" s="6191"/>
      <c r="CI58" s="6258" t="str">
        <f>IF(CF52=0,"",VLOOKUP(CF52,'Tablas psiquica'!$D$7:$R$145,10,FALSE))</f>
        <v/>
      </c>
      <c r="CJ58" s="5838"/>
      <c r="CK58" s="5838"/>
      <c r="CL58" s="5867"/>
      <c r="CM58" s="697"/>
      <c r="CN58" s="1751">
        <v>140</v>
      </c>
      <c r="CO58" s="6257" t="s">
        <v>6335</v>
      </c>
      <c r="CP58" s="6191"/>
      <c r="CQ58" s="6258" t="str">
        <f>IF(CN52=0,"",VLOOKUP(CN52,'Tablas psiquica'!$D$7:$R$145,10,FALSE))</f>
        <v/>
      </c>
      <c r="CR58" s="5838"/>
      <c r="CS58" s="5838"/>
      <c r="CT58" s="5867"/>
      <c r="CU58" s="1149"/>
      <c r="CV58" s="1751">
        <v>140</v>
      </c>
      <c r="CW58" s="6257" t="s">
        <v>6335</v>
      </c>
      <c r="CX58" s="6191"/>
      <c r="CY58" s="6258" t="str">
        <f>IF(CV52=0,"",VLOOKUP(CV52,'Tablas psiquica'!$D$7:$R$145,10,FALSE))</f>
        <v/>
      </c>
      <c r="CZ58" s="5838"/>
      <c r="DA58" s="5838"/>
      <c r="DB58" s="5867"/>
      <c r="DC58" s="426"/>
      <c r="DD58" s="420"/>
    </row>
    <row r="59" spans="1:108" ht="12" customHeight="1" x14ac:dyDescent="0.2">
      <c r="A59" s="420"/>
      <c r="B59" s="1149"/>
      <c r="C59" s="1750">
        <v>180</v>
      </c>
      <c r="D59" s="6259" t="s">
        <v>1739</v>
      </c>
      <c r="E59" s="6186"/>
      <c r="F59" s="6260" t="str">
        <f>IF(C52=0,"",VLOOKUP(C52,'Tablas psiquica'!$D$7:$R$145,11,FALSE))</f>
        <v/>
      </c>
      <c r="G59" s="6261"/>
      <c r="H59" s="6261"/>
      <c r="I59" s="6262"/>
      <c r="J59" s="697"/>
      <c r="K59" s="1750">
        <v>180</v>
      </c>
      <c r="L59" s="6259" t="s">
        <v>1739</v>
      </c>
      <c r="M59" s="6186"/>
      <c r="N59" s="6260" t="str">
        <f>IF(K52=0,"",VLOOKUP(K52,'Tablas psiquica'!$D$7:$R$145,11,FALSE))</f>
        <v/>
      </c>
      <c r="O59" s="6261"/>
      <c r="P59" s="6261"/>
      <c r="Q59" s="6262"/>
      <c r="R59" s="1149"/>
      <c r="S59" s="1750">
        <v>180</v>
      </c>
      <c r="T59" s="6259" t="s">
        <v>1739</v>
      </c>
      <c r="U59" s="6186"/>
      <c r="V59" s="6260" t="str">
        <f>IF(S52=0,"",VLOOKUP(S52,'Tablas psiquica'!$D$7:$R$145,11,FALSE))</f>
        <v/>
      </c>
      <c r="W59" s="6261"/>
      <c r="X59" s="6261"/>
      <c r="Y59" s="6262"/>
      <c r="Z59" s="426"/>
      <c r="AA59" s="420"/>
      <c r="AB59" s="420"/>
      <c r="AC59" s="1149"/>
      <c r="AD59" s="1750">
        <v>180</v>
      </c>
      <c r="AE59" s="6259" t="s">
        <v>1739</v>
      </c>
      <c r="AF59" s="6186"/>
      <c r="AG59" s="6260" t="str">
        <f>IF(AD52=0,"",VLOOKUP(AD52,'Tablas psiquica'!$D$7:$R$145,11,FALSE))</f>
        <v/>
      </c>
      <c r="AH59" s="6261"/>
      <c r="AI59" s="6261"/>
      <c r="AJ59" s="6262"/>
      <c r="AK59" s="697"/>
      <c r="AL59" s="1750">
        <v>180</v>
      </c>
      <c r="AM59" s="6259" t="s">
        <v>1739</v>
      </c>
      <c r="AN59" s="6186"/>
      <c r="AO59" s="6260" t="str">
        <f>IF(AL52=0,"",VLOOKUP(AL52,'Tablas psiquica'!$D$7:$R$145,11,FALSE))</f>
        <v/>
      </c>
      <c r="AP59" s="6261"/>
      <c r="AQ59" s="6261"/>
      <c r="AR59" s="6262"/>
      <c r="AS59" s="1149"/>
      <c r="AT59" s="1750">
        <v>180</v>
      </c>
      <c r="AU59" s="6259" t="s">
        <v>1739</v>
      </c>
      <c r="AV59" s="6186"/>
      <c r="AW59" s="6260" t="str">
        <f>IF(AT52=0,"",VLOOKUP(AT52,'Tablas psiquica'!$D$7:$R$145,11,FALSE))</f>
        <v/>
      </c>
      <c r="AX59" s="6261"/>
      <c r="AY59" s="6261"/>
      <c r="AZ59" s="6262"/>
      <c r="BA59" s="426"/>
      <c r="BB59" s="420"/>
      <c r="BC59" s="420"/>
      <c r="BD59" s="1149"/>
      <c r="BE59" s="1750">
        <v>180</v>
      </c>
      <c r="BF59" s="6259" t="s">
        <v>1739</v>
      </c>
      <c r="BG59" s="6186"/>
      <c r="BH59" s="6260" t="str">
        <f>IF(BE52=0,"",VLOOKUP(BE52,'Tablas psiquica'!$D$7:$R$145,11,FALSE))</f>
        <v/>
      </c>
      <c r="BI59" s="6261"/>
      <c r="BJ59" s="6261"/>
      <c r="BK59" s="6262"/>
      <c r="BL59" s="697"/>
      <c r="BM59" s="1750">
        <v>180</v>
      </c>
      <c r="BN59" s="6259" t="s">
        <v>1739</v>
      </c>
      <c r="BO59" s="6186"/>
      <c r="BP59" s="6260" t="str">
        <f>IF(BM52=0,"",VLOOKUP(BM52,'Tablas psiquica'!$D$7:$R$145,11,FALSE))</f>
        <v/>
      </c>
      <c r="BQ59" s="6261"/>
      <c r="BR59" s="6261"/>
      <c r="BS59" s="6262"/>
      <c r="BT59" s="1149"/>
      <c r="BU59" s="1750">
        <v>180</v>
      </c>
      <c r="BV59" s="6259" t="s">
        <v>1739</v>
      </c>
      <c r="BW59" s="6186"/>
      <c r="BX59" s="6260" t="str">
        <f>IF(BU52=0,"",VLOOKUP(BU52,'Tablas psiquica'!$D$7:$R$145,11,FALSE))</f>
        <v/>
      </c>
      <c r="BY59" s="6261"/>
      <c r="BZ59" s="6261"/>
      <c r="CA59" s="6262"/>
      <c r="CB59" s="426"/>
      <c r="CC59" s="420"/>
      <c r="CD59" s="420"/>
      <c r="CE59" s="1149"/>
      <c r="CF59" s="1750">
        <v>180</v>
      </c>
      <c r="CG59" s="6259" t="s">
        <v>1739</v>
      </c>
      <c r="CH59" s="6186"/>
      <c r="CI59" s="6260" t="str">
        <f>IF(CF52=0,"",VLOOKUP(CF52,'Tablas psiquica'!$D$7:$R$145,11,FALSE))</f>
        <v/>
      </c>
      <c r="CJ59" s="6261"/>
      <c r="CK59" s="6261"/>
      <c r="CL59" s="6262"/>
      <c r="CM59" s="697"/>
      <c r="CN59" s="1750">
        <v>180</v>
      </c>
      <c r="CO59" s="6259" t="s">
        <v>1739</v>
      </c>
      <c r="CP59" s="6186"/>
      <c r="CQ59" s="6260" t="str">
        <f>IF(CN52=0,"",VLOOKUP(CN52,'Tablas psiquica'!$D$7:$R$145,11,FALSE))</f>
        <v/>
      </c>
      <c r="CR59" s="6261"/>
      <c r="CS59" s="6261"/>
      <c r="CT59" s="6262"/>
      <c r="CU59" s="1149"/>
      <c r="CV59" s="1750">
        <v>180</v>
      </c>
      <c r="CW59" s="6259" t="s">
        <v>1739</v>
      </c>
      <c r="CX59" s="6186"/>
      <c r="CY59" s="6260" t="str">
        <f>IF(CV52=0,"",VLOOKUP(CV52,'Tablas psiquica'!$D$7:$R$145,11,FALSE))</f>
        <v/>
      </c>
      <c r="CZ59" s="6261"/>
      <c r="DA59" s="6261"/>
      <c r="DB59" s="6262"/>
      <c r="DC59" s="426"/>
      <c r="DD59" s="420"/>
    </row>
    <row r="60" spans="1:108" ht="12" customHeight="1" x14ac:dyDescent="0.2">
      <c r="A60" s="420"/>
      <c r="B60" s="1149"/>
      <c r="C60" s="1751">
        <v>240</v>
      </c>
      <c r="D60" s="6257" t="s">
        <v>6336</v>
      </c>
      <c r="E60" s="6191"/>
      <c r="F60" s="6258" t="str">
        <f>IF(C52=0,"",VLOOKUP(C52,'Tablas psiquica'!$D$7:$R$145,12,FALSE))</f>
        <v/>
      </c>
      <c r="G60" s="5838"/>
      <c r="H60" s="5838"/>
      <c r="I60" s="5867"/>
      <c r="J60" s="697"/>
      <c r="K60" s="1751">
        <v>240</v>
      </c>
      <c r="L60" s="6257" t="s">
        <v>6336</v>
      </c>
      <c r="M60" s="6191"/>
      <c r="N60" s="6258" t="str">
        <f>IF(K52=0,"",VLOOKUP(K52,'Tablas psiquica'!$D$7:$R$145,12,FALSE))</f>
        <v/>
      </c>
      <c r="O60" s="5838"/>
      <c r="P60" s="5838"/>
      <c r="Q60" s="5867"/>
      <c r="R60" s="1149"/>
      <c r="S60" s="1751">
        <v>240</v>
      </c>
      <c r="T60" s="6257" t="s">
        <v>6336</v>
      </c>
      <c r="U60" s="6191"/>
      <c r="V60" s="6258" t="str">
        <f>IF(S52=0,"",VLOOKUP(S52,'Tablas psiquica'!$D$7:$R$145,12,FALSE))</f>
        <v/>
      </c>
      <c r="W60" s="5838"/>
      <c r="X60" s="5838"/>
      <c r="Y60" s="5867"/>
      <c r="Z60" s="426"/>
      <c r="AA60" s="420"/>
      <c r="AB60" s="420"/>
      <c r="AC60" s="1149"/>
      <c r="AD60" s="1751">
        <v>240</v>
      </c>
      <c r="AE60" s="6257" t="s">
        <v>6336</v>
      </c>
      <c r="AF60" s="6191"/>
      <c r="AG60" s="6258" t="str">
        <f>IF(AD52=0,"",VLOOKUP(AD52,'Tablas psiquica'!$D$7:$R$145,12,FALSE))</f>
        <v/>
      </c>
      <c r="AH60" s="5838"/>
      <c r="AI60" s="5838"/>
      <c r="AJ60" s="5867"/>
      <c r="AK60" s="697"/>
      <c r="AL60" s="1751">
        <v>240</v>
      </c>
      <c r="AM60" s="6257" t="s">
        <v>6336</v>
      </c>
      <c r="AN60" s="6191"/>
      <c r="AO60" s="6258" t="str">
        <f>IF(AL52=0,"",VLOOKUP(AL52,'Tablas psiquica'!$D$7:$R$145,12,FALSE))</f>
        <v/>
      </c>
      <c r="AP60" s="5838"/>
      <c r="AQ60" s="5838"/>
      <c r="AR60" s="5867"/>
      <c r="AS60" s="1149"/>
      <c r="AT60" s="1751">
        <v>240</v>
      </c>
      <c r="AU60" s="6257" t="s">
        <v>6336</v>
      </c>
      <c r="AV60" s="6191"/>
      <c r="AW60" s="6258" t="str">
        <f>IF(AT52=0,"",VLOOKUP(AT52,'Tablas psiquica'!$D$7:$R$145,12,FALSE))</f>
        <v/>
      </c>
      <c r="AX60" s="5838"/>
      <c r="AY60" s="5838"/>
      <c r="AZ60" s="5867"/>
      <c r="BA60" s="426"/>
      <c r="BB60" s="420"/>
      <c r="BC60" s="420"/>
      <c r="BD60" s="1149"/>
      <c r="BE60" s="1751">
        <v>240</v>
      </c>
      <c r="BF60" s="6257" t="s">
        <v>6336</v>
      </c>
      <c r="BG60" s="6191"/>
      <c r="BH60" s="6258" t="str">
        <f>IF(BE52=0,"",VLOOKUP(BE52,'Tablas psiquica'!$D$7:$R$145,12,FALSE))</f>
        <v/>
      </c>
      <c r="BI60" s="5838"/>
      <c r="BJ60" s="5838"/>
      <c r="BK60" s="5867"/>
      <c r="BL60" s="697"/>
      <c r="BM60" s="1751">
        <v>240</v>
      </c>
      <c r="BN60" s="6257" t="s">
        <v>6336</v>
      </c>
      <c r="BO60" s="6191"/>
      <c r="BP60" s="6258" t="str">
        <f>IF(BM52=0,"",VLOOKUP(BM52,'Tablas psiquica'!$D$7:$R$145,12,FALSE))</f>
        <v/>
      </c>
      <c r="BQ60" s="5838"/>
      <c r="BR60" s="5838"/>
      <c r="BS60" s="5867"/>
      <c r="BT60" s="1149"/>
      <c r="BU60" s="1751">
        <v>240</v>
      </c>
      <c r="BV60" s="6257" t="s">
        <v>6336</v>
      </c>
      <c r="BW60" s="6191"/>
      <c r="BX60" s="6258" t="str">
        <f>IF(BU52=0,"",VLOOKUP(BU52,'Tablas psiquica'!$D$7:$R$145,12,FALSE))</f>
        <v/>
      </c>
      <c r="BY60" s="5838"/>
      <c r="BZ60" s="5838"/>
      <c r="CA60" s="5867"/>
      <c r="CB60" s="426"/>
      <c r="CC60" s="420"/>
      <c r="CD60" s="420"/>
      <c r="CE60" s="1149"/>
      <c r="CF60" s="1751">
        <v>240</v>
      </c>
      <c r="CG60" s="6257" t="s">
        <v>6336</v>
      </c>
      <c r="CH60" s="6191"/>
      <c r="CI60" s="6258" t="str">
        <f>IF(CF52=0,"",VLOOKUP(CF52,'Tablas psiquica'!$D$7:$R$145,12,FALSE))</f>
        <v/>
      </c>
      <c r="CJ60" s="5838"/>
      <c r="CK60" s="5838"/>
      <c r="CL60" s="5867"/>
      <c r="CM60" s="697"/>
      <c r="CN60" s="1751">
        <v>240</v>
      </c>
      <c r="CO60" s="6257" t="s">
        <v>6336</v>
      </c>
      <c r="CP60" s="6191"/>
      <c r="CQ60" s="6258" t="str">
        <f>IF(CN52=0,"",VLOOKUP(CN52,'Tablas psiquica'!$D$7:$R$145,12,FALSE))</f>
        <v/>
      </c>
      <c r="CR60" s="5838"/>
      <c r="CS60" s="5838"/>
      <c r="CT60" s="5867"/>
      <c r="CU60" s="1149"/>
      <c r="CV60" s="1751">
        <v>240</v>
      </c>
      <c r="CW60" s="6257" t="s">
        <v>6336</v>
      </c>
      <c r="CX60" s="6191"/>
      <c r="CY60" s="6258" t="str">
        <f>IF(CV52=0,"",VLOOKUP(CV52,'Tablas psiquica'!$D$7:$R$145,12,FALSE))</f>
        <v/>
      </c>
      <c r="CZ60" s="5838"/>
      <c r="DA60" s="5838"/>
      <c r="DB60" s="5867"/>
      <c r="DC60" s="426"/>
      <c r="DD60" s="420"/>
    </row>
    <row r="61" spans="1:108" ht="12" customHeight="1" x14ac:dyDescent="0.2">
      <c r="A61" s="420"/>
      <c r="B61" s="1149"/>
      <c r="C61" s="1750">
        <v>280</v>
      </c>
      <c r="D61" s="6259" t="s">
        <v>1742</v>
      </c>
      <c r="E61" s="6186"/>
      <c r="F61" s="6260" t="str">
        <f>IF(C52=0,"",VLOOKUP(C52,'Tablas psiquica'!$D$7:$R$145,13,FALSE))</f>
        <v/>
      </c>
      <c r="G61" s="6261"/>
      <c r="H61" s="6261"/>
      <c r="I61" s="6262"/>
      <c r="J61" s="697"/>
      <c r="K61" s="1750">
        <v>280</v>
      </c>
      <c r="L61" s="6259" t="s">
        <v>1742</v>
      </c>
      <c r="M61" s="6186"/>
      <c r="N61" s="6260" t="str">
        <f>IF(K52=0,"",VLOOKUP(K52,'Tablas psiquica'!$D$7:$R$145,13,FALSE))</f>
        <v/>
      </c>
      <c r="O61" s="6261"/>
      <c r="P61" s="6261"/>
      <c r="Q61" s="6262"/>
      <c r="R61" s="1149"/>
      <c r="S61" s="1750">
        <v>280</v>
      </c>
      <c r="T61" s="6259" t="s">
        <v>1742</v>
      </c>
      <c r="U61" s="6186"/>
      <c r="V61" s="6260" t="str">
        <f>IF(S52=0,"",VLOOKUP(S52,'Tablas psiquica'!$D$7:$R$145,13,FALSE))</f>
        <v/>
      </c>
      <c r="W61" s="6261"/>
      <c r="X61" s="6261"/>
      <c r="Y61" s="6262"/>
      <c r="Z61" s="426"/>
      <c r="AA61" s="420"/>
      <c r="AB61" s="420"/>
      <c r="AC61" s="1149"/>
      <c r="AD61" s="1750">
        <v>280</v>
      </c>
      <c r="AE61" s="6259" t="s">
        <v>1742</v>
      </c>
      <c r="AF61" s="6186"/>
      <c r="AG61" s="6260" t="str">
        <f>IF(AD52=0,"",VLOOKUP(AD52,'Tablas psiquica'!$D$7:$R$145,13,FALSE))</f>
        <v/>
      </c>
      <c r="AH61" s="6261"/>
      <c r="AI61" s="6261"/>
      <c r="AJ61" s="6262"/>
      <c r="AK61" s="697"/>
      <c r="AL61" s="1750">
        <v>280</v>
      </c>
      <c r="AM61" s="6259" t="s">
        <v>1742</v>
      </c>
      <c r="AN61" s="6186"/>
      <c r="AO61" s="6260" t="str">
        <f>IF(AL52=0,"",VLOOKUP(AL52,'Tablas psiquica'!$D$7:$R$145,13,FALSE))</f>
        <v/>
      </c>
      <c r="AP61" s="6261"/>
      <c r="AQ61" s="6261"/>
      <c r="AR61" s="6262"/>
      <c r="AS61" s="1149"/>
      <c r="AT61" s="1750">
        <v>280</v>
      </c>
      <c r="AU61" s="6259" t="s">
        <v>1742</v>
      </c>
      <c r="AV61" s="6186"/>
      <c r="AW61" s="6260" t="str">
        <f>IF(AT52=0,"",VLOOKUP(AT52,'Tablas psiquica'!$D$7:$R$145,13,FALSE))</f>
        <v/>
      </c>
      <c r="AX61" s="6261"/>
      <c r="AY61" s="6261"/>
      <c r="AZ61" s="6262"/>
      <c r="BA61" s="426"/>
      <c r="BB61" s="420"/>
      <c r="BC61" s="420"/>
      <c r="BD61" s="1149"/>
      <c r="BE61" s="1750">
        <v>280</v>
      </c>
      <c r="BF61" s="6259" t="s">
        <v>1742</v>
      </c>
      <c r="BG61" s="6186"/>
      <c r="BH61" s="6260" t="str">
        <f>IF(BE52=0,"",VLOOKUP(BE52,'Tablas psiquica'!$D$7:$R$145,13,FALSE))</f>
        <v/>
      </c>
      <c r="BI61" s="6261"/>
      <c r="BJ61" s="6261"/>
      <c r="BK61" s="6262"/>
      <c r="BL61" s="697"/>
      <c r="BM61" s="1750">
        <v>280</v>
      </c>
      <c r="BN61" s="6259" t="s">
        <v>1742</v>
      </c>
      <c r="BO61" s="6186"/>
      <c r="BP61" s="6260" t="str">
        <f>IF(BM52=0,"",VLOOKUP(BM52,'Tablas psiquica'!$D$7:$R$145,13,FALSE))</f>
        <v/>
      </c>
      <c r="BQ61" s="6261"/>
      <c r="BR61" s="6261"/>
      <c r="BS61" s="6262"/>
      <c r="BT61" s="1149"/>
      <c r="BU61" s="1750">
        <v>280</v>
      </c>
      <c r="BV61" s="6259" t="s">
        <v>1742</v>
      </c>
      <c r="BW61" s="6186"/>
      <c r="BX61" s="6260" t="str">
        <f>IF(BU52=0,"",VLOOKUP(BU52,'Tablas psiquica'!$D$7:$R$145,13,FALSE))</f>
        <v/>
      </c>
      <c r="BY61" s="6261"/>
      <c r="BZ61" s="6261"/>
      <c r="CA61" s="6262"/>
      <c r="CB61" s="426"/>
      <c r="CC61" s="420"/>
      <c r="CD61" s="420"/>
      <c r="CE61" s="1149"/>
      <c r="CF61" s="1750">
        <v>280</v>
      </c>
      <c r="CG61" s="6259" t="s">
        <v>1742</v>
      </c>
      <c r="CH61" s="6186"/>
      <c r="CI61" s="6260" t="str">
        <f>IF(CF52=0,"",VLOOKUP(CF52,'Tablas psiquica'!$D$7:$R$145,13,FALSE))</f>
        <v/>
      </c>
      <c r="CJ61" s="6261"/>
      <c r="CK61" s="6261"/>
      <c r="CL61" s="6262"/>
      <c r="CM61" s="697"/>
      <c r="CN61" s="1750">
        <v>280</v>
      </c>
      <c r="CO61" s="6259" t="s">
        <v>1742</v>
      </c>
      <c r="CP61" s="6186"/>
      <c r="CQ61" s="6260" t="str">
        <f>IF(CN52=0,"",VLOOKUP(CN52,'Tablas psiquica'!$D$7:$R$145,13,FALSE))</f>
        <v/>
      </c>
      <c r="CR61" s="6261"/>
      <c r="CS61" s="6261"/>
      <c r="CT61" s="6262"/>
      <c r="CU61" s="1149"/>
      <c r="CV61" s="1750">
        <v>280</v>
      </c>
      <c r="CW61" s="6259" t="s">
        <v>1742</v>
      </c>
      <c r="CX61" s="6186"/>
      <c r="CY61" s="6260" t="str">
        <f>IF(CV52=0,"",VLOOKUP(CV52,'Tablas psiquica'!$D$7:$R$145,13,FALSE))</f>
        <v/>
      </c>
      <c r="CZ61" s="6261"/>
      <c r="DA61" s="6261"/>
      <c r="DB61" s="6262"/>
      <c r="DC61" s="426"/>
      <c r="DD61" s="420"/>
    </row>
    <row r="62" spans="1:108" ht="12" customHeight="1" x14ac:dyDescent="0.2">
      <c r="A62" s="420"/>
      <c r="B62" s="1149"/>
      <c r="C62" s="1751">
        <v>320</v>
      </c>
      <c r="D62" s="6257" t="s">
        <v>1744</v>
      </c>
      <c r="E62" s="6191"/>
      <c r="F62" s="6258" t="str">
        <f>IF(C52=0,"",VLOOKUP(C52,'Tablas psiquica'!$D$7:$R$145,14,FALSE))</f>
        <v/>
      </c>
      <c r="G62" s="5838"/>
      <c r="H62" s="5838"/>
      <c r="I62" s="5867"/>
      <c r="J62" s="697"/>
      <c r="K62" s="1751">
        <v>320</v>
      </c>
      <c r="L62" s="6257" t="s">
        <v>1744</v>
      </c>
      <c r="M62" s="6191"/>
      <c r="N62" s="6258" t="str">
        <f>IF(K52=0,"",VLOOKUP(K52,'Tablas psiquica'!$D$7:$R$145,14,FALSE))</f>
        <v/>
      </c>
      <c r="O62" s="5838"/>
      <c r="P62" s="5838"/>
      <c r="Q62" s="5867"/>
      <c r="R62" s="1149"/>
      <c r="S62" s="1751">
        <v>320</v>
      </c>
      <c r="T62" s="6257" t="s">
        <v>1744</v>
      </c>
      <c r="U62" s="6191"/>
      <c r="V62" s="6258" t="str">
        <f>IF(S52=0,"",VLOOKUP(S52,'Tablas psiquica'!$D$7:$R$145,14,FALSE))</f>
        <v/>
      </c>
      <c r="W62" s="5838"/>
      <c r="X62" s="5838"/>
      <c r="Y62" s="5867"/>
      <c r="Z62" s="426"/>
      <c r="AA62" s="420"/>
      <c r="AB62" s="420"/>
      <c r="AC62" s="1149"/>
      <c r="AD62" s="1751">
        <v>320</v>
      </c>
      <c r="AE62" s="6257" t="s">
        <v>1744</v>
      </c>
      <c r="AF62" s="6191"/>
      <c r="AG62" s="6258" t="str">
        <f>IF(AD52=0,"",VLOOKUP(AD52,'Tablas psiquica'!$D$7:$R$145,14,FALSE))</f>
        <v/>
      </c>
      <c r="AH62" s="5838"/>
      <c r="AI62" s="5838"/>
      <c r="AJ62" s="5867"/>
      <c r="AK62" s="697"/>
      <c r="AL62" s="1751">
        <v>320</v>
      </c>
      <c r="AM62" s="6257" t="s">
        <v>1744</v>
      </c>
      <c r="AN62" s="6191"/>
      <c r="AO62" s="6258" t="str">
        <f>IF(AL52=0,"",VLOOKUP(AL52,'Tablas psiquica'!$D$7:$R$145,14,FALSE))</f>
        <v/>
      </c>
      <c r="AP62" s="5838"/>
      <c r="AQ62" s="5838"/>
      <c r="AR62" s="5867"/>
      <c r="AS62" s="1149"/>
      <c r="AT62" s="1751">
        <v>320</v>
      </c>
      <c r="AU62" s="6257" t="s">
        <v>1744</v>
      </c>
      <c r="AV62" s="6191"/>
      <c r="AW62" s="6258" t="str">
        <f>IF(AT52=0,"",VLOOKUP(AT52,'Tablas psiquica'!$D$7:$R$145,14,FALSE))</f>
        <v/>
      </c>
      <c r="AX62" s="5838"/>
      <c r="AY62" s="5838"/>
      <c r="AZ62" s="5867"/>
      <c r="BA62" s="426"/>
      <c r="BB62" s="420"/>
      <c r="BC62" s="420"/>
      <c r="BD62" s="1149"/>
      <c r="BE62" s="1751">
        <v>320</v>
      </c>
      <c r="BF62" s="6257" t="s">
        <v>1744</v>
      </c>
      <c r="BG62" s="6191"/>
      <c r="BH62" s="6258" t="str">
        <f>IF(BE52=0,"",VLOOKUP(BE52,'Tablas psiquica'!$D$7:$R$145,14,FALSE))</f>
        <v/>
      </c>
      <c r="BI62" s="5838"/>
      <c r="BJ62" s="5838"/>
      <c r="BK62" s="5867"/>
      <c r="BL62" s="697"/>
      <c r="BM62" s="1751">
        <v>320</v>
      </c>
      <c r="BN62" s="6257" t="s">
        <v>1744</v>
      </c>
      <c r="BO62" s="6191"/>
      <c r="BP62" s="6258" t="str">
        <f>IF(BM52=0,"",VLOOKUP(BM52,'Tablas psiquica'!$D$7:$R$145,14,FALSE))</f>
        <v/>
      </c>
      <c r="BQ62" s="5838"/>
      <c r="BR62" s="5838"/>
      <c r="BS62" s="5867"/>
      <c r="BT62" s="1149"/>
      <c r="BU62" s="1751">
        <v>320</v>
      </c>
      <c r="BV62" s="6257" t="s">
        <v>1744</v>
      </c>
      <c r="BW62" s="6191"/>
      <c r="BX62" s="6258" t="str">
        <f>IF(BU52=0,"",VLOOKUP(BU52,'Tablas psiquica'!$D$7:$R$145,14,FALSE))</f>
        <v/>
      </c>
      <c r="BY62" s="5838"/>
      <c r="BZ62" s="5838"/>
      <c r="CA62" s="5867"/>
      <c r="CB62" s="426"/>
      <c r="CC62" s="420"/>
      <c r="CD62" s="420"/>
      <c r="CE62" s="1149"/>
      <c r="CF62" s="1751">
        <v>320</v>
      </c>
      <c r="CG62" s="6257" t="s">
        <v>1744</v>
      </c>
      <c r="CH62" s="6191"/>
      <c r="CI62" s="6258" t="str">
        <f>IF(CF52=0,"",VLOOKUP(CF52,'Tablas psiquica'!$D$7:$R$145,14,FALSE))</f>
        <v/>
      </c>
      <c r="CJ62" s="5838"/>
      <c r="CK62" s="5838"/>
      <c r="CL62" s="5867"/>
      <c r="CM62" s="697"/>
      <c r="CN62" s="1751">
        <v>320</v>
      </c>
      <c r="CO62" s="6257" t="s">
        <v>1744</v>
      </c>
      <c r="CP62" s="6191"/>
      <c r="CQ62" s="6258" t="str">
        <f>IF(CN52=0,"",VLOOKUP(CN52,'Tablas psiquica'!$D$7:$R$145,14,FALSE))</f>
        <v/>
      </c>
      <c r="CR62" s="5838"/>
      <c r="CS62" s="5838"/>
      <c r="CT62" s="5867"/>
      <c r="CU62" s="1149"/>
      <c r="CV62" s="1751">
        <v>320</v>
      </c>
      <c r="CW62" s="6257" t="s">
        <v>1744</v>
      </c>
      <c r="CX62" s="6191"/>
      <c r="CY62" s="6258" t="str">
        <f>IF(CV52=0,"",VLOOKUP(CV52,'Tablas psiquica'!$D$7:$R$145,14,FALSE))</f>
        <v/>
      </c>
      <c r="CZ62" s="5838"/>
      <c r="DA62" s="5838"/>
      <c r="DB62" s="5867"/>
      <c r="DC62" s="426"/>
      <c r="DD62" s="420"/>
    </row>
    <row r="63" spans="1:108" ht="12" customHeight="1" x14ac:dyDescent="0.2">
      <c r="A63" s="420"/>
      <c r="B63" s="1149"/>
      <c r="C63" s="452">
        <v>440</v>
      </c>
      <c r="D63" s="6255" t="s">
        <v>1687</v>
      </c>
      <c r="E63" s="6256"/>
      <c r="F63" s="6252" t="str">
        <f>IF(C52=0,"",VLOOKUP(C52,'Tablas psiquica'!$D$7:$R$145,15,FALSE))</f>
        <v/>
      </c>
      <c r="G63" s="6253"/>
      <c r="H63" s="6253"/>
      <c r="I63" s="6254"/>
      <c r="J63" s="697"/>
      <c r="K63" s="452">
        <v>440</v>
      </c>
      <c r="L63" s="6255" t="s">
        <v>1687</v>
      </c>
      <c r="M63" s="6256"/>
      <c r="N63" s="6252" t="str">
        <f>IF(K52=0,"",VLOOKUP(K52,'Tablas psiquica'!$D$7:$R$145,15,FALSE))</f>
        <v/>
      </c>
      <c r="O63" s="6253"/>
      <c r="P63" s="6253"/>
      <c r="Q63" s="6254"/>
      <c r="R63" s="1149"/>
      <c r="S63" s="452">
        <v>440</v>
      </c>
      <c r="T63" s="6255" t="s">
        <v>1687</v>
      </c>
      <c r="U63" s="6256"/>
      <c r="V63" s="6252" t="str">
        <f>IF(S52=0,"",VLOOKUP(S52,'Tablas psiquica'!$D$7:$R$145,15,FALSE))</f>
        <v/>
      </c>
      <c r="W63" s="6253"/>
      <c r="X63" s="6253"/>
      <c r="Y63" s="6254"/>
      <c r="Z63" s="426"/>
      <c r="AA63" s="420"/>
      <c r="AB63" s="420"/>
      <c r="AC63" s="1149"/>
      <c r="AD63" s="452">
        <v>440</v>
      </c>
      <c r="AE63" s="6255" t="s">
        <v>1687</v>
      </c>
      <c r="AF63" s="6256"/>
      <c r="AG63" s="6252" t="str">
        <f>IF(AD52=0,"",VLOOKUP(AD52,'Tablas psiquica'!$D$7:$R$145,15,FALSE))</f>
        <v/>
      </c>
      <c r="AH63" s="6253"/>
      <c r="AI63" s="6253"/>
      <c r="AJ63" s="6254"/>
      <c r="AK63" s="697"/>
      <c r="AL63" s="452">
        <v>440</v>
      </c>
      <c r="AM63" s="6255" t="s">
        <v>1687</v>
      </c>
      <c r="AN63" s="6256"/>
      <c r="AO63" s="6252" t="str">
        <f>IF(AL52=0,"",VLOOKUP(AL52,'Tablas psiquica'!$D$7:$R$145,15,FALSE))</f>
        <v/>
      </c>
      <c r="AP63" s="6253"/>
      <c r="AQ63" s="6253"/>
      <c r="AR63" s="6254"/>
      <c r="AS63" s="1149"/>
      <c r="AT63" s="452">
        <v>440</v>
      </c>
      <c r="AU63" s="6255" t="s">
        <v>1687</v>
      </c>
      <c r="AV63" s="6256"/>
      <c r="AW63" s="6252" t="str">
        <f>IF(AT52=0,"",VLOOKUP(AT52,'Tablas psiquica'!$D$7:$R$145,15,FALSE))</f>
        <v/>
      </c>
      <c r="AX63" s="6253"/>
      <c r="AY63" s="6253"/>
      <c r="AZ63" s="6254"/>
      <c r="BA63" s="426"/>
      <c r="BB63" s="420"/>
      <c r="BC63" s="420"/>
      <c r="BD63" s="1149"/>
      <c r="BE63" s="452">
        <v>440</v>
      </c>
      <c r="BF63" s="6255" t="s">
        <v>1687</v>
      </c>
      <c r="BG63" s="6256"/>
      <c r="BH63" s="6252" t="str">
        <f>IF(BE52=0,"",VLOOKUP(BE52,'Tablas psiquica'!$D$7:$R$145,15,FALSE))</f>
        <v/>
      </c>
      <c r="BI63" s="6253"/>
      <c r="BJ63" s="6253"/>
      <c r="BK63" s="6254"/>
      <c r="BL63" s="697"/>
      <c r="BM63" s="452">
        <v>440</v>
      </c>
      <c r="BN63" s="6255" t="s">
        <v>1687</v>
      </c>
      <c r="BO63" s="6256"/>
      <c r="BP63" s="6252" t="str">
        <f>IF(BM52=0,"",VLOOKUP(BM52,'Tablas psiquica'!$D$7:$R$145,15,FALSE))</f>
        <v/>
      </c>
      <c r="BQ63" s="6253"/>
      <c r="BR63" s="6253"/>
      <c r="BS63" s="6254"/>
      <c r="BT63" s="1149"/>
      <c r="BU63" s="452">
        <v>440</v>
      </c>
      <c r="BV63" s="6255" t="s">
        <v>1687</v>
      </c>
      <c r="BW63" s="6256"/>
      <c r="BX63" s="6252" t="str">
        <f>IF(BU52=0,"",VLOOKUP(BU52,'Tablas psiquica'!$D$7:$R$145,15,FALSE))</f>
        <v/>
      </c>
      <c r="BY63" s="6253"/>
      <c r="BZ63" s="6253"/>
      <c r="CA63" s="6254"/>
      <c r="CB63" s="426"/>
      <c r="CC63" s="420"/>
      <c r="CD63" s="420"/>
      <c r="CE63" s="1149"/>
      <c r="CF63" s="452">
        <v>440</v>
      </c>
      <c r="CG63" s="6255" t="s">
        <v>1687</v>
      </c>
      <c r="CH63" s="6256"/>
      <c r="CI63" s="6252" t="str">
        <f>IF(CF52=0,"",VLOOKUP(CF52,'Tablas psiquica'!$D$7:$R$145,15,FALSE))</f>
        <v/>
      </c>
      <c r="CJ63" s="6253"/>
      <c r="CK63" s="6253"/>
      <c r="CL63" s="6254"/>
      <c r="CM63" s="697"/>
      <c r="CN63" s="452">
        <v>440</v>
      </c>
      <c r="CO63" s="6255" t="s">
        <v>1687</v>
      </c>
      <c r="CP63" s="6256"/>
      <c r="CQ63" s="6252" t="str">
        <f>IF(CN52=0,"",VLOOKUP(CN52,'Tablas psiquica'!$D$7:$R$145,15,FALSE))</f>
        <v/>
      </c>
      <c r="CR63" s="6253"/>
      <c r="CS63" s="6253"/>
      <c r="CT63" s="6254"/>
      <c r="CU63" s="1149"/>
      <c r="CV63" s="452">
        <v>440</v>
      </c>
      <c r="CW63" s="6255" t="s">
        <v>1687</v>
      </c>
      <c r="CX63" s="6256"/>
      <c r="CY63" s="6252" t="str">
        <f>IF(CV52=0,"",VLOOKUP(CV52,'Tablas psiquica'!$D$7:$R$145,15,FALSE))</f>
        <v/>
      </c>
      <c r="CZ63" s="6253"/>
      <c r="DA63" s="6253"/>
      <c r="DB63" s="6254"/>
      <c r="DC63" s="426"/>
      <c r="DD63" s="420"/>
    </row>
    <row r="64" spans="1:108" ht="12" customHeight="1" thickBot="1" x14ac:dyDescent="0.25">
      <c r="A64" s="420"/>
      <c r="B64" s="1149"/>
      <c r="C64" s="6247" t="s">
        <v>6337</v>
      </c>
      <c r="D64" s="6248"/>
      <c r="E64" s="453" t="str">
        <f>IF(C52=0,"",VLOOKUP(C52,'Tablas psiquica'!$D$7:$R$145,4,FALSE))</f>
        <v/>
      </c>
      <c r="F64" s="6249" t="s">
        <v>6332</v>
      </c>
      <c r="G64" s="6249"/>
      <c r="H64" s="6250" t="str">
        <f>IF(C52=0,"",VLOOKUP(C52,'Tablas psiquica'!$D$7:$R$145,5,FALSE))</f>
        <v/>
      </c>
      <c r="I64" s="6251"/>
      <c r="J64" s="697"/>
      <c r="K64" s="6247" t="s">
        <v>6337</v>
      </c>
      <c r="L64" s="6248"/>
      <c r="M64" s="453" t="str">
        <f>IF(K52=0,"",VLOOKUP(K52,'Tablas psiquica'!$D$7:$R$145,4,FALSE))</f>
        <v/>
      </c>
      <c r="N64" s="6249" t="s">
        <v>6332</v>
      </c>
      <c r="O64" s="6249"/>
      <c r="P64" s="6250" t="str">
        <f>IF(K52=0,"",VLOOKUP(K52,'Tablas psiquica'!$D$7:$R$145,5,FALSE))</f>
        <v/>
      </c>
      <c r="Q64" s="6251"/>
      <c r="R64" s="1149"/>
      <c r="S64" s="6247" t="s">
        <v>6337</v>
      </c>
      <c r="T64" s="6248"/>
      <c r="U64" s="453" t="str">
        <f>IF(S52=0,"",VLOOKUP(S52,'Tablas psiquica'!$D$7:$R$145,4,FALSE))</f>
        <v/>
      </c>
      <c r="V64" s="6249" t="s">
        <v>6332</v>
      </c>
      <c r="W64" s="6249"/>
      <c r="X64" s="6250" t="str">
        <f>IF(S52=0,"",VLOOKUP(S52,'Tablas psiquica'!$D$7:$R$145,5,FALSE))</f>
        <v/>
      </c>
      <c r="Y64" s="6251"/>
      <c r="Z64" s="426"/>
      <c r="AA64" s="420"/>
      <c r="AB64" s="420"/>
      <c r="AC64" s="1149"/>
      <c r="AD64" s="6247" t="s">
        <v>6337</v>
      </c>
      <c r="AE64" s="6248"/>
      <c r="AF64" s="453" t="str">
        <f>IF(AD52=0,"",VLOOKUP(AD52,'Tablas psiquica'!$D$7:$R$145,4,FALSE))</f>
        <v/>
      </c>
      <c r="AG64" s="6249" t="s">
        <v>6332</v>
      </c>
      <c r="AH64" s="6249"/>
      <c r="AI64" s="6250" t="str">
        <f>IF(AD52=0,"",VLOOKUP(AD52,'Tablas psiquica'!$D$7:$R$145,5,FALSE))</f>
        <v/>
      </c>
      <c r="AJ64" s="6251"/>
      <c r="AK64" s="697"/>
      <c r="AL64" s="6247" t="s">
        <v>6337</v>
      </c>
      <c r="AM64" s="6248"/>
      <c r="AN64" s="453" t="str">
        <f>IF(AL52=0,"",VLOOKUP(AL52,'Tablas psiquica'!$D$7:$R$145,4,FALSE))</f>
        <v/>
      </c>
      <c r="AO64" s="6249" t="s">
        <v>6332</v>
      </c>
      <c r="AP64" s="6249"/>
      <c r="AQ64" s="6250" t="str">
        <f>IF(AL52=0,"",VLOOKUP(AL52,'Tablas psiquica'!$D$7:$R$145,5,FALSE))</f>
        <v/>
      </c>
      <c r="AR64" s="6251"/>
      <c r="AS64" s="1149"/>
      <c r="AT64" s="6247" t="s">
        <v>6337</v>
      </c>
      <c r="AU64" s="6248"/>
      <c r="AV64" s="453" t="str">
        <f>IF(AT52=0,"",VLOOKUP(AT52,'Tablas psiquica'!$D$7:$R$145,4,FALSE))</f>
        <v/>
      </c>
      <c r="AW64" s="6249" t="s">
        <v>6332</v>
      </c>
      <c r="AX64" s="6249"/>
      <c r="AY64" s="6250" t="str">
        <f>IF(AT52=0,"",VLOOKUP(AT52,'Tablas psiquica'!$D$7:$R$145,5,FALSE))</f>
        <v/>
      </c>
      <c r="AZ64" s="6251"/>
      <c r="BA64" s="426"/>
      <c r="BB64" s="420"/>
      <c r="BC64" s="420"/>
      <c r="BD64" s="1149"/>
      <c r="BE64" s="6247" t="s">
        <v>6337</v>
      </c>
      <c r="BF64" s="6248"/>
      <c r="BG64" s="453" t="str">
        <f>IF(BE52=0,"",VLOOKUP(BE52,'Tablas psiquica'!$D$7:$R$145,4,FALSE))</f>
        <v/>
      </c>
      <c r="BH64" s="6249" t="s">
        <v>6332</v>
      </c>
      <c r="BI64" s="6249"/>
      <c r="BJ64" s="6250" t="str">
        <f>IF(BE52=0,"",VLOOKUP(BE52,'Tablas psiquica'!$D$7:$R$145,5,FALSE))</f>
        <v/>
      </c>
      <c r="BK64" s="6251"/>
      <c r="BL64" s="697"/>
      <c r="BM64" s="6247" t="s">
        <v>6337</v>
      </c>
      <c r="BN64" s="6248"/>
      <c r="BO64" s="453" t="str">
        <f>IF(BM52=0,"",VLOOKUP(BM52,'Tablas psiquica'!$D$7:$R$145,4,FALSE))</f>
        <v/>
      </c>
      <c r="BP64" s="6249" t="s">
        <v>6332</v>
      </c>
      <c r="BQ64" s="6249"/>
      <c r="BR64" s="6250" t="str">
        <f>IF(BM52=0,"",VLOOKUP(BM52,'Tablas psiquica'!$D$7:$R$145,5,FALSE))</f>
        <v/>
      </c>
      <c r="BS64" s="6251"/>
      <c r="BT64" s="1149"/>
      <c r="BU64" s="6247" t="s">
        <v>6337</v>
      </c>
      <c r="BV64" s="6248"/>
      <c r="BW64" s="453" t="str">
        <f>IF(BU52=0,"",VLOOKUP(BU52,'Tablas psiquica'!$D$7:$R$145,4,FALSE))</f>
        <v/>
      </c>
      <c r="BX64" s="6249" t="s">
        <v>6332</v>
      </c>
      <c r="BY64" s="6249"/>
      <c r="BZ64" s="6250" t="str">
        <f>IF(BU52=0,"",VLOOKUP(BU52,'Tablas psiquica'!$D$7:$R$145,5,FALSE))</f>
        <v/>
      </c>
      <c r="CA64" s="6251"/>
      <c r="CB64" s="426"/>
      <c r="CC64" s="420"/>
      <c r="CD64" s="420"/>
      <c r="CE64" s="1149"/>
      <c r="CF64" s="6247" t="s">
        <v>6337</v>
      </c>
      <c r="CG64" s="6248"/>
      <c r="CH64" s="453" t="str">
        <f>IF(CF52=0,"",VLOOKUP(CF52,'Tablas psiquica'!$D$7:$R$145,4,FALSE))</f>
        <v/>
      </c>
      <c r="CI64" s="6249" t="s">
        <v>6332</v>
      </c>
      <c r="CJ64" s="6249"/>
      <c r="CK64" s="6250" t="str">
        <f>IF(CF52=0,"",VLOOKUP(CF52,'Tablas psiquica'!$D$7:$R$145,5,FALSE))</f>
        <v/>
      </c>
      <c r="CL64" s="6251"/>
      <c r="CM64" s="697"/>
      <c r="CN64" s="6247" t="s">
        <v>6337</v>
      </c>
      <c r="CO64" s="6248"/>
      <c r="CP64" s="453" t="str">
        <f>IF(CN52=0,"",VLOOKUP(CN52,'Tablas psiquica'!$D$7:$R$145,4,FALSE))</f>
        <v/>
      </c>
      <c r="CQ64" s="6249" t="s">
        <v>6332</v>
      </c>
      <c r="CR64" s="6249"/>
      <c r="CS64" s="6250" t="str">
        <f>IF(CN52=0,"",VLOOKUP(CN52,'Tablas psiquica'!$D$7:$R$145,5,FALSE))</f>
        <v/>
      </c>
      <c r="CT64" s="6251"/>
      <c r="CU64" s="1149"/>
      <c r="CV64" s="6247" t="s">
        <v>6337</v>
      </c>
      <c r="CW64" s="6248"/>
      <c r="CX64" s="453" t="str">
        <f>IF(CV52=0,"",VLOOKUP(CV52,'Tablas psiquica'!$D$7:$R$145,4,FALSE))</f>
        <v/>
      </c>
      <c r="CY64" s="6249" t="s">
        <v>6332</v>
      </c>
      <c r="CZ64" s="6249"/>
      <c r="DA64" s="6250" t="str">
        <f>IF(CV52=0,"",VLOOKUP(CV52,'Tablas psiquica'!$D$7:$R$145,5,FALSE))</f>
        <v/>
      </c>
      <c r="DB64" s="6251"/>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68">
        <f>IFERROR(INDEX('Tablas psiquica'!$U$115:$AH$129,B66,Y$7),0)</f>
        <v>0</v>
      </c>
      <c r="D66" s="6269"/>
      <c r="E66" s="6269"/>
      <c r="F66" s="6269"/>
      <c r="G66" s="6269"/>
      <c r="H66" s="6269"/>
      <c r="I66" s="451" t="s">
        <v>1406</v>
      </c>
      <c r="J66" s="697">
        <v>14</v>
      </c>
      <c r="K66" s="6268">
        <f>IFERROR(INDEX('Tablas psiquica'!$U$115:$AH$129,J66,Y$7),0)</f>
        <v>0</v>
      </c>
      <c r="L66" s="6269"/>
      <c r="M66" s="6269"/>
      <c r="N66" s="6269"/>
      <c r="O66" s="6269"/>
      <c r="P66" s="6269"/>
      <c r="Q66" s="451" t="s">
        <v>1406</v>
      </c>
      <c r="R66" s="1149">
        <v>15</v>
      </c>
      <c r="S66" s="6268">
        <f>IFERROR(INDEX('Tablas psiquica'!$U$115:$AH$129,R66,Y$7),0)</f>
        <v>0</v>
      </c>
      <c r="T66" s="6269"/>
      <c r="U66" s="6269"/>
      <c r="V66" s="6269"/>
      <c r="W66" s="6269"/>
      <c r="X66" s="6269"/>
      <c r="Y66" s="451" t="s">
        <v>1406</v>
      </c>
      <c r="Z66" s="426"/>
      <c r="AA66" s="420"/>
      <c r="AB66" s="420"/>
      <c r="AC66" s="1149">
        <v>13</v>
      </c>
      <c r="AD66" s="6268">
        <f>IFERROR(INDEX('Tablas psiquica'!$U$115:$AH$129,AC66,AZ$7),0)</f>
        <v>0</v>
      </c>
      <c r="AE66" s="6269"/>
      <c r="AF66" s="6269"/>
      <c r="AG66" s="6269"/>
      <c r="AH66" s="6269"/>
      <c r="AI66" s="6269"/>
      <c r="AJ66" s="451" t="s">
        <v>1406</v>
      </c>
      <c r="AK66" s="697">
        <v>14</v>
      </c>
      <c r="AL66" s="6268">
        <f>IFERROR(INDEX('Tablas psiquica'!$U$115:$AH$129,AK66,AZ$7),0)</f>
        <v>0</v>
      </c>
      <c r="AM66" s="6269"/>
      <c r="AN66" s="6269"/>
      <c r="AO66" s="6269"/>
      <c r="AP66" s="6269"/>
      <c r="AQ66" s="6269"/>
      <c r="AR66" s="451" t="s">
        <v>1406</v>
      </c>
      <c r="AS66" s="1149">
        <v>15</v>
      </c>
      <c r="AT66" s="6268">
        <f>IFERROR(INDEX('Tablas psiquica'!$U$115:$AH$129,AS66,AZ$7),0)</f>
        <v>0</v>
      </c>
      <c r="AU66" s="6269"/>
      <c r="AV66" s="6269"/>
      <c r="AW66" s="6269"/>
      <c r="AX66" s="6269"/>
      <c r="AY66" s="6269"/>
      <c r="AZ66" s="451" t="s">
        <v>1406</v>
      </c>
      <c r="BA66" s="426"/>
      <c r="BB66" s="420"/>
      <c r="BC66" s="420"/>
      <c r="BD66" s="1149">
        <v>13</v>
      </c>
      <c r="BE66" s="6268">
        <f>IFERROR(INDEX('Tablas psiquica'!$U$115:$AH$129,BD66,CA$7),0)</f>
        <v>0</v>
      </c>
      <c r="BF66" s="6269"/>
      <c r="BG66" s="6269"/>
      <c r="BH66" s="6269"/>
      <c r="BI66" s="6269"/>
      <c r="BJ66" s="6269"/>
      <c r="BK66" s="451" t="s">
        <v>1406</v>
      </c>
      <c r="BL66" s="697">
        <v>14</v>
      </c>
      <c r="BM66" s="6268">
        <f>IFERROR(INDEX('Tablas psiquica'!$U$115:$AH$129,BL66,CA$7),0)</f>
        <v>0</v>
      </c>
      <c r="BN66" s="6269"/>
      <c r="BO66" s="6269"/>
      <c r="BP66" s="6269"/>
      <c r="BQ66" s="6269"/>
      <c r="BR66" s="6269"/>
      <c r="BS66" s="451" t="s">
        <v>1406</v>
      </c>
      <c r="BT66" s="1149">
        <v>15</v>
      </c>
      <c r="BU66" s="6268">
        <f>IFERROR(INDEX('Tablas psiquica'!$U$115:$AH$129,BT66,CA$7),0)</f>
        <v>0</v>
      </c>
      <c r="BV66" s="6269"/>
      <c r="BW66" s="6269"/>
      <c r="BX66" s="6269"/>
      <c r="BY66" s="6269"/>
      <c r="BZ66" s="6269"/>
      <c r="CA66" s="451" t="s">
        <v>1406</v>
      </c>
      <c r="CB66" s="426"/>
      <c r="CC66" s="420"/>
      <c r="CD66" s="420"/>
      <c r="CE66" s="1149">
        <v>13</v>
      </c>
      <c r="CF66" s="6268">
        <f>IFERROR(INDEX('Tablas psiquica'!$U$115:$AH$129,CE66,DB$7),0)</f>
        <v>0</v>
      </c>
      <c r="CG66" s="6269"/>
      <c r="CH66" s="6269"/>
      <c r="CI66" s="6269"/>
      <c r="CJ66" s="6269"/>
      <c r="CK66" s="6269"/>
      <c r="CL66" s="451" t="s">
        <v>1406</v>
      </c>
      <c r="CM66" s="697">
        <v>14</v>
      </c>
      <c r="CN66" s="6268">
        <f>IFERROR(INDEX('Tablas psiquica'!$U$115:$AH$129,CM66,DB$7),0)</f>
        <v>0</v>
      </c>
      <c r="CO66" s="6269"/>
      <c r="CP66" s="6269"/>
      <c r="CQ66" s="6269"/>
      <c r="CR66" s="6269"/>
      <c r="CS66" s="6269"/>
      <c r="CT66" s="451" t="s">
        <v>1406</v>
      </c>
      <c r="CU66" s="1149">
        <v>15</v>
      </c>
      <c r="CV66" s="6268">
        <f>IFERROR(INDEX('Tablas psiquica'!$U$115:$AH$129,CU66,DB$7),0)</f>
        <v>0</v>
      </c>
      <c r="CW66" s="6269"/>
      <c r="CX66" s="6269"/>
      <c r="CY66" s="6269"/>
      <c r="CZ66" s="6269"/>
      <c r="DA66" s="6269"/>
      <c r="DB66" s="451" t="s">
        <v>1406</v>
      </c>
      <c r="DC66" s="426"/>
      <c r="DD66" s="420"/>
    </row>
    <row r="67" spans="1:108" ht="12" customHeight="1" x14ac:dyDescent="0.2">
      <c r="A67" s="420"/>
      <c r="B67" s="289"/>
      <c r="C67" s="6263" t="str">
        <f>IF(C66=0,"",VLOOKUP(C66,'Tablas psiquica'!$D$7:$R$145,2,FALSE))</f>
        <v/>
      </c>
      <c r="D67" s="6264"/>
      <c r="E67" s="6264"/>
      <c r="F67" s="6265"/>
      <c r="G67" s="6266" t="str">
        <f>IF(C66=0,"",IF(INDEX('Tablas psiquica'!$U$114:$AH$114,1,$Y$7)=0,"No Accesible",IF(ISNA(VLOOKUP(C66,Psíquicos!$AS$17:$AS$43,1,0)),"Accesible CV","Aprendido")))</f>
        <v/>
      </c>
      <c r="H67" s="6267"/>
      <c r="I67" s="1790" t="str">
        <f>IF(C66=0,"",VLOOKUP(C66,'Tablas psiquica'!$D$7:$R$145,3,FALSE))</f>
        <v/>
      </c>
      <c r="K67" s="6263" t="str">
        <f>IF(K66=0,"",VLOOKUP(K66,'Tablas psiquica'!$D$7:$R$145,2,FALSE))</f>
        <v/>
      </c>
      <c r="L67" s="6264"/>
      <c r="M67" s="6264"/>
      <c r="N67" s="6265"/>
      <c r="O67" s="6266" t="str">
        <f>IF(K66=0,"",IF(INDEX('Tablas psiquica'!$U$114:$AH$114,1,$Y$7)=0,"No Accesible",IF(ISNA(VLOOKUP(K66,Psíquicos!$AS$17:$AS$43,1,0)),"Accesible CV","Aprendido")))</f>
        <v/>
      </c>
      <c r="P67" s="6267"/>
      <c r="Q67" s="1790" t="str">
        <f>IF(K66=0,"",VLOOKUP(K66,'Tablas psiquica'!$D$7:$R$145,3,FALSE))</f>
        <v/>
      </c>
      <c r="R67" s="289"/>
      <c r="S67" s="6263" t="str">
        <f>IF(S66=0,"",VLOOKUP(S66,'Tablas psiquica'!$D$7:$R$145,2,FALSE))</f>
        <v/>
      </c>
      <c r="T67" s="6264"/>
      <c r="U67" s="6264"/>
      <c r="V67" s="6265"/>
      <c r="W67" s="6266" t="str">
        <f>IF(S66=0,"",IF(INDEX('Tablas psiquica'!$U$114:$AH$114,1,$Y$7)=0,"No Accesible",IF(ISNA(VLOOKUP(S66,Psíquicos!$AS$17:$AS$43,1,0)),"Accesible CV","Aprendido")))</f>
        <v/>
      </c>
      <c r="X67" s="6267"/>
      <c r="Y67" s="1790" t="str">
        <f>IF(S66=0,"",VLOOKUP(S66,'Tablas psiquica'!$D$7:$R$145,3,FALSE))</f>
        <v/>
      </c>
      <c r="Z67" s="426"/>
      <c r="AA67" s="420"/>
      <c r="AB67" s="420"/>
      <c r="AC67" s="289"/>
      <c r="AD67" s="6263" t="str">
        <f>IF(AD66=0,"",VLOOKUP(AD66,'Tablas psiquica'!$D$7:$R$145,2,FALSE))</f>
        <v/>
      </c>
      <c r="AE67" s="6264"/>
      <c r="AF67" s="6264"/>
      <c r="AG67" s="6265"/>
      <c r="AH67" s="6266" t="str">
        <f>IF(AD66=0,"",IF(INDEX('Tablas psiquica'!$U$114:$AH$114,1,$AZ$7)=0,"No Accesible",IF(ISNA(VLOOKUP(AD66,Psíquicos!$AS$17:$AS$43,1,0)),"Accesible CV","Aprendido")))</f>
        <v/>
      </c>
      <c r="AI67" s="6267"/>
      <c r="AJ67" s="1790" t="str">
        <f>IF(AD66=0,"",VLOOKUP(AD66,'Tablas psiquica'!$D$7:$R$145,3,FALSE))</f>
        <v/>
      </c>
      <c r="AL67" s="6263" t="str">
        <f>IF(AL66=0,"",VLOOKUP(AL66,'Tablas psiquica'!$D$7:$R$145,2,FALSE))</f>
        <v/>
      </c>
      <c r="AM67" s="6264"/>
      <c r="AN67" s="6264"/>
      <c r="AO67" s="6265"/>
      <c r="AP67" s="6266" t="str">
        <f>IF(AL66=0,"",IF(INDEX('Tablas psiquica'!$U$114:$AH$114,1,$AZ$7)=0,"No Accesible",IF(ISNA(VLOOKUP(AL66,Psíquicos!$AS$17:$AS$43,1,0)),"Accesible CV","Aprendido")))</f>
        <v/>
      </c>
      <c r="AQ67" s="6267"/>
      <c r="AR67" s="1790" t="str">
        <f>IF(AL66=0,"",VLOOKUP(AL66,'Tablas psiquica'!$D$7:$R$145,3,FALSE))</f>
        <v/>
      </c>
      <c r="AS67" s="289"/>
      <c r="AT67" s="6263" t="str">
        <f>IF(AT66=0,"",VLOOKUP(AT66,'Tablas psiquica'!$D$7:$R$145,2,FALSE))</f>
        <v/>
      </c>
      <c r="AU67" s="6264"/>
      <c r="AV67" s="6264"/>
      <c r="AW67" s="6265"/>
      <c r="AX67" s="6266" t="str">
        <f>IF(AT66=0,"",IF(INDEX('Tablas psiquica'!$U$114:$AH$114,1,$AZ$7)=0,"No Accesible",IF(ISNA(VLOOKUP(AT66,Psíquicos!$AS$17:$AS$43,1,0)),"Accesible CV","Aprendido")))</f>
        <v/>
      </c>
      <c r="AY67" s="6267"/>
      <c r="AZ67" s="1790" t="str">
        <f>IF(AT66=0,"",VLOOKUP(AT66,'Tablas psiquica'!$D$7:$R$145,3,FALSE))</f>
        <v/>
      </c>
      <c r="BA67" s="426"/>
      <c r="BB67" s="420"/>
      <c r="BC67" s="420"/>
      <c r="BD67" s="289"/>
      <c r="BE67" s="6263" t="str">
        <f>IF(BE66=0,"",VLOOKUP(BE66,'Tablas psiquica'!$D$7:$R$145,2,FALSE))</f>
        <v/>
      </c>
      <c r="BF67" s="6264"/>
      <c r="BG67" s="6264"/>
      <c r="BH67" s="6265"/>
      <c r="BI67" s="6266" t="str">
        <f>IF(BE66=0,"",IF(INDEX('Tablas psiquica'!$U$114:$AH$114,1,$CA$7)=0,"No Accesible",IF(ISNA(VLOOKUP(BE66,Psíquicos!$AS$17:$AS$43,1,0)),"Accesible CV","Aprendido")))</f>
        <v/>
      </c>
      <c r="BJ67" s="6267"/>
      <c r="BK67" s="1790" t="str">
        <f>IF(BE66=0,"",VLOOKUP(BE66,'Tablas psiquica'!$D$7:$R$145,3,FALSE))</f>
        <v/>
      </c>
      <c r="BM67" s="6263" t="str">
        <f>IF(BM66=0,"",VLOOKUP(BM66,'Tablas psiquica'!$D$7:$R$145,2,FALSE))</f>
        <v/>
      </c>
      <c r="BN67" s="6264"/>
      <c r="BO67" s="6264"/>
      <c r="BP67" s="6265"/>
      <c r="BQ67" s="6266" t="str">
        <f>IF(BM66=0,"",IF(INDEX('Tablas psiquica'!$U$114:$AH$114,1,$CA$7)=0,"No Accesible",IF(ISNA(VLOOKUP(BM66,Psíquicos!$AS$17:$AS$43,1,0)),"Accesible CV","Aprendido")))</f>
        <v/>
      </c>
      <c r="BR67" s="6267"/>
      <c r="BS67" s="1790" t="str">
        <f>IF(BM66=0,"",VLOOKUP(BM66,'Tablas psiquica'!$D$7:$R$145,3,FALSE))</f>
        <v/>
      </c>
      <c r="BT67" s="289"/>
      <c r="BU67" s="6263" t="str">
        <f>IF(BU66=0,"",VLOOKUP(BU66,'Tablas psiquica'!$D$7:$R$145,2,FALSE))</f>
        <v/>
      </c>
      <c r="BV67" s="6264"/>
      <c r="BW67" s="6264"/>
      <c r="BX67" s="6265"/>
      <c r="BY67" s="6266" t="str">
        <f>IF(BU66=0,"",IF(INDEX('Tablas psiquica'!$U$114:$AH$114,1,$CA$7)=0,"No Accesible",IF(ISNA(VLOOKUP(BU66,Psíquicos!$AS$17:$AS$43,1,0)),"Accesible CV","Aprendido")))</f>
        <v/>
      </c>
      <c r="BZ67" s="6267"/>
      <c r="CA67" s="1790" t="str">
        <f>IF(BU66=0,"",VLOOKUP(BU66,'Tablas psiquica'!$D$7:$R$145,3,FALSE))</f>
        <v/>
      </c>
      <c r="CB67" s="426"/>
      <c r="CC67" s="420"/>
      <c r="CD67" s="420"/>
      <c r="CE67" s="289"/>
      <c r="CF67" s="6263" t="str">
        <f>IF(CF66=0,"",VLOOKUP(CF66,'Tablas psiquica'!$D$7:$R$145,2,FALSE))</f>
        <v/>
      </c>
      <c r="CG67" s="6264"/>
      <c r="CH67" s="6264"/>
      <c r="CI67" s="6265"/>
      <c r="CJ67" s="6266" t="str">
        <f>IF(CF66=0,"",IF(INDEX('Tablas psiquica'!$U$114:$AH$114,1,$DB$7)=0,"No Accesible",IF(ISNA(VLOOKUP(CF66,Psíquicos!$AS$17:$AS$43,1,0)),"Accesible CV","Aprendido")))</f>
        <v/>
      </c>
      <c r="CK67" s="6267"/>
      <c r="CL67" s="1790" t="str">
        <f>IF(CF66=0,"",VLOOKUP(CF66,'Tablas psiquica'!$D$7:$R$145,3,FALSE))</f>
        <v/>
      </c>
      <c r="CN67" s="6263" t="str">
        <f>IF(CN66=0,"",VLOOKUP(CN66,'Tablas psiquica'!$D$7:$R$145,2,FALSE))</f>
        <v/>
      </c>
      <c r="CO67" s="6264"/>
      <c r="CP67" s="6264"/>
      <c r="CQ67" s="6265"/>
      <c r="CR67" s="6266" t="str">
        <f>IF(CN66=0,"",IF(INDEX('Tablas psiquica'!$U$114:$AH$114,1,$DB$7)=0,"No Accesible",IF(ISNA(VLOOKUP(CN66,Psíquicos!$AS$17:$AS$43,1,0)),"Accesible CV","Aprendido")))</f>
        <v/>
      </c>
      <c r="CS67" s="6267"/>
      <c r="CT67" s="1790" t="str">
        <f>IF(CN66=0,"",VLOOKUP(CN66,'Tablas psiquica'!$D$7:$R$145,3,FALSE))</f>
        <v/>
      </c>
      <c r="CU67" s="289"/>
      <c r="CV67" s="6263" t="str">
        <f>IF(CV66=0,"",VLOOKUP(CV66,'Tablas psiquica'!$D$7:$R$145,2,FALSE))</f>
        <v/>
      </c>
      <c r="CW67" s="6264"/>
      <c r="CX67" s="6264"/>
      <c r="CY67" s="6265"/>
      <c r="CZ67" s="6266" t="str">
        <f>IF(CV66=0,"",IF(INDEX('Tablas psiquica'!$U$114:$AH$114,1,$DB$7)=0,"No Accesible",IF(ISNA(VLOOKUP(CV66,Psíquicos!$AS$17:$AS$43,1,0)),"Accesible CV","Aprendido")))</f>
        <v/>
      </c>
      <c r="DA67" s="6267"/>
      <c r="DB67" s="1790" t="str">
        <f>IF(CV66=0,"",VLOOKUP(CV66,'Tablas psiquica'!$D$7:$R$145,3,FALSE))</f>
        <v/>
      </c>
      <c r="DC67" s="426"/>
      <c r="DD67" s="420"/>
    </row>
    <row r="68" spans="1:108" ht="12" customHeight="1" x14ac:dyDescent="0.2">
      <c r="A68" s="420"/>
      <c r="B68" s="289"/>
      <c r="C68" s="1751">
        <v>20</v>
      </c>
      <c r="D68" s="6257" t="s">
        <v>1727</v>
      </c>
      <c r="E68" s="6191"/>
      <c r="F68" s="6258" t="str">
        <f>IF(C66=0,"",VLOOKUP(C66,'Tablas psiquica'!$D$7:$R$145,6,FALSE))</f>
        <v/>
      </c>
      <c r="G68" s="5838"/>
      <c r="H68" s="5838"/>
      <c r="I68" s="5867"/>
      <c r="K68" s="1751">
        <v>20</v>
      </c>
      <c r="L68" s="6257" t="s">
        <v>1727</v>
      </c>
      <c r="M68" s="6191"/>
      <c r="N68" s="6258" t="str">
        <f>IF(K66=0,"",VLOOKUP(K66,'Tablas psiquica'!$D$7:$R$145,6,FALSE))</f>
        <v/>
      </c>
      <c r="O68" s="5838"/>
      <c r="P68" s="5838"/>
      <c r="Q68" s="5867"/>
      <c r="R68" s="289"/>
      <c r="S68" s="1751">
        <v>20</v>
      </c>
      <c r="T68" s="6257" t="s">
        <v>1727</v>
      </c>
      <c r="U68" s="6191"/>
      <c r="V68" s="6258" t="str">
        <f>IF(S66=0,"",VLOOKUP(S66,'Tablas psiquica'!$D$7:$R$145,6,FALSE))</f>
        <v/>
      </c>
      <c r="W68" s="5838"/>
      <c r="X68" s="5838"/>
      <c r="Y68" s="5867"/>
      <c r="Z68" s="426"/>
      <c r="AA68" s="420"/>
      <c r="AB68" s="420"/>
      <c r="AC68" s="289"/>
      <c r="AD68" s="1751">
        <v>20</v>
      </c>
      <c r="AE68" s="6257" t="s">
        <v>1727</v>
      </c>
      <c r="AF68" s="6191"/>
      <c r="AG68" s="6258" t="str">
        <f>IF(AD66=0,"",VLOOKUP(AD66,'Tablas psiquica'!$D$7:$R$145,6,FALSE))</f>
        <v/>
      </c>
      <c r="AH68" s="5838"/>
      <c r="AI68" s="5838"/>
      <c r="AJ68" s="5867"/>
      <c r="AL68" s="1751">
        <v>20</v>
      </c>
      <c r="AM68" s="6257" t="s">
        <v>1727</v>
      </c>
      <c r="AN68" s="6191"/>
      <c r="AO68" s="6258" t="str">
        <f>IF(AL66=0,"",VLOOKUP(AL66,'Tablas psiquica'!$D$7:$R$145,6,FALSE))</f>
        <v/>
      </c>
      <c r="AP68" s="5838"/>
      <c r="AQ68" s="5838"/>
      <c r="AR68" s="5867"/>
      <c r="AS68" s="289"/>
      <c r="AT68" s="1751">
        <v>20</v>
      </c>
      <c r="AU68" s="6257" t="s">
        <v>1727</v>
      </c>
      <c r="AV68" s="6191"/>
      <c r="AW68" s="6258" t="str">
        <f>IF(AT66=0,"",VLOOKUP(AT66,'Tablas psiquica'!$D$7:$R$145,6,FALSE))</f>
        <v/>
      </c>
      <c r="AX68" s="5838"/>
      <c r="AY68" s="5838"/>
      <c r="AZ68" s="5867"/>
      <c r="BA68" s="426"/>
      <c r="BB68" s="420"/>
      <c r="BC68" s="420"/>
      <c r="BD68" s="289"/>
      <c r="BE68" s="1751">
        <v>20</v>
      </c>
      <c r="BF68" s="6257" t="s">
        <v>1727</v>
      </c>
      <c r="BG68" s="6191"/>
      <c r="BH68" s="6258" t="str">
        <f>IF(BE66=0,"",VLOOKUP(BE66,'Tablas psiquica'!$D$7:$R$145,6,FALSE))</f>
        <v/>
      </c>
      <c r="BI68" s="5838"/>
      <c r="BJ68" s="5838"/>
      <c r="BK68" s="5867"/>
      <c r="BM68" s="1751">
        <v>20</v>
      </c>
      <c r="BN68" s="6257" t="s">
        <v>1727</v>
      </c>
      <c r="BO68" s="6191"/>
      <c r="BP68" s="6258" t="str">
        <f>IF(BM66=0,"",VLOOKUP(BM66,'Tablas psiquica'!$D$7:$R$145,6,FALSE))</f>
        <v/>
      </c>
      <c r="BQ68" s="5838"/>
      <c r="BR68" s="5838"/>
      <c r="BS68" s="5867"/>
      <c r="BT68" s="289"/>
      <c r="BU68" s="1751">
        <v>20</v>
      </c>
      <c r="BV68" s="6257" t="s">
        <v>1727</v>
      </c>
      <c r="BW68" s="6191"/>
      <c r="BX68" s="6258" t="str">
        <f>IF(BU66=0,"",VLOOKUP(BU66,'Tablas psiquica'!$D$7:$R$145,6,FALSE))</f>
        <v/>
      </c>
      <c r="BY68" s="5838"/>
      <c r="BZ68" s="5838"/>
      <c r="CA68" s="5867"/>
      <c r="CB68" s="426"/>
      <c r="CC68" s="420"/>
      <c r="CD68" s="420"/>
      <c r="CE68" s="289"/>
      <c r="CF68" s="1751">
        <v>20</v>
      </c>
      <c r="CG68" s="6257" t="s">
        <v>1727</v>
      </c>
      <c r="CH68" s="6191"/>
      <c r="CI68" s="6258" t="str">
        <f>IF(CF66=0,"",VLOOKUP(CF66,'Tablas psiquica'!$D$7:$R$145,6,FALSE))</f>
        <v/>
      </c>
      <c r="CJ68" s="5838"/>
      <c r="CK68" s="5838"/>
      <c r="CL68" s="5867"/>
      <c r="CN68" s="1751">
        <v>20</v>
      </c>
      <c r="CO68" s="6257" t="s">
        <v>1727</v>
      </c>
      <c r="CP68" s="6191"/>
      <c r="CQ68" s="6258" t="str">
        <f>IF(CN66=0,"",VLOOKUP(CN66,'Tablas psiquica'!$D$7:$R$145,6,FALSE))</f>
        <v/>
      </c>
      <c r="CR68" s="5838"/>
      <c r="CS68" s="5838"/>
      <c r="CT68" s="5867"/>
      <c r="CU68" s="289"/>
      <c r="CV68" s="1751">
        <v>20</v>
      </c>
      <c r="CW68" s="6257" t="s">
        <v>1727</v>
      </c>
      <c r="CX68" s="6191"/>
      <c r="CY68" s="6258" t="str">
        <f>IF(CV66=0,"",VLOOKUP(CV66,'Tablas psiquica'!$D$7:$R$145,6,FALSE))</f>
        <v/>
      </c>
      <c r="CZ68" s="5838"/>
      <c r="DA68" s="5838"/>
      <c r="DB68" s="5867"/>
      <c r="DC68" s="426"/>
      <c r="DD68" s="420"/>
    </row>
    <row r="69" spans="1:108" ht="12" customHeight="1" x14ac:dyDescent="0.2">
      <c r="A69" s="420"/>
      <c r="B69" s="289"/>
      <c r="C69" s="1750">
        <v>40</v>
      </c>
      <c r="D69" s="6259" t="s">
        <v>1729</v>
      </c>
      <c r="E69" s="6186"/>
      <c r="F69" s="6260" t="str">
        <f>IF(C66=0,"",VLOOKUP(C66,'Tablas psiquica'!$D$7:$R$145,7,FALSE))</f>
        <v/>
      </c>
      <c r="G69" s="6261"/>
      <c r="H69" s="6261"/>
      <c r="I69" s="6262"/>
      <c r="K69" s="1750">
        <v>40</v>
      </c>
      <c r="L69" s="6259" t="s">
        <v>1729</v>
      </c>
      <c r="M69" s="6186"/>
      <c r="N69" s="6260" t="str">
        <f>IF(K66=0,"",VLOOKUP(K66,'Tablas psiquica'!$D$7:$R$145,7,FALSE))</f>
        <v/>
      </c>
      <c r="O69" s="6261"/>
      <c r="P69" s="6261"/>
      <c r="Q69" s="6262"/>
      <c r="R69" s="289"/>
      <c r="S69" s="1750">
        <v>40</v>
      </c>
      <c r="T69" s="6259" t="s">
        <v>1729</v>
      </c>
      <c r="U69" s="6186"/>
      <c r="V69" s="6260" t="str">
        <f>IF(S66=0,"",VLOOKUP(S66,'Tablas psiquica'!$D$7:$R$145,7,FALSE))</f>
        <v/>
      </c>
      <c r="W69" s="6261"/>
      <c r="X69" s="6261"/>
      <c r="Y69" s="6262"/>
      <c r="Z69" s="426"/>
      <c r="AA69" s="420"/>
      <c r="AB69" s="420"/>
      <c r="AC69" s="289"/>
      <c r="AD69" s="1750">
        <v>40</v>
      </c>
      <c r="AE69" s="6259" t="s">
        <v>1729</v>
      </c>
      <c r="AF69" s="6186"/>
      <c r="AG69" s="6260" t="str">
        <f>IF(AD66=0,"",VLOOKUP(AD66,'Tablas psiquica'!$D$7:$R$145,7,FALSE))</f>
        <v/>
      </c>
      <c r="AH69" s="6261"/>
      <c r="AI69" s="6261"/>
      <c r="AJ69" s="6262"/>
      <c r="AL69" s="1750">
        <v>40</v>
      </c>
      <c r="AM69" s="6259" t="s">
        <v>1729</v>
      </c>
      <c r="AN69" s="6186"/>
      <c r="AO69" s="6260" t="str">
        <f>IF(AL66=0,"",VLOOKUP(AL66,'Tablas psiquica'!$D$7:$R$145,7,FALSE))</f>
        <v/>
      </c>
      <c r="AP69" s="6261"/>
      <c r="AQ69" s="6261"/>
      <c r="AR69" s="6262"/>
      <c r="AS69" s="289"/>
      <c r="AT69" s="1750">
        <v>40</v>
      </c>
      <c r="AU69" s="6259" t="s">
        <v>1729</v>
      </c>
      <c r="AV69" s="6186"/>
      <c r="AW69" s="6260" t="str">
        <f>IF(AT66=0,"",VLOOKUP(AT66,'Tablas psiquica'!$D$7:$R$145,7,FALSE))</f>
        <v/>
      </c>
      <c r="AX69" s="6261"/>
      <c r="AY69" s="6261"/>
      <c r="AZ69" s="6262"/>
      <c r="BA69" s="426"/>
      <c r="BB69" s="420"/>
      <c r="BC69" s="420"/>
      <c r="BD69" s="289"/>
      <c r="BE69" s="1750">
        <v>40</v>
      </c>
      <c r="BF69" s="6259" t="s">
        <v>1729</v>
      </c>
      <c r="BG69" s="6186"/>
      <c r="BH69" s="6260" t="str">
        <f>IF(BE66=0,"",VLOOKUP(BE66,'Tablas psiquica'!$D$7:$R$145,7,FALSE))</f>
        <v/>
      </c>
      <c r="BI69" s="6261"/>
      <c r="BJ69" s="6261"/>
      <c r="BK69" s="6262"/>
      <c r="BM69" s="1750">
        <v>40</v>
      </c>
      <c r="BN69" s="6259" t="s">
        <v>1729</v>
      </c>
      <c r="BO69" s="6186"/>
      <c r="BP69" s="6260" t="str">
        <f>IF(BM66=0,"",VLOOKUP(BM66,'Tablas psiquica'!$D$7:$R$145,7,FALSE))</f>
        <v/>
      </c>
      <c r="BQ69" s="6261"/>
      <c r="BR69" s="6261"/>
      <c r="BS69" s="6262"/>
      <c r="BT69" s="289"/>
      <c r="BU69" s="1750">
        <v>40</v>
      </c>
      <c r="BV69" s="6259" t="s">
        <v>1729</v>
      </c>
      <c r="BW69" s="6186"/>
      <c r="BX69" s="6260" t="str">
        <f>IF(BU66=0,"",VLOOKUP(BU66,'Tablas psiquica'!$D$7:$R$145,7,FALSE))</f>
        <v/>
      </c>
      <c r="BY69" s="6261"/>
      <c r="BZ69" s="6261"/>
      <c r="CA69" s="6262"/>
      <c r="CB69" s="426"/>
      <c r="CC69" s="420"/>
      <c r="CD69" s="420"/>
      <c r="CE69" s="289"/>
      <c r="CF69" s="1750">
        <v>40</v>
      </c>
      <c r="CG69" s="6259" t="s">
        <v>1729</v>
      </c>
      <c r="CH69" s="6186"/>
      <c r="CI69" s="6260" t="str">
        <f>IF(CF66=0,"",VLOOKUP(CF66,'Tablas psiquica'!$D$7:$R$145,7,FALSE))</f>
        <v/>
      </c>
      <c r="CJ69" s="6261"/>
      <c r="CK69" s="6261"/>
      <c r="CL69" s="6262"/>
      <c r="CN69" s="1750">
        <v>40</v>
      </c>
      <c r="CO69" s="6259" t="s">
        <v>1729</v>
      </c>
      <c r="CP69" s="6186"/>
      <c r="CQ69" s="6260" t="str">
        <f>IF(CN66=0,"",VLOOKUP(CN66,'Tablas psiquica'!$D$7:$R$145,7,FALSE))</f>
        <v/>
      </c>
      <c r="CR69" s="6261"/>
      <c r="CS69" s="6261"/>
      <c r="CT69" s="6262"/>
      <c r="CU69" s="289"/>
      <c r="CV69" s="1750">
        <v>40</v>
      </c>
      <c r="CW69" s="6259" t="s">
        <v>1729</v>
      </c>
      <c r="CX69" s="6186"/>
      <c r="CY69" s="6260" t="str">
        <f>IF(CV66=0,"",VLOOKUP(CV66,'Tablas psiquica'!$D$7:$R$145,7,FALSE))</f>
        <v/>
      </c>
      <c r="CZ69" s="6261"/>
      <c r="DA69" s="6261"/>
      <c r="DB69" s="6262"/>
      <c r="DC69" s="426"/>
      <c r="DD69" s="420"/>
    </row>
    <row r="70" spans="1:108" ht="12" customHeight="1" x14ac:dyDescent="0.2">
      <c r="A70" s="420"/>
      <c r="B70" s="289"/>
      <c r="C70" s="1751">
        <v>80</v>
      </c>
      <c r="D70" s="6257" t="s">
        <v>1732</v>
      </c>
      <c r="E70" s="6191"/>
      <c r="F70" s="6258" t="str">
        <f>IF(C66=0,"",VLOOKUP(C66,'Tablas psiquica'!$D$7:$R$145,8,FALSE))</f>
        <v/>
      </c>
      <c r="G70" s="5838"/>
      <c r="H70" s="5838"/>
      <c r="I70" s="5867"/>
      <c r="K70" s="1751">
        <v>80</v>
      </c>
      <c r="L70" s="6257" t="s">
        <v>1732</v>
      </c>
      <c r="M70" s="6191"/>
      <c r="N70" s="6258" t="str">
        <f>IF(K66=0,"",VLOOKUP(K66,'Tablas psiquica'!$D$7:$R$145,8,FALSE))</f>
        <v/>
      </c>
      <c r="O70" s="5838"/>
      <c r="P70" s="5838"/>
      <c r="Q70" s="5867"/>
      <c r="R70" s="289"/>
      <c r="S70" s="1751">
        <v>80</v>
      </c>
      <c r="T70" s="6257" t="s">
        <v>1732</v>
      </c>
      <c r="U70" s="6191"/>
      <c r="V70" s="6258" t="str">
        <f>IF(S66=0,"",VLOOKUP(S66,'Tablas psiquica'!$D$7:$R$145,8,FALSE))</f>
        <v/>
      </c>
      <c r="W70" s="5838"/>
      <c r="X70" s="5838"/>
      <c r="Y70" s="5867"/>
      <c r="Z70" s="426"/>
      <c r="AA70" s="420"/>
      <c r="AB70" s="420"/>
      <c r="AC70" s="289"/>
      <c r="AD70" s="1751">
        <v>80</v>
      </c>
      <c r="AE70" s="6257" t="s">
        <v>1732</v>
      </c>
      <c r="AF70" s="6191"/>
      <c r="AG70" s="6258" t="str">
        <f>IF(AD66=0,"",VLOOKUP(AD66,'Tablas psiquica'!$D$7:$R$145,8,FALSE))</f>
        <v/>
      </c>
      <c r="AH70" s="5838"/>
      <c r="AI70" s="5838"/>
      <c r="AJ70" s="5867"/>
      <c r="AL70" s="1751">
        <v>80</v>
      </c>
      <c r="AM70" s="6257" t="s">
        <v>1732</v>
      </c>
      <c r="AN70" s="6191"/>
      <c r="AO70" s="6258" t="str">
        <f>IF(AL66=0,"",VLOOKUP(AL66,'Tablas psiquica'!$D$7:$R$145,8,FALSE))</f>
        <v/>
      </c>
      <c r="AP70" s="5838"/>
      <c r="AQ70" s="5838"/>
      <c r="AR70" s="5867"/>
      <c r="AS70" s="289"/>
      <c r="AT70" s="1751">
        <v>80</v>
      </c>
      <c r="AU70" s="6257" t="s">
        <v>1732</v>
      </c>
      <c r="AV70" s="6191"/>
      <c r="AW70" s="6258" t="str">
        <f>IF(AT66=0,"",VLOOKUP(AT66,'Tablas psiquica'!$D$7:$R$145,8,FALSE))</f>
        <v/>
      </c>
      <c r="AX70" s="5838"/>
      <c r="AY70" s="5838"/>
      <c r="AZ70" s="5867"/>
      <c r="BA70" s="426"/>
      <c r="BB70" s="420"/>
      <c r="BC70" s="420"/>
      <c r="BD70" s="289"/>
      <c r="BE70" s="1751">
        <v>80</v>
      </c>
      <c r="BF70" s="6257" t="s">
        <v>1732</v>
      </c>
      <c r="BG70" s="6191"/>
      <c r="BH70" s="6258" t="str">
        <f>IF(BE66=0,"",VLOOKUP(BE66,'Tablas psiquica'!$D$7:$R$145,8,FALSE))</f>
        <v/>
      </c>
      <c r="BI70" s="5838"/>
      <c r="BJ70" s="5838"/>
      <c r="BK70" s="5867"/>
      <c r="BM70" s="1751">
        <v>80</v>
      </c>
      <c r="BN70" s="6257" t="s">
        <v>1732</v>
      </c>
      <c r="BO70" s="6191"/>
      <c r="BP70" s="6258" t="str">
        <f>IF(BM66=0,"",VLOOKUP(BM66,'Tablas psiquica'!$D$7:$R$145,8,FALSE))</f>
        <v/>
      </c>
      <c r="BQ70" s="5838"/>
      <c r="BR70" s="5838"/>
      <c r="BS70" s="5867"/>
      <c r="BT70" s="289"/>
      <c r="BU70" s="1751">
        <v>80</v>
      </c>
      <c r="BV70" s="6257" t="s">
        <v>1732</v>
      </c>
      <c r="BW70" s="6191"/>
      <c r="BX70" s="6258" t="str">
        <f>IF(BU66=0,"",VLOOKUP(BU66,'Tablas psiquica'!$D$7:$R$145,8,FALSE))</f>
        <v/>
      </c>
      <c r="BY70" s="5838"/>
      <c r="BZ70" s="5838"/>
      <c r="CA70" s="5867"/>
      <c r="CB70" s="426"/>
      <c r="CC70" s="420"/>
      <c r="CD70" s="420"/>
      <c r="CE70" s="289"/>
      <c r="CF70" s="1751">
        <v>80</v>
      </c>
      <c r="CG70" s="6257" t="s">
        <v>1732</v>
      </c>
      <c r="CH70" s="6191"/>
      <c r="CI70" s="6258" t="str">
        <f>IF(CF66=0,"",VLOOKUP(CF66,'Tablas psiquica'!$D$7:$R$145,8,FALSE))</f>
        <v/>
      </c>
      <c r="CJ70" s="5838"/>
      <c r="CK70" s="5838"/>
      <c r="CL70" s="5867"/>
      <c r="CN70" s="1751">
        <v>80</v>
      </c>
      <c r="CO70" s="6257" t="s">
        <v>1732</v>
      </c>
      <c r="CP70" s="6191"/>
      <c r="CQ70" s="6258" t="str">
        <f>IF(CN66=0,"",VLOOKUP(CN66,'Tablas psiquica'!$D$7:$R$145,8,FALSE))</f>
        <v/>
      </c>
      <c r="CR70" s="5838"/>
      <c r="CS70" s="5838"/>
      <c r="CT70" s="5867"/>
      <c r="CU70" s="289"/>
      <c r="CV70" s="1751">
        <v>80</v>
      </c>
      <c r="CW70" s="6257" t="s">
        <v>1732</v>
      </c>
      <c r="CX70" s="6191"/>
      <c r="CY70" s="6258" t="str">
        <f>IF(CV66=0,"",VLOOKUP(CV66,'Tablas psiquica'!$D$7:$R$145,8,FALSE))</f>
        <v/>
      </c>
      <c r="CZ70" s="5838"/>
      <c r="DA70" s="5838"/>
      <c r="DB70" s="5867"/>
      <c r="DC70" s="426"/>
      <c r="DD70" s="420"/>
    </row>
    <row r="71" spans="1:108" ht="12" customHeight="1" x14ac:dyDescent="0.2">
      <c r="A71" s="420"/>
      <c r="B71" s="289"/>
      <c r="C71" s="1750">
        <v>120</v>
      </c>
      <c r="D71" s="6259" t="s">
        <v>1735</v>
      </c>
      <c r="E71" s="6186"/>
      <c r="F71" s="6260" t="str">
        <f>IF(C66=0,"",VLOOKUP(C66,'Tablas psiquica'!$D$7:$R$145,9,FALSE))</f>
        <v/>
      </c>
      <c r="G71" s="6261"/>
      <c r="H71" s="6261"/>
      <c r="I71" s="6262"/>
      <c r="K71" s="1750">
        <v>120</v>
      </c>
      <c r="L71" s="6259" t="s">
        <v>1735</v>
      </c>
      <c r="M71" s="6186"/>
      <c r="N71" s="6260" t="str">
        <f>IF(K66=0,"",VLOOKUP(K66,'Tablas psiquica'!$D$7:$R$145,9,FALSE))</f>
        <v/>
      </c>
      <c r="O71" s="6261"/>
      <c r="P71" s="6261"/>
      <c r="Q71" s="6262"/>
      <c r="R71" s="289"/>
      <c r="S71" s="1750">
        <v>120</v>
      </c>
      <c r="T71" s="6259" t="s">
        <v>1735</v>
      </c>
      <c r="U71" s="6186"/>
      <c r="V71" s="6260" t="str">
        <f>IF(S66=0,"",VLOOKUP(S66,'Tablas psiquica'!$D$7:$R$145,9,FALSE))</f>
        <v/>
      </c>
      <c r="W71" s="6261"/>
      <c r="X71" s="6261"/>
      <c r="Y71" s="6262"/>
      <c r="Z71" s="426"/>
      <c r="AA71" s="420"/>
      <c r="AB71" s="420"/>
      <c r="AC71" s="289"/>
      <c r="AD71" s="1750">
        <v>120</v>
      </c>
      <c r="AE71" s="6259" t="s">
        <v>1735</v>
      </c>
      <c r="AF71" s="6186"/>
      <c r="AG71" s="6260" t="str">
        <f>IF(AD66=0,"",VLOOKUP(AD66,'Tablas psiquica'!$D$7:$R$145,9,FALSE))</f>
        <v/>
      </c>
      <c r="AH71" s="6261"/>
      <c r="AI71" s="6261"/>
      <c r="AJ71" s="6262"/>
      <c r="AL71" s="1750">
        <v>120</v>
      </c>
      <c r="AM71" s="6259" t="s">
        <v>1735</v>
      </c>
      <c r="AN71" s="6186"/>
      <c r="AO71" s="6260" t="str">
        <f>IF(AL66=0,"",VLOOKUP(AL66,'Tablas psiquica'!$D$7:$R$145,9,FALSE))</f>
        <v/>
      </c>
      <c r="AP71" s="6261"/>
      <c r="AQ71" s="6261"/>
      <c r="AR71" s="6262"/>
      <c r="AS71" s="289"/>
      <c r="AT71" s="1750">
        <v>120</v>
      </c>
      <c r="AU71" s="6259" t="s">
        <v>1735</v>
      </c>
      <c r="AV71" s="6186"/>
      <c r="AW71" s="6260" t="str">
        <f>IF(AT66=0,"",VLOOKUP(AT66,'Tablas psiquica'!$D$7:$R$145,9,FALSE))</f>
        <v/>
      </c>
      <c r="AX71" s="6261"/>
      <c r="AY71" s="6261"/>
      <c r="AZ71" s="6262"/>
      <c r="BA71" s="426"/>
      <c r="BB71" s="420"/>
      <c r="BC71" s="420"/>
      <c r="BD71" s="289"/>
      <c r="BE71" s="1750">
        <v>120</v>
      </c>
      <c r="BF71" s="6259" t="s">
        <v>1735</v>
      </c>
      <c r="BG71" s="6186"/>
      <c r="BH71" s="6260" t="str">
        <f>IF(BE66=0,"",VLOOKUP(BE66,'Tablas psiquica'!$D$7:$R$145,9,FALSE))</f>
        <v/>
      </c>
      <c r="BI71" s="6261"/>
      <c r="BJ71" s="6261"/>
      <c r="BK71" s="6262"/>
      <c r="BM71" s="1750">
        <v>120</v>
      </c>
      <c r="BN71" s="6259" t="s">
        <v>1735</v>
      </c>
      <c r="BO71" s="6186"/>
      <c r="BP71" s="6260" t="str">
        <f>IF(BM66=0,"",VLOOKUP(BM66,'Tablas psiquica'!$D$7:$R$145,9,FALSE))</f>
        <v/>
      </c>
      <c r="BQ71" s="6261"/>
      <c r="BR71" s="6261"/>
      <c r="BS71" s="6262"/>
      <c r="BT71" s="289"/>
      <c r="BU71" s="1750">
        <v>120</v>
      </c>
      <c r="BV71" s="6259" t="s">
        <v>1735</v>
      </c>
      <c r="BW71" s="6186"/>
      <c r="BX71" s="6260" t="str">
        <f>IF(BU66=0,"",VLOOKUP(BU66,'Tablas psiquica'!$D$7:$R$145,9,FALSE))</f>
        <v/>
      </c>
      <c r="BY71" s="6261"/>
      <c r="BZ71" s="6261"/>
      <c r="CA71" s="6262"/>
      <c r="CB71" s="426"/>
      <c r="CC71" s="420"/>
      <c r="CD71" s="420"/>
      <c r="CE71" s="289"/>
      <c r="CF71" s="1750">
        <v>120</v>
      </c>
      <c r="CG71" s="6259" t="s">
        <v>1735</v>
      </c>
      <c r="CH71" s="6186"/>
      <c r="CI71" s="6260" t="str">
        <f>IF(CF66=0,"",VLOOKUP(CF66,'Tablas psiquica'!$D$7:$R$145,9,FALSE))</f>
        <v/>
      </c>
      <c r="CJ71" s="6261"/>
      <c r="CK71" s="6261"/>
      <c r="CL71" s="6262"/>
      <c r="CN71" s="1750">
        <v>120</v>
      </c>
      <c r="CO71" s="6259" t="s">
        <v>1735</v>
      </c>
      <c r="CP71" s="6186"/>
      <c r="CQ71" s="6260" t="str">
        <f>IF(CN66=0,"",VLOOKUP(CN66,'Tablas psiquica'!$D$7:$R$145,9,FALSE))</f>
        <v/>
      </c>
      <c r="CR71" s="6261"/>
      <c r="CS71" s="6261"/>
      <c r="CT71" s="6262"/>
      <c r="CU71" s="289"/>
      <c r="CV71" s="1750">
        <v>120</v>
      </c>
      <c r="CW71" s="6259" t="s">
        <v>1735</v>
      </c>
      <c r="CX71" s="6186"/>
      <c r="CY71" s="6260" t="str">
        <f>IF(CV66=0,"",VLOOKUP(CV66,'Tablas psiquica'!$D$7:$R$145,9,FALSE))</f>
        <v/>
      </c>
      <c r="CZ71" s="6261"/>
      <c r="DA71" s="6261"/>
      <c r="DB71" s="6262"/>
      <c r="DC71" s="426"/>
      <c r="DD71" s="420"/>
    </row>
    <row r="72" spans="1:108" ht="12" customHeight="1" x14ac:dyDescent="0.2">
      <c r="A72" s="420"/>
      <c r="B72" s="289"/>
      <c r="C72" s="1751">
        <v>140</v>
      </c>
      <c r="D72" s="6257" t="s">
        <v>6335</v>
      </c>
      <c r="E72" s="6191"/>
      <c r="F72" s="6258" t="str">
        <f>IF(C66=0,"",VLOOKUP(C66,'Tablas psiquica'!$D$7:$R$145,10,FALSE))</f>
        <v/>
      </c>
      <c r="G72" s="5838"/>
      <c r="H72" s="5838"/>
      <c r="I72" s="5867"/>
      <c r="K72" s="1751">
        <v>140</v>
      </c>
      <c r="L72" s="6257" t="s">
        <v>6335</v>
      </c>
      <c r="M72" s="6191"/>
      <c r="N72" s="6258" t="str">
        <f>IF(K66=0,"",VLOOKUP(K66,'Tablas psiquica'!$D$7:$R$145,10,FALSE))</f>
        <v/>
      </c>
      <c r="O72" s="5838"/>
      <c r="P72" s="5838"/>
      <c r="Q72" s="5867"/>
      <c r="R72" s="289"/>
      <c r="S72" s="1751">
        <v>140</v>
      </c>
      <c r="T72" s="6257" t="s">
        <v>6335</v>
      </c>
      <c r="U72" s="6191"/>
      <c r="V72" s="6258" t="str">
        <f>IF(S66=0,"",VLOOKUP(S66,'Tablas psiquica'!$D$7:$R$145,10,FALSE))</f>
        <v/>
      </c>
      <c r="W72" s="5838"/>
      <c r="X72" s="5838"/>
      <c r="Y72" s="5867"/>
      <c r="Z72" s="426"/>
      <c r="AA72" s="420"/>
      <c r="AB72" s="420"/>
      <c r="AC72" s="289"/>
      <c r="AD72" s="1751">
        <v>140</v>
      </c>
      <c r="AE72" s="6257" t="s">
        <v>6335</v>
      </c>
      <c r="AF72" s="6191"/>
      <c r="AG72" s="6258" t="str">
        <f>IF(AD66=0,"",VLOOKUP(AD66,'Tablas psiquica'!$D$7:$R$145,10,FALSE))</f>
        <v/>
      </c>
      <c r="AH72" s="5838"/>
      <c r="AI72" s="5838"/>
      <c r="AJ72" s="5867"/>
      <c r="AL72" s="1751">
        <v>140</v>
      </c>
      <c r="AM72" s="6257" t="s">
        <v>6335</v>
      </c>
      <c r="AN72" s="6191"/>
      <c r="AO72" s="6258" t="str">
        <f>IF(AL66=0,"",VLOOKUP(AL66,'Tablas psiquica'!$D$7:$R$145,10,FALSE))</f>
        <v/>
      </c>
      <c r="AP72" s="5838"/>
      <c r="AQ72" s="5838"/>
      <c r="AR72" s="5867"/>
      <c r="AS72" s="289"/>
      <c r="AT72" s="1751">
        <v>140</v>
      </c>
      <c r="AU72" s="6257" t="s">
        <v>6335</v>
      </c>
      <c r="AV72" s="6191"/>
      <c r="AW72" s="6258" t="str">
        <f>IF(AT66=0,"",VLOOKUP(AT66,'Tablas psiquica'!$D$7:$R$145,10,FALSE))</f>
        <v/>
      </c>
      <c r="AX72" s="5838"/>
      <c r="AY72" s="5838"/>
      <c r="AZ72" s="5867"/>
      <c r="BA72" s="426"/>
      <c r="BB72" s="420"/>
      <c r="BC72" s="420"/>
      <c r="BD72" s="289"/>
      <c r="BE72" s="1751">
        <v>140</v>
      </c>
      <c r="BF72" s="6257" t="s">
        <v>6335</v>
      </c>
      <c r="BG72" s="6191"/>
      <c r="BH72" s="6258" t="str">
        <f>IF(BE66=0,"",VLOOKUP(BE66,'Tablas psiquica'!$D$7:$R$145,10,FALSE))</f>
        <v/>
      </c>
      <c r="BI72" s="5838"/>
      <c r="BJ72" s="5838"/>
      <c r="BK72" s="5867"/>
      <c r="BM72" s="1751">
        <v>140</v>
      </c>
      <c r="BN72" s="6257" t="s">
        <v>6335</v>
      </c>
      <c r="BO72" s="6191"/>
      <c r="BP72" s="6258" t="str">
        <f>IF(BM66=0,"",VLOOKUP(BM66,'Tablas psiquica'!$D$7:$R$145,10,FALSE))</f>
        <v/>
      </c>
      <c r="BQ72" s="5838"/>
      <c r="BR72" s="5838"/>
      <c r="BS72" s="5867"/>
      <c r="BT72" s="289"/>
      <c r="BU72" s="1751">
        <v>140</v>
      </c>
      <c r="BV72" s="6257" t="s">
        <v>6335</v>
      </c>
      <c r="BW72" s="6191"/>
      <c r="BX72" s="6258" t="str">
        <f>IF(BU66=0,"",VLOOKUP(BU66,'Tablas psiquica'!$D$7:$R$145,10,FALSE))</f>
        <v/>
      </c>
      <c r="BY72" s="5838"/>
      <c r="BZ72" s="5838"/>
      <c r="CA72" s="5867"/>
      <c r="CB72" s="426"/>
      <c r="CC72" s="420"/>
      <c r="CD72" s="420"/>
      <c r="CE72" s="289"/>
      <c r="CF72" s="1751">
        <v>140</v>
      </c>
      <c r="CG72" s="6257" t="s">
        <v>6335</v>
      </c>
      <c r="CH72" s="6191"/>
      <c r="CI72" s="6258" t="str">
        <f>IF(CF66=0,"",VLOOKUP(CF66,'Tablas psiquica'!$D$7:$R$145,10,FALSE))</f>
        <v/>
      </c>
      <c r="CJ72" s="5838"/>
      <c r="CK72" s="5838"/>
      <c r="CL72" s="5867"/>
      <c r="CN72" s="1751">
        <v>140</v>
      </c>
      <c r="CO72" s="6257" t="s">
        <v>6335</v>
      </c>
      <c r="CP72" s="6191"/>
      <c r="CQ72" s="6258" t="str">
        <f>IF(CN66=0,"",VLOOKUP(CN66,'Tablas psiquica'!$D$7:$R$145,10,FALSE))</f>
        <v/>
      </c>
      <c r="CR72" s="5838"/>
      <c r="CS72" s="5838"/>
      <c r="CT72" s="5867"/>
      <c r="CU72" s="289"/>
      <c r="CV72" s="1751">
        <v>140</v>
      </c>
      <c r="CW72" s="6257" t="s">
        <v>6335</v>
      </c>
      <c r="CX72" s="6191"/>
      <c r="CY72" s="6258" t="str">
        <f>IF(CV66=0,"",VLOOKUP(CV66,'Tablas psiquica'!$D$7:$R$145,10,FALSE))</f>
        <v/>
      </c>
      <c r="CZ72" s="5838"/>
      <c r="DA72" s="5838"/>
      <c r="DB72" s="5867"/>
      <c r="DC72" s="426"/>
      <c r="DD72" s="420"/>
    </row>
    <row r="73" spans="1:108" ht="12" customHeight="1" x14ac:dyDescent="0.2">
      <c r="A73" s="420"/>
      <c r="B73" s="289"/>
      <c r="C73" s="1750">
        <v>180</v>
      </c>
      <c r="D73" s="6259" t="s">
        <v>1739</v>
      </c>
      <c r="E73" s="6186"/>
      <c r="F73" s="6260" t="str">
        <f>IF(C66=0,"",VLOOKUP(C66,'Tablas psiquica'!$D$7:$R$145,11,FALSE))</f>
        <v/>
      </c>
      <c r="G73" s="6261"/>
      <c r="H73" s="6261"/>
      <c r="I73" s="6262"/>
      <c r="K73" s="1750">
        <v>180</v>
      </c>
      <c r="L73" s="6259" t="s">
        <v>1739</v>
      </c>
      <c r="M73" s="6186"/>
      <c r="N73" s="6260" t="str">
        <f>IF(K66=0,"",VLOOKUP(K66,'Tablas psiquica'!$D$7:$R$145,11,FALSE))</f>
        <v/>
      </c>
      <c r="O73" s="6261"/>
      <c r="P73" s="6261"/>
      <c r="Q73" s="6262"/>
      <c r="R73" s="289"/>
      <c r="S73" s="1750">
        <v>180</v>
      </c>
      <c r="T73" s="6259" t="s">
        <v>1739</v>
      </c>
      <c r="U73" s="6186"/>
      <c r="V73" s="6260" t="str">
        <f>IF(S66=0,"",VLOOKUP(S66,'Tablas psiquica'!$D$7:$R$145,11,FALSE))</f>
        <v/>
      </c>
      <c r="W73" s="6261"/>
      <c r="X73" s="6261"/>
      <c r="Y73" s="6262"/>
      <c r="Z73" s="426"/>
      <c r="AA73" s="420"/>
      <c r="AB73" s="420"/>
      <c r="AC73" s="289"/>
      <c r="AD73" s="1750">
        <v>180</v>
      </c>
      <c r="AE73" s="6259" t="s">
        <v>1739</v>
      </c>
      <c r="AF73" s="6186"/>
      <c r="AG73" s="6260" t="str">
        <f>IF(AD66=0,"",VLOOKUP(AD66,'Tablas psiquica'!$D$7:$R$145,11,FALSE))</f>
        <v/>
      </c>
      <c r="AH73" s="6261"/>
      <c r="AI73" s="6261"/>
      <c r="AJ73" s="6262"/>
      <c r="AL73" s="1750">
        <v>180</v>
      </c>
      <c r="AM73" s="6259" t="s">
        <v>1739</v>
      </c>
      <c r="AN73" s="6186"/>
      <c r="AO73" s="6260" t="str">
        <f>IF(AL66=0,"",VLOOKUP(AL66,'Tablas psiquica'!$D$7:$R$145,11,FALSE))</f>
        <v/>
      </c>
      <c r="AP73" s="6261"/>
      <c r="AQ73" s="6261"/>
      <c r="AR73" s="6262"/>
      <c r="AS73" s="289"/>
      <c r="AT73" s="1750">
        <v>180</v>
      </c>
      <c r="AU73" s="6259" t="s">
        <v>1739</v>
      </c>
      <c r="AV73" s="6186"/>
      <c r="AW73" s="6260" t="str">
        <f>IF(AT66=0,"",VLOOKUP(AT66,'Tablas psiquica'!$D$7:$R$145,11,FALSE))</f>
        <v/>
      </c>
      <c r="AX73" s="6261"/>
      <c r="AY73" s="6261"/>
      <c r="AZ73" s="6262"/>
      <c r="BA73" s="426"/>
      <c r="BB73" s="420"/>
      <c r="BC73" s="420"/>
      <c r="BD73" s="289"/>
      <c r="BE73" s="1750">
        <v>180</v>
      </c>
      <c r="BF73" s="6259" t="s">
        <v>1739</v>
      </c>
      <c r="BG73" s="6186"/>
      <c r="BH73" s="6260" t="str">
        <f>IF(BE66=0,"",VLOOKUP(BE66,'Tablas psiquica'!$D$7:$R$145,11,FALSE))</f>
        <v/>
      </c>
      <c r="BI73" s="6261"/>
      <c r="BJ73" s="6261"/>
      <c r="BK73" s="6262"/>
      <c r="BM73" s="1750">
        <v>180</v>
      </c>
      <c r="BN73" s="6259" t="s">
        <v>1739</v>
      </c>
      <c r="BO73" s="6186"/>
      <c r="BP73" s="6260" t="str">
        <f>IF(BM66=0,"",VLOOKUP(BM66,'Tablas psiquica'!$D$7:$R$145,11,FALSE))</f>
        <v/>
      </c>
      <c r="BQ73" s="6261"/>
      <c r="BR73" s="6261"/>
      <c r="BS73" s="6262"/>
      <c r="BT73" s="289"/>
      <c r="BU73" s="1750">
        <v>180</v>
      </c>
      <c r="BV73" s="6259" t="s">
        <v>1739</v>
      </c>
      <c r="BW73" s="6186"/>
      <c r="BX73" s="6260" t="str">
        <f>IF(BU66=0,"",VLOOKUP(BU66,'Tablas psiquica'!$D$7:$R$145,11,FALSE))</f>
        <v/>
      </c>
      <c r="BY73" s="6261"/>
      <c r="BZ73" s="6261"/>
      <c r="CA73" s="6262"/>
      <c r="CB73" s="426"/>
      <c r="CC73" s="420"/>
      <c r="CD73" s="420"/>
      <c r="CE73" s="289"/>
      <c r="CF73" s="1750">
        <v>180</v>
      </c>
      <c r="CG73" s="6259" t="s">
        <v>1739</v>
      </c>
      <c r="CH73" s="6186"/>
      <c r="CI73" s="6260" t="str">
        <f>IF(CF66=0,"",VLOOKUP(CF66,'Tablas psiquica'!$D$7:$R$145,11,FALSE))</f>
        <v/>
      </c>
      <c r="CJ73" s="6261"/>
      <c r="CK73" s="6261"/>
      <c r="CL73" s="6262"/>
      <c r="CN73" s="1750">
        <v>180</v>
      </c>
      <c r="CO73" s="6259" t="s">
        <v>1739</v>
      </c>
      <c r="CP73" s="6186"/>
      <c r="CQ73" s="6260" t="str">
        <f>IF(CN66=0,"",VLOOKUP(CN66,'Tablas psiquica'!$D$7:$R$145,11,FALSE))</f>
        <v/>
      </c>
      <c r="CR73" s="6261"/>
      <c r="CS73" s="6261"/>
      <c r="CT73" s="6262"/>
      <c r="CU73" s="289"/>
      <c r="CV73" s="1750">
        <v>180</v>
      </c>
      <c r="CW73" s="6259" t="s">
        <v>1739</v>
      </c>
      <c r="CX73" s="6186"/>
      <c r="CY73" s="6260" t="str">
        <f>IF(CV66=0,"",VLOOKUP(CV66,'Tablas psiquica'!$D$7:$R$145,11,FALSE))</f>
        <v/>
      </c>
      <c r="CZ73" s="6261"/>
      <c r="DA73" s="6261"/>
      <c r="DB73" s="6262"/>
      <c r="DC73" s="426"/>
      <c r="DD73" s="420"/>
    </row>
    <row r="74" spans="1:108" ht="12" customHeight="1" x14ac:dyDescent="0.2">
      <c r="A74" s="420"/>
      <c r="B74" s="289"/>
      <c r="C74" s="1751">
        <v>240</v>
      </c>
      <c r="D74" s="6257" t="s">
        <v>6336</v>
      </c>
      <c r="E74" s="6191"/>
      <c r="F74" s="6258" t="str">
        <f>IF(C66=0,"",VLOOKUP(C66,'Tablas psiquica'!$D$7:$R$145,12,FALSE))</f>
        <v/>
      </c>
      <c r="G74" s="5838"/>
      <c r="H74" s="5838"/>
      <c r="I74" s="5867"/>
      <c r="K74" s="1751">
        <v>240</v>
      </c>
      <c r="L74" s="6257" t="s">
        <v>6336</v>
      </c>
      <c r="M74" s="6191"/>
      <c r="N74" s="6258" t="str">
        <f>IF(K66=0,"",VLOOKUP(K66,'Tablas psiquica'!$D$7:$R$145,12,FALSE))</f>
        <v/>
      </c>
      <c r="O74" s="5838"/>
      <c r="P74" s="5838"/>
      <c r="Q74" s="5867"/>
      <c r="R74" s="289"/>
      <c r="S74" s="1751">
        <v>240</v>
      </c>
      <c r="T74" s="6257" t="s">
        <v>6336</v>
      </c>
      <c r="U74" s="6191"/>
      <c r="V74" s="6258" t="str">
        <f>IF(S66=0,"",VLOOKUP(S66,'Tablas psiquica'!$D$7:$R$145,12,FALSE))</f>
        <v/>
      </c>
      <c r="W74" s="5838"/>
      <c r="X74" s="5838"/>
      <c r="Y74" s="5867"/>
      <c r="Z74" s="426"/>
      <c r="AA74" s="420"/>
      <c r="AB74" s="420"/>
      <c r="AC74" s="289"/>
      <c r="AD74" s="1751">
        <v>240</v>
      </c>
      <c r="AE74" s="6257" t="s">
        <v>6336</v>
      </c>
      <c r="AF74" s="6191"/>
      <c r="AG74" s="6258" t="str">
        <f>IF(AD66=0,"",VLOOKUP(AD66,'Tablas psiquica'!$D$7:$R$145,12,FALSE))</f>
        <v/>
      </c>
      <c r="AH74" s="5838"/>
      <c r="AI74" s="5838"/>
      <c r="AJ74" s="5867"/>
      <c r="AL74" s="1751">
        <v>240</v>
      </c>
      <c r="AM74" s="6257" t="s">
        <v>6336</v>
      </c>
      <c r="AN74" s="6191"/>
      <c r="AO74" s="6258" t="str">
        <f>IF(AL66=0,"",VLOOKUP(AL66,'Tablas psiquica'!$D$7:$R$145,12,FALSE))</f>
        <v/>
      </c>
      <c r="AP74" s="5838"/>
      <c r="AQ74" s="5838"/>
      <c r="AR74" s="5867"/>
      <c r="AS74" s="289"/>
      <c r="AT74" s="1751">
        <v>240</v>
      </c>
      <c r="AU74" s="6257" t="s">
        <v>6336</v>
      </c>
      <c r="AV74" s="6191"/>
      <c r="AW74" s="6258" t="str">
        <f>IF(AT66=0,"",VLOOKUP(AT66,'Tablas psiquica'!$D$7:$R$145,12,FALSE))</f>
        <v/>
      </c>
      <c r="AX74" s="5838"/>
      <c r="AY74" s="5838"/>
      <c r="AZ74" s="5867"/>
      <c r="BA74" s="426"/>
      <c r="BB74" s="420"/>
      <c r="BC74" s="420"/>
      <c r="BD74" s="289"/>
      <c r="BE74" s="1751">
        <v>240</v>
      </c>
      <c r="BF74" s="6257" t="s">
        <v>6336</v>
      </c>
      <c r="BG74" s="6191"/>
      <c r="BH74" s="6258" t="str">
        <f>IF(BE66=0,"",VLOOKUP(BE66,'Tablas psiquica'!$D$7:$R$145,12,FALSE))</f>
        <v/>
      </c>
      <c r="BI74" s="5838"/>
      <c r="BJ74" s="5838"/>
      <c r="BK74" s="5867"/>
      <c r="BM74" s="1751">
        <v>240</v>
      </c>
      <c r="BN74" s="6257" t="s">
        <v>6336</v>
      </c>
      <c r="BO74" s="6191"/>
      <c r="BP74" s="6258" t="str">
        <f>IF(BM66=0,"",VLOOKUP(BM66,'Tablas psiquica'!$D$7:$R$145,12,FALSE))</f>
        <v/>
      </c>
      <c r="BQ74" s="5838"/>
      <c r="BR74" s="5838"/>
      <c r="BS74" s="5867"/>
      <c r="BT74" s="289"/>
      <c r="BU74" s="1751">
        <v>240</v>
      </c>
      <c r="BV74" s="6257" t="s">
        <v>6336</v>
      </c>
      <c r="BW74" s="6191"/>
      <c r="BX74" s="6258" t="str">
        <f>IF(BU66=0,"",VLOOKUP(BU66,'Tablas psiquica'!$D$7:$R$145,12,FALSE))</f>
        <v/>
      </c>
      <c r="BY74" s="5838"/>
      <c r="BZ74" s="5838"/>
      <c r="CA74" s="5867"/>
      <c r="CB74" s="426"/>
      <c r="CC74" s="420"/>
      <c r="CD74" s="420"/>
      <c r="CE74" s="289"/>
      <c r="CF74" s="1751">
        <v>240</v>
      </c>
      <c r="CG74" s="6257" t="s">
        <v>6336</v>
      </c>
      <c r="CH74" s="6191"/>
      <c r="CI74" s="6258" t="str">
        <f>IF(CF66=0,"",VLOOKUP(CF66,'Tablas psiquica'!$D$7:$R$145,12,FALSE))</f>
        <v/>
      </c>
      <c r="CJ74" s="5838"/>
      <c r="CK74" s="5838"/>
      <c r="CL74" s="5867"/>
      <c r="CN74" s="1751">
        <v>240</v>
      </c>
      <c r="CO74" s="6257" t="s">
        <v>6336</v>
      </c>
      <c r="CP74" s="6191"/>
      <c r="CQ74" s="6258" t="str">
        <f>IF(CN66=0,"",VLOOKUP(CN66,'Tablas psiquica'!$D$7:$R$145,12,FALSE))</f>
        <v/>
      </c>
      <c r="CR74" s="5838"/>
      <c r="CS74" s="5838"/>
      <c r="CT74" s="5867"/>
      <c r="CU74" s="289"/>
      <c r="CV74" s="1751">
        <v>240</v>
      </c>
      <c r="CW74" s="6257" t="s">
        <v>6336</v>
      </c>
      <c r="CX74" s="6191"/>
      <c r="CY74" s="6258" t="str">
        <f>IF(CV66=0,"",VLOOKUP(CV66,'Tablas psiquica'!$D$7:$R$145,12,FALSE))</f>
        <v/>
      </c>
      <c r="CZ74" s="5838"/>
      <c r="DA74" s="5838"/>
      <c r="DB74" s="5867"/>
      <c r="DC74" s="426"/>
      <c r="DD74" s="420"/>
    </row>
    <row r="75" spans="1:108" ht="12" customHeight="1" x14ac:dyDescent="0.2">
      <c r="A75" s="420"/>
      <c r="B75" s="289"/>
      <c r="C75" s="1750">
        <v>280</v>
      </c>
      <c r="D75" s="6259" t="s">
        <v>1742</v>
      </c>
      <c r="E75" s="6186"/>
      <c r="F75" s="6260" t="str">
        <f>IF(C66=0,"",VLOOKUP(C66,'Tablas psiquica'!$D$7:$R$145,13,FALSE))</f>
        <v/>
      </c>
      <c r="G75" s="6261"/>
      <c r="H75" s="6261"/>
      <c r="I75" s="6262"/>
      <c r="K75" s="1750">
        <v>280</v>
      </c>
      <c r="L75" s="6259" t="s">
        <v>1742</v>
      </c>
      <c r="M75" s="6186"/>
      <c r="N75" s="6260" t="str">
        <f>IF(K66=0,"",VLOOKUP(K66,'Tablas psiquica'!$D$7:$R$145,13,FALSE))</f>
        <v/>
      </c>
      <c r="O75" s="6261"/>
      <c r="P75" s="6261"/>
      <c r="Q75" s="6262"/>
      <c r="R75" s="289"/>
      <c r="S75" s="1750">
        <v>280</v>
      </c>
      <c r="T75" s="6259" t="s">
        <v>1742</v>
      </c>
      <c r="U75" s="6186"/>
      <c r="V75" s="6260" t="str">
        <f>IF(S66=0,"",VLOOKUP(S66,'Tablas psiquica'!$D$7:$R$145,13,FALSE))</f>
        <v/>
      </c>
      <c r="W75" s="6261"/>
      <c r="X75" s="6261"/>
      <c r="Y75" s="6262"/>
      <c r="Z75" s="426"/>
      <c r="AA75" s="420"/>
      <c r="AB75" s="420"/>
      <c r="AC75" s="289"/>
      <c r="AD75" s="1750">
        <v>280</v>
      </c>
      <c r="AE75" s="6259" t="s">
        <v>1742</v>
      </c>
      <c r="AF75" s="6186"/>
      <c r="AG75" s="6260" t="str">
        <f>IF(AD66=0,"",VLOOKUP(AD66,'Tablas psiquica'!$D$7:$R$145,13,FALSE))</f>
        <v/>
      </c>
      <c r="AH75" s="6261"/>
      <c r="AI75" s="6261"/>
      <c r="AJ75" s="6262"/>
      <c r="AL75" s="1750">
        <v>280</v>
      </c>
      <c r="AM75" s="6259" t="s">
        <v>1742</v>
      </c>
      <c r="AN75" s="6186"/>
      <c r="AO75" s="6260" t="str">
        <f>IF(AL66=0,"",VLOOKUP(AL66,'Tablas psiquica'!$D$7:$R$145,13,FALSE))</f>
        <v/>
      </c>
      <c r="AP75" s="6261"/>
      <c r="AQ75" s="6261"/>
      <c r="AR75" s="6262"/>
      <c r="AS75" s="289"/>
      <c r="AT75" s="1750">
        <v>280</v>
      </c>
      <c r="AU75" s="6259" t="s">
        <v>1742</v>
      </c>
      <c r="AV75" s="6186"/>
      <c r="AW75" s="6260" t="str">
        <f>IF(AT66=0,"",VLOOKUP(AT66,'Tablas psiquica'!$D$7:$R$145,13,FALSE))</f>
        <v/>
      </c>
      <c r="AX75" s="6261"/>
      <c r="AY75" s="6261"/>
      <c r="AZ75" s="6262"/>
      <c r="BA75" s="426"/>
      <c r="BB75" s="420"/>
      <c r="BC75" s="420"/>
      <c r="BD75" s="289"/>
      <c r="BE75" s="1750">
        <v>280</v>
      </c>
      <c r="BF75" s="6259" t="s">
        <v>1742</v>
      </c>
      <c r="BG75" s="6186"/>
      <c r="BH75" s="6260" t="str">
        <f>IF(BE66=0,"",VLOOKUP(BE66,'Tablas psiquica'!$D$7:$R$145,13,FALSE))</f>
        <v/>
      </c>
      <c r="BI75" s="6261"/>
      <c r="BJ75" s="6261"/>
      <c r="BK75" s="6262"/>
      <c r="BM75" s="1750">
        <v>280</v>
      </c>
      <c r="BN75" s="6259" t="s">
        <v>1742</v>
      </c>
      <c r="BO75" s="6186"/>
      <c r="BP75" s="6260" t="str">
        <f>IF(BM66=0,"",VLOOKUP(BM66,'Tablas psiquica'!$D$7:$R$145,13,FALSE))</f>
        <v/>
      </c>
      <c r="BQ75" s="6261"/>
      <c r="BR75" s="6261"/>
      <c r="BS75" s="6262"/>
      <c r="BT75" s="289"/>
      <c r="BU75" s="1750">
        <v>280</v>
      </c>
      <c r="BV75" s="6259" t="s">
        <v>1742</v>
      </c>
      <c r="BW75" s="6186"/>
      <c r="BX75" s="6260" t="str">
        <f>IF(BU66=0,"",VLOOKUP(BU66,'Tablas psiquica'!$D$7:$R$145,13,FALSE))</f>
        <v/>
      </c>
      <c r="BY75" s="6261"/>
      <c r="BZ75" s="6261"/>
      <c r="CA75" s="6262"/>
      <c r="CB75" s="426"/>
      <c r="CC75" s="420"/>
      <c r="CD75" s="420"/>
      <c r="CE75" s="289"/>
      <c r="CF75" s="1750">
        <v>280</v>
      </c>
      <c r="CG75" s="6259" t="s">
        <v>1742</v>
      </c>
      <c r="CH75" s="6186"/>
      <c r="CI75" s="6260" t="str">
        <f>IF(CF66=0,"",VLOOKUP(CF66,'Tablas psiquica'!$D$7:$R$145,13,FALSE))</f>
        <v/>
      </c>
      <c r="CJ75" s="6261"/>
      <c r="CK75" s="6261"/>
      <c r="CL75" s="6262"/>
      <c r="CN75" s="1750">
        <v>280</v>
      </c>
      <c r="CO75" s="6259" t="s">
        <v>1742</v>
      </c>
      <c r="CP75" s="6186"/>
      <c r="CQ75" s="6260" t="str">
        <f>IF(CN66=0,"",VLOOKUP(CN66,'Tablas psiquica'!$D$7:$R$145,13,FALSE))</f>
        <v/>
      </c>
      <c r="CR75" s="6261"/>
      <c r="CS75" s="6261"/>
      <c r="CT75" s="6262"/>
      <c r="CU75" s="289"/>
      <c r="CV75" s="1750">
        <v>280</v>
      </c>
      <c r="CW75" s="6259" t="s">
        <v>1742</v>
      </c>
      <c r="CX75" s="6186"/>
      <c r="CY75" s="6260" t="str">
        <f>IF(CV66=0,"",VLOOKUP(CV66,'Tablas psiquica'!$D$7:$R$145,13,FALSE))</f>
        <v/>
      </c>
      <c r="CZ75" s="6261"/>
      <c r="DA75" s="6261"/>
      <c r="DB75" s="6262"/>
      <c r="DC75" s="426"/>
      <c r="DD75" s="420"/>
    </row>
    <row r="76" spans="1:108" ht="12" customHeight="1" x14ac:dyDescent="0.2">
      <c r="A76" s="420"/>
      <c r="B76" s="289"/>
      <c r="C76" s="1751">
        <v>320</v>
      </c>
      <c r="D76" s="6257" t="s">
        <v>1744</v>
      </c>
      <c r="E76" s="6191"/>
      <c r="F76" s="6258" t="str">
        <f>IF(C66=0,"",VLOOKUP(C66,'Tablas psiquica'!$D$7:$R$145,14,FALSE))</f>
        <v/>
      </c>
      <c r="G76" s="5838"/>
      <c r="H76" s="5838"/>
      <c r="I76" s="5867"/>
      <c r="K76" s="1751">
        <v>320</v>
      </c>
      <c r="L76" s="6257" t="s">
        <v>1744</v>
      </c>
      <c r="M76" s="6191"/>
      <c r="N76" s="6258" t="str">
        <f>IF(K66=0,"",VLOOKUP(K66,'Tablas psiquica'!$D$7:$R$145,14,FALSE))</f>
        <v/>
      </c>
      <c r="O76" s="5838"/>
      <c r="P76" s="5838"/>
      <c r="Q76" s="5867"/>
      <c r="R76" s="289"/>
      <c r="S76" s="1751">
        <v>320</v>
      </c>
      <c r="T76" s="6257" t="s">
        <v>1744</v>
      </c>
      <c r="U76" s="6191"/>
      <c r="V76" s="6258" t="str">
        <f>IF(S66=0,"",VLOOKUP(S66,'Tablas psiquica'!$D$7:$R$145,14,FALSE))</f>
        <v/>
      </c>
      <c r="W76" s="5838"/>
      <c r="X76" s="5838"/>
      <c r="Y76" s="5867"/>
      <c r="Z76" s="426"/>
      <c r="AA76" s="420"/>
      <c r="AB76" s="420"/>
      <c r="AC76" s="289"/>
      <c r="AD76" s="1751">
        <v>320</v>
      </c>
      <c r="AE76" s="6257" t="s">
        <v>1744</v>
      </c>
      <c r="AF76" s="6191"/>
      <c r="AG76" s="6258" t="str">
        <f>IF(AD66=0,"",VLOOKUP(AD66,'Tablas psiquica'!$D$7:$R$145,14,FALSE))</f>
        <v/>
      </c>
      <c r="AH76" s="5838"/>
      <c r="AI76" s="5838"/>
      <c r="AJ76" s="5867"/>
      <c r="AL76" s="1751">
        <v>320</v>
      </c>
      <c r="AM76" s="6257" t="s">
        <v>1744</v>
      </c>
      <c r="AN76" s="6191"/>
      <c r="AO76" s="6258" t="str">
        <f>IF(AL66=0,"",VLOOKUP(AL66,'Tablas psiquica'!$D$7:$R$145,14,FALSE))</f>
        <v/>
      </c>
      <c r="AP76" s="5838"/>
      <c r="AQ76" s="5838"/>
      <c r="AR76" s="5867"/>
      <c r="AS76" s="289"/>
      <c r="AT76" s="1751">
        <v>320</v>
      </c>
      <c r="AU76" s="6257" t="s">
        <v>1744</v>
      </c>
      <c r="AV76" s="6191"/>
      <c r="AW76" s="6258" t="str">
        <f>IF(AT66=0,"",VLOOKUP(AT66,'Tablas psiquica'!$D$7:$R$145,14,FALSE))</f>
        <v/>
      </c>
      <c r="AX76" s="5838"/>
      <c r="AY76" s="5838"/>
      <c r="AZ76" s="5867"/>
      <c r="BA76" s="426"/>
      <c r="BB76" s="420"/>
      <c r="BC76" s="420"/>
      <c r="BD76" s="289"/>
      <c r="BE76" s="1751">
        <v>320</v>
      </c>
      <c r="BF76" s="6257" t="s">
        <v>1744</v>
      </c>
      <c r="BG76" s="6191"/>
      <c r="BH76" s="6258" t="str">
        <f>IF(BE66=0,"",VLOOKUP(BE66,'Tablas psiquica'!$D$7:$R$145,14,FALSE))</f>
        <v/>
      </c>
      <c r="BI76" s="5838"/>
      <c r="BJ76" s="5838"/>
      <c r="BK76" s="5867"/>
      <c r="BM76" s="1751">
        <v>320</v>
      </c>
      <c r="BN76" s="6257" t="s">
        <v>1744</v>
      </c>
      <c r="BO76" s="6191"/>
      <c r="BP76" s="6258" t="str">
        <f>IF(BM66=0,"",VLOOKUP(BM66,'Tablas psiquica'!$D$7:$R$145,14,FALSE))</f>
        <v/>
      </c>
      <c r="BQ76" s="5838"/>
      <c r="BR76" s="5838"/>
      <c r="BS76" s="5867"/>
      <c r="BT76" s="289"/>
      <c r="BU76" s="1751">
        <v>320</v>
      </c>
      <c r="BV76" s="6257" t="s">
        <v>1744</v>
      </c>
      <c r="BW76" s="6191"/>
      <c r="BX76" s="6258" t="str">
        <f>IF(BU66=0,"",VLOOKUP(BU66,'Tablas psiquica'!$D$7:$R$145,14,FALSE))</f>
        <v/>
      </c>
      <c r="BY76" s="5838"/>
      <c r="BZ76" s="5838"/>
      <c r="CA76" s="5867"/>
      <c r="CB76" s="426"/>
      <c r="CC76" s="420"/>
      <c r="CD76" s="420"/>
      <c r="CE76" s="289"/>
      <c r="CF76" s="1751">
        <v>320</v>
      </c>
      <c r="CG76" s="6257" t="s">
        <v>1744</v>
      </c>
      <c r="CH76" s="6191"/>
      <c r="CI76" s="6258" t="str">
        <f>IF(CF66=0,"",VLOOKUP(CF66,'Tablas psiquica'!$D$7:$R$145,14,FALSE))</f>
        <v/>
      </c>
      <c r="CJ76" s="5838"/>
      <c r="CK76" s="5838"/>
      <c r="CL76" s="5867"/>
      <c r="CN76" s="1751">
        <v>320</v>
      </c>
      <c r="CO76" s="6257" t="s">
        <v>1744</v>
      </c>
      <c r="CP76" s="6191"/>
      <c r="CQ76" s="6258" t="str">
        <f>IF(CN66=0,"",VLOOKUP(CN66,'Tablas psiquica'!$D$7:$R$145,14,FALSE))</f>
        <v/>
      </c>
      <c r="CR76" s="5838"/>
      <c r="CS76" s="5838"/>
      <c r="CT76" s="5867"/>
      <c r="CU76" s="289"/>
      <c r="CV76" s="1751">
        <v>320</v>
      </c>
      <c r="CW76" s="6257" t="s">
        <v>1744</v>
      </c>
      <c r="CX76" s="6191"/>
      <c r="CY76" s="6258" t="str">
        <f>IF(CV66=0,"",VLOOKUP(CV66,'Tablas psiquica'!$D$7:$R$145,14,FALSE))</f>
        <v/>
      </c>
      <c r="CZ76" s="5838"/>
      <c r="DA76" s="5838"/>
      <c r="DB76" s="5867"/>
      <c r="DC76" s="426"/>
      <c r="DD76" s="420"/>
    </row>
    <row r="77" spans="1:108" ht="12" customHeight="1" x14ac:dyDescent="0.2">
      <c r="A77" s="420"/>
      <c r="B77" s="289"/>
      <c r="C77" s="452">
        <v>440</v>
      </c>
      <c r="D77" s="6255" t="s">
        <v>1687</v>
      </c>
      <c r="E77" s="6256"/>
      <c r="F77" s="6252" t="str">
        <f>IF(C66=0,"",VLOOKUP(C66,'Tablas psiquica'!$D$7:$R$145,15,FALSE))</f>
        <v/>
      </c>
      <c r="G77" s="6253"/>
      <c r="H77" s="6253"/>
      <c r="I77" s="6254"/>
      <c r="K77" s="452">
        <v>440</v>
      </c>
      <c r="L77" s="6255" t="s">
        <v>1687</v>
      </c>
      <c r="M77" s="6256"/>
      <c r="N77" s="6252" t="str">
        <f>IF(K66=0,"",VLOOKUP(K66,'Tablas psiquica'!$D$7:$R$145,15,FALSE))</f>
        <v/>
      </c>
      <c r="O77" s="6253"/>
      <c r="P77" s="6253"/>
      <c r="Q77" s="6254"/>
      <c r="R77" s="289"/>
      <c r="S77" s="452">
        <v>440</v>
      </c>
      <c r="T77" s="6255" t="s">
        <v>1687</v>
      </c>
      <c r="U77" s="6256"/>
      <c r="V77" s="6252" t="str">
        <f>IF(S66=0,"",VLOOKUP(S66,'Tablas psiquica'!$D$7:$R$145,15,FALSE))</f>
        <v/>
      </c>
      <c r="W77" s="6253"/>
      <c r="X77" s="6253"/>
      <c r="Y77" s="6254"/>
      <c r="Z77" s="426"/>
      <c r="AA77" s="420"/>
      <c r="AB77" s="420"/>
      <c r="AC77" s="289"/>
      <c r="AD77" s="452">
        <v>440</v>
      </c>
      <c r="AE77" s="6255" t="s">
        <v>1687</v>
      </c>
      <c r="AF77" s="6256"/>
      <c r="AG77" s="6252" t="str">
        <f>IF(AD66=0,"",VLOOKUP(AD66,'Tablas psiquica'!$D$7:$R$145,15,FALSE))</f>
        <v/>
      </c>
      <c r="AH77" s="6253"/>
      <c r="AI77" s="6253"/>
      <c r="AJ77" s="6254"/>
      <c r="AL77" s="452">
        <v>440</v>
      </c>
      <c r="AM77" s="6255" t="s">
        <v>1687</v>
      </c>
      <c r="AN77" s="6256"/>
      <c r="AO77" s="6252" t="str">
        <f>IF(AL66=0,"",VLOOKUP(AL66,'Tablas psiquica'!$D$7:$R$145,15,FALSE))</f>
        <v/>
      </c>
      <c r="AP77" s="6253"/>
      <c r="AQ77" s="6253"/>
      <c r="AR77" s="6254"/>
      <c r="AS77" s="289"/>
      <c r="AT77" s="452">
        <v>440</v>
      </c>
      <c r="AU77" s="6255" t="s">
        <v>1687</v>
      </c>
      <c r="AV77" s="6256"/>
      <c r="AW77" s="6252" t="str">
        <f>IF(AT66=0,"",VLOOKUP(AT66,'Tablas psiquica'!$D$7:$R$145,15,FALSE))</f>
        <v/>
      </c>
      <c r="AX77" s="6253"/>
      <c r="AY77" s="6253"/>
      <c r="AZ77" s="6254"/>
      <c r="BA77" s="426"/>
      <c r="BB77" s="420"/>
      <c r="BC77" s="420"/>
      <c r="BD77" s="289"/>
      <c r="BE77" s="452">
        <v>440</v>
      </c>
      <c r="BF77" s="6255" t="s">
        <v>1687</v>
      </c>
      <c r="BG77" s="6256"/>
      <c r="BH77" s="6252" t="str">
        <f>IF(BE66=0,"",VLOOKUP(BE66,'Tablas psiquica'!$D$7:$R$145,15,FALSE))</f>
        <v/>
      </c>
      <c r="BI77" s="6253"/>
      <c r="BJ77" s="6253"/>
      <c r="BK77" s="6254"/>
      <c r="BM77" s="452">
        <v>440</v>
      </c>
      <c r="BN77" s="6255" t="s">
        <v>1687</v>
      </c>
      <c r="BO77" s="6256"/>
      <c r="BP77" s="6252" t="str">
        <f>IF(BM66=0,"",VLOOKUP(BM66,'Tablas psiquica'!$D$7:$R$145,15,FALSE))</f>
        <v/>
      </c>
      <c r="BQ77" s="6253"/>
      <c r="BR77" s="6253"/>
      <c r="BS77" s="6254"/>
      <c r="BT77" s="289"/>
      <c r="BU77" s="452">
        <v>440</v>
      </c>
      <c r="BV77" s="6255" t="s">
        <v>1687</v>
      </c>
      <c r="BW77" s="6256"/>
      <c r="BX77" s="6252" t="str">
        <f>IF(BU66=0,"",VLOOKUP(BU66,'Tablas psiquica'!$D$7:$R$145,15,FALSE))</f>
        <v/>
      </c>
      <c r="BY77" s="6253"/>
      <c r="BZ77" s="6253"/>
      <c r="CA77" s="6254"/>
      <c r="CB77" s="426"/>
      <c r="CC77" s="420"/>
      <c r="CD77" s="420"/>
      <c r="CE77" s="289"/>
      <c r="CF77" s="452">
        <v>440</v>
      </c>
      <c r="CG77" s="6255" t="s">
        <v>1687</v>
      </c>
      <c r="CH77" s="6256"/>
      <c r="CI77" s="6252" t="str">
        <f>IF(CF66=0,"",VLOOKUP(CF66,'Tablas psiquica'!$D$7:$R$145,15,FALSE))</f>
        <v/>
      </c>
      <c r="CJ77" s="6253"/>
      <c r="CK77" s="6253"/>
      <c r="CL77" s="6254"/>
      <c r="CN77" s="452">
        <v>440</v>
      </c>
      <c r="CO77" s="6255" t="s">
        <v>1687</v>
      </c>
      <c r="CP77" s="6256"/>
      <c r="CQ77" s="6252" t="str">
        <f>IF(CN66=0,"",VLOOKUP(CN66,'Tablas psiquica'!$D$7:$R$145,15,FALSE))</f>
        <v/>
      </c>
      <c r="CR77" s="6253"/>
      <c r="CS77" s="6253"/>
      <c r="CT77" s="6254"/>
      <c r="CU77" s="289"/>
      <c r="CV77" s="452">
        <v>440</v>
      </c>
      <c r="CW77" s="6255" t="s">
        <v>1687</v>
      </c>
      <c r="CX77" s="6256"/>
      <c r="CY77" s="6252" t="str">
        <f>IF(CV66=0,"",VLOOKUP(CV66,'Tablas psiquica'!$D$7:$R$145,15,FALSE))</f>
        <v/>
      </c>
      <c r="CZ77" s="6253"/>
      <c r="DA77" s="6253"/>
      <c r="DB77" s="6254"/>
      <c r="DC77" s="426"/>
      <c r="DD77" s="420"/>
    </row>
    <row r="78" spans="1:108" ht="12" customHeight="1" thickBot="1" x14ac:dyDescent="0.25">
      <c r="A78" s="420"/>
      <c r="B78" s="289"/>
      <c r="C78" s="6247" t="s">
        <v>6337</v>
      </c>
      <c r="D78" s="6248"/>
      <c r="E78" s="453" t="str">
        <f>IF(C66=0,"",VLOOKUP(C66,'Tablas psiquica'!$D$7:$R$145,4,FALSE))</f>
        <v/>
      </c>
      <c r="F78" s="6249" t="s">
        <v>6332</v>
      </c>
      <c r="G78" s="6249"/>
      <c r="H78" s="6250" t="str">
        <f>IF(C66=0,"",VLOOKUP(C66,'Tablas psiquica'!$D$7:$R$145,5,FALSE))</f>
        <v/>
      </c>
      <c r="I78" s="6251"/>
      <c r="K78" s="6247" t="s">
        <v>6337</v>
      </c>
      <c r="L78" s="6248"/>
      <c r="M78" s="453" t="str">
        <f>IF(K66=0,"",VLOOKUP(K66,'Tablas psiquica'!$D$7:$R$145,4,FALSE))</f>
        <v/>
      </c>
      <c r="N78" s="6249" t="s">
        <v>6332</v>
      </c>
      <c r="O78" s="6249"/>
      <c r="P78" s="6250" t="str">
        <f>IF(K66=0,"",VLOOKUP(K66,'Tablas psiquica'!$D$7:$R$145,5,FALSE))</f>
        <v/>
      </c>
      <c r="Q78" s="6251"/>
      <c r="R78" s="289"/>
      <c r="S78" s="6247" t="s">
        <v>6337</v>
      </c>
      <c r="T78" s="6248"/>
      <c r="U78" s="453" t="str">
        <f>IF(S66=0,"",VLOOKUP(S66,'Tablas psiquica'!$D$7:$R$145,4,FALSE))</f>
        <v/>
      </c>
      <c r="V78" s="6249" t="s">
        <v>6332</v>
      </c>
      <c r="W78" s="6249"/>
      <c r="X78" s="6250" t="str">
        <f>IF(S66=0,"",VLOOKUP(S66,'Tablas psiquica'!$D$7:$R$145,5,FALSE))</f>
        <v/>
      </c>
      <c r="Y78" s="6251"/>
      <c r="Z78" s="426"/>
      <c r="AA78" s="420"/>
      <c r="AB78" s="420"/>
      <c r="AC78" s="289"/>
      <c r="AD78" s="6247" t="s">
        <v>6337</v>
      </c>
      <c r="AE78" s="6248"/>
      <c r="AF78" s="453" t="str">
        <f>IF(AD66=0,"",VLOOKUP(AD66,'Tablas psiquica'!$D$7:$R$145,4,FALSE))</f>
        <v/>
      </c>
      <c r="AG78" s="6249" t="s">
        <v>6332</v>
      </c>
      <c r="AH78" s="6249"/>
      <c r="AI78" s="6250" t="str">
        <f>IF(AD66=0,"",VLOOKUP(AD66,'Tablas psiquica'!$D$7:$R$145,5,FALSE))</f>
        <v/>
      </c>
      <c r="AJ78" s="6251"/>
      <c r="AL78" s="6247" t="s">
        <v>6337</v>
      </c>
      <c r="AM78" s="6248"/>
      <c r="AN78" s="453" t="str">
        <f>IF(AL66=0,"",VLOOKUP(AL66,'Tablas psiquica'!$D$7:$R$145,4,FALSE))</f>
        <v/>
      </c>
      <c r="AO78" s="6249" t="s">
        <v>6332</v>
      </c>
      <c r="AP78" s="6249"/>
      <c r="AQ78" s="6250" t="str">
        <f>IF(AL66=0,"",VLOOKUP(AL66,'Tablas psiquica'!$D$7:$R$145,5,FALSE))</f>
        <v/>
      </c>
      <c r="AR78" s="6251"/>
      <c r="AS78" s="289"/>
      <c r="AT78" s="6247" t="s">
        <v>6337</v>
      </c>
      <c r="AU78" s="6248"/>
      <c r="AV78" s="453" t="str">
        <f>IF(AT66=0,"",VLOOKUP(AT66,'Tablas psiquica'!$D$7:$R$145,4,FALSE))</f>
        <v/>
      </c>
      <c r="AW78" s="6249" t="s">
        <v>6332</v>
      </c>
      <c r="AX78" s="6249"/>
      <c r="AY78" s="6250" t="str">
        <f>IF(AT66=0,"",VLOOKUP(AT66,'Tablas psiquica'!$D$7:$R$145,5,FALSE))</f>
        <v/>
      </c>
      <c r="AZ78" s="6251"/>
      <c r="BA78" s="426"/>
      <c r="BB78" s="420"/>
      <c r="BC78" s="420"/>
      <c r="BD78" s="289"/>
      <c r="BE78" s="6247" t="s">
        <v>6337</v>
      </c>
      <c r="BF78" s="6248"/>
      <c r="BG78" s="453" t="str">
        <f>IF(BE66=0,"",VLOOKUP(BE66,'Tablas psiquica'!$D$7:$R$145,4,FALSE))</f>
        <v/>
      </c>
      <c r="BH78" s="6249" t="s">
        <v>6332</v>
      </c>
      <c r="BI78" s="6249"/>
      <c r="BJ78" s="6250" t="str">
        <f>IF(BE66=0,"",VLOOKUP(BE66,'Tablas psiquica'!$D$7:$R$145,5,FALSE))</f>
        <v/>
      </c>
      <c r="BK78" s="6251"/>
      <c r="BM78" s="6247" t="s">
        <v>6337</v>
      </c>
      <c r="BN78" s="6248"/>
      <c r="BO78" s="453" t="str">
        <f>IF(BM66=0,"",VLOOKUP(BM66,'Tablas psiquica'!$D$7:$R$145,4,FALSE))</f>
        <v/>
      </c>
      <c r="BP78" s="6249" t="s">
        <v>6332</v>
      </c>
      <c r="BQ78" s="6249"/>
      <c r="BR78" s="6250" t="str">
        <f>IF(BM66=0,"",VLOOKUP(BM66,'Tablas psiquica'!$D$7:$R$145,5,FALSE))</f>
        <v/>
      </c>
      <c r="BS78" s="6251"/>
      <c r="BT78" s="289"/>
      <c r="BU78" s="6247" t="s">
        <v>6337</v>
      </c>
      <c r="BV78" s="6248"/>
      <c r="BW78" s="453" t="str">
        <f>IF(BU66=0,"",VLOOKUP(BU66,'Tablas psiquica'!$D$7:$R$145,4,FALSE))</f>
        <v/>
      </c>
      <c r="BX78" s="6249" t="s">
        <v>6332</v>
      </c>
      <c r="BY78" s="6249"/>
      <c r="BZ78" s="6250" t="str">
        <f>IF(BU66=0,"",VLOOKUP(BU66,'Tablas psiquica'!$D$7:$R$145,5,FALSE))</f>
        <v/>
      </c>
      <c r="CA78" s="6251"/>
      <c r="CB78" s="426"/>
      <c r="CC78" s="420"/>
      <c r="CD78" s="420"/>
      <c r="CE78" s="289"/>
      <c r="CF78" s="6247" t="s">
        <v>6337</v>
      </c>
      <c r="CG78" s="6248"/>
      <c r="CH78" s="453" t="str">
        <f>IF(CF66=0,"",VLOOKUP(CF66,'Tablas psiquica'!$D$7:$R$145,4,FALSE))</f>
        <v/>
      </c>
      <c r="CI78" s="6249" t="s">
        <v>6332</v>
      </c>
      <c r="CJ78" s="6249"/>
      <c r="CK78" s="6250" t="str">
        <f>IF(CF66=0,"",VLOOKUP(CF66,'Tablas psiquica'!$D$7:$R$145,5,FALSE))</f>
        <v/>
      </c>
      <c r="CL78" s="6251"/>
      <c r="CN78" s="6247" t="s">
        <v>6337</v>
      </c>
      <c r="CO78" s="6248"/>
      <c r="CP78" s="453" t="str">
        <f>IF(CN66=0,"",VLOOKUP(CN66,'Tablas psiquica'!$D$7:$R$145,4,FALSE))</f>
        <v/>
      </c>
      <c r="CQ78" s="6249" t="s">
        <v>6332</v>
      </c>
      <c r="CR78" s="6249"/>
      <c r="CS78" s="6250" t="str">
        <f>IF(CN66=0,"",VLOOKUP(CN66,'Tablas psiquica'!$D$7:$R$145,5,FALSE))</f>
        <v/>
      </c>
      <c r="CT78" s="6251"/>
      <c r="CU78" s="289"/>
      <c r="CV78" s="6247" t="s">
        <v>6337</v>
      </c>
      <c r="CW78" s="6248"/>
      <c r="CX78" s="453" t="str">
        <f>IF(CV66=0,"",VLOOKUP(CV66,'Tablas psiquica'!$D$7:$R$145,4,FALSE))</f>
        <v/>
      </c>
      <c r="CY78" s="6249" t="s">
        <v>6332</v>
      </c>
      <c r="CZ78" s="6249"/>
      <c r="DA78" s="6250" t="str">
        <f>IF(CV66=0,"",VLOOKUP(CV66,'Tablas psiquica'!$D$7:$R$145,5,FALSE))</f>
        <v/>
      </c>
      <c r="DB78" s="6251"/>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42" priority="950" operator="equal">
      <formula>0</formula>
    </cfRule>
  </conditionalFormatting>
  <conditionalFormatting sqref="K10:P10">
    <cfRule type="cellIs" dxfId="341" priority="654" operator="equal">
      <formula>0</formula>
    </cfRule>
  </conditionalFormatting>
  <conditionalFormatting sqref="S10:X10">
    <cfRule type="cellIs" dxfId="340" priority="651" operator="equal">
      <formula>0</formula>
    </cfRule>
  </conditionalFormatting>
  <conditionalFormatting sqref="G11:H11">
    <cfRule type="containsText" dxfId="339" priority="334" operator="containsText" text="No Accesible">
      <formula>NOT(ISERROR(SEARCH("No Accesible",G11)))</formula>
    </cfRule>
    <cfRule type="containsText" dxfId="338" priority="335" operator="containsText" text="Aprendido">
      <formula>NOT(ISERROR(SEARCH("Aprendido",G11)))</formula>
    </cfRule>
  </conditionalFormatting>
  <conditionalFormatting sqref="C24:H24">
    <cfRule type="cellIs" dxfId="337" priority="317" operator="equal">
      <formula>0</formula>
    </cfRule>
  </conditionalFormatting>
  <conditionalFormatting sqref="C38:H38">
    <cfRule type="cellIs" dxfId="336" priority="314" operator="equal">
      <formula>0</formula>
    </cfRule>
  </conditionalFormatting>
  <conditionalFormatting sqref="C52:H52">
    <cfRule type="cellIs" dxfId="335" priority="311" operator="equal">
      <formula>0</formula>
    </cfRule>
  </conditionalFormatting>
  <conditionalFormatting sqref="C66:H66">
    <cfRule type="cellIs" dxfId="334" priority="308" operator="equal">
      <formula>0</formula>
    </cfRule>
  </conditionalFormatting>
  <conditionalFormatting sqref="K24:P24">
    <cfRule type="cellIs" dxfId="333" priority="305" operator="equal">
      <formula>0</formula>
    </cfRule>
  </conditionalFormatting>
  <conditionalFormatting sqref="K38:P38">
    <cfRule type="cellIs" dxfId="332" priority="302" operator="equal">
      <formula>0</formula>
    </cfRule>
  </conditionalFormatting>
  <conditionalFormatting sqref="K52:P52">
    <cfRule type="cellIs" dxfId="331" priority="299" operator="equal">
      <formula>0</formula>
    </cfRule>
  </conditionalFormatting>
  <conditionalFormatting sqref="K66:P66">
    <cfRule type="cellIs" dxfId="330" priority="296" operator="equal">
      <formula>0</formula>
    </cfRule>
  </conditionalFormatting>
  <conditionalFormatting sqref="S24:X24">
    <cfRule type="cellIs" dxfId="329" priority="293" operator="equal">
      <formula>0</formula>
    </cfRule>
  </conditionalFormatting>
  <conditionalFormatting sqref="S38:X38">
    <cfRule type="cellIs" dxfId="328" priority="290" operator="equal">
      <formula>0</formula>
    </cfRule>
  </conditionalFormatting>
  <conditionalFormatting sqref="S52:X52">
    <cfRule type="cellIs" dxfId="327" priority="287" operator="equal">
      <formula>0</formula>
    </cfRule>
  </conditionalFormatting>
  <conditionalFormatting sqref="S66:X66">
    <cfRule type="cellIs" dxfId="326" priority="284" operator="equal">
      <formula>0</formula>
    </cfRule>
  </conditionalFormatting>
  <conditionalFormatting sqref="AD10:AI10">
    <cfRule type="cellIs" dxfId="325" priority="281" operator="equal">
      <formula>0</formula>
    </cfRule>
  </conditionalFormatting>
  <conditionalFormatting sqref="AL10:AQ10">
    <cfRule type="cellIs" dxfId="324" priority="280" operator="equal">
      <formula>0</formula>
    </cfRule>
  </conditionalFormatting>
  <conditionalFormatting sqref="AT10:AY10">
    <cfRule type="cellIs" dxfId="323" priority="279" operator="equal">
      <formula>0</formula>
    </cfRule>
  </conditionalFormatting>
  <conditionalFormatting sqref="AD24:AI24">
    <cfRule type="cellIs" dxfId="322" priority="272" operator="equal">
      <formula>0</formula>
    </cfRule>
  </conditionalFormatting>
  <conditionalFormatting sqref="AD38:AI38">
    <cfRule type="cellIs" dxfId="321" priority="269" operator="equal">
      <formula>0</formula>
    </cfRule>
  </conditionalFormatting>
  <conditionalFormatting sqref="AD52:AI52">
    <cfRule type="cellIs" dxfId="320" priority="266" operator="equal">
      <formula>0</formula>
    </cfRule>
  </conditionalFormatting>
  <conditionalFormatting sqref="AD66:AI66">
    <cfRule type="cellIs" dxfId="319" priority="263" operator="equal">
      <formula>0</formula>
    </cfRule>
  </conditionalFormatting>
  <conditionalFormatting sqref="AL24:AQ24">
    <cfRule type="cellIs" dxfId="318" priority="260" operator="equal">
      <formula>0</formula>
    </cfRule>
  </conditionalFormatting>
  <conditionalFormatting sqref="AL38:AQ38">
    <cfRule type="cellIs" dxfId="317" priority="257" operator="equal">
      <formula>0</formula>
    </cfRule>
  </conditionalFormatting>
  <conditionalFormatting sqref="AL52:AQ52">
    <cfRule type="cellIs" dxfId="316" priority="254" operator="equal">
      <formula>0</formula>
    </cfRule>
  </conditionalFormatting>
  <conditionalFormatting sqref="AL66:AQ66">
    <cfRule type="cellIs" dxfId="315" priority="251" operator="equal">
      <formula>0</formula>
    </cfRule>
  </conditionalFormatting>
  <conditionalFormatting sqref="AT24:AY24">
    <cfRule type="cellIs" dxfId="314" priority="248" operator="equal">
      <formula>0</formula>
    </cfRule>
  </conditionalFormatting>
  <conditionalFormatting sqref="AT38:AY38">
    <cfRule type="cellIs" dxfId="313" priority="245" operator="equal">
      <formula>0</formula>
    </cfRule>
  </conditionalFormatting>
  <conditionalFormatting sqref="AT52:AY52">
    <cfRule type="cellIs" dxfId="312" priority="242" operator="equal">
      <formula>0</formula>
    </cfRule>
  </conditionalFormatting>
  <conditionalFormatting sqref="AT66:AY66">
    <cfRule type="cellIs" dxfId="311" priority="239" operator="equal">
      <formula>0</formula>
    </cfRule>
  </conditionalFormatting>
  <conditionalFormatting sqref="BE10:BJ10">
    <cfRule type="cellIs" dxfId="310" priority="236" operator="equal">
      <formula>0</formula>
    </cfRule>
  </conditionalFormatting>
  <conditionalFormatting sqref="BM10:BR10">
    <cfRule type="cellIs" dxfId="309" priority="235" operator="equal">
      <formula>0</formula>
    </cfRule>
  </conditionalFormatting>
  <conditionalFormatting sqref="BU10:BZ10">
    <cfRule type="cellIs" dxfId="308" priority="234" operator="equal">
      <formula>0</formula>
    </cfRule>
  </conditionalFormatting>
  <conditionalFormatting sqref="BE24:BJ24">
    <cfRule type="cellIs" dxfId="307" priority="227" operator="equal">
      <formula>0</formula>
    </cfRule>
  </conditionalFormatting>
  <conditionalFormatting sqref="BE38:BJ38">
    <cfRule type="cellIs" dxfId="306" priority="224" operator="equal">
      <formula>0</formula>
    </cfRule>
  </conditionalFormatting>
  <conditionalFormatting sqref="BE52:BJ52">
    <cfRule type="cellIs" dxfId="305" priority="221" operator="equal">
      <formula>0</formula>
    </cfRule>
  </conditionalFormatting>
  <conditionalFormatting sqref="BE66:BJ66">
    <cfRule type="cellIs" dxfId="304" priority="218" operator="equal">
      <formula>0</formula>
    </cfRule>
  </conditionalFormatting>
  <conditionalFormatting sqref="BM24:BR24">
    <cfRule type="cellIs" dxfId="303" priority="215" operator="equal">
      <formula>0</formula>
    </cfRule>
  </conditionalFormatting>
  <conditionalFormatting sqref="BM38:BR38">
    <cfRule type="cellIs" dxfId="302" priority="212" operator="equal">
      <formula>0</formula>
    </cfRule>
  </conditionalFormatting>
  <conditionalFormatting sqref="BM52:BR52">
    <cfRule type="cellIs" dxfId="301" priority="209" operator="equal">
      <formula>0</formula>
    </cfRule>
  </conditionalFormatting>
  <conditionalFormatting sqref="BM66:BR66">
    <cfRule type="cellIs" dxfId="300" priority="206" operator="equal">
      <formula>0</formula>
    </cfRule>
  </conditionalFormatting>
  <conditionalFormatting sqref="BU24:BZ24">
    <cfRule type="cellIs" dxfId="299" priority="203" operator="equal">
      <formula>0</formula>
    </cfRule>
  </conditionalFormatting>
  <conditionalFormatting sqref="BU38:BZ38">
    <cfRule type="cellIs" dxfId="298" priority="200" operator="equal">
      <formula>0</formula>
    </cfRule>
  </conditionalFormatting>
  <conditionalFormatting sqref="BU52:BZ52">
    <cfRule type="cellIs" dxfId="297" priority="197" operator="equal">
      <formula>0</formula>
    </cfRule>
  </conditionalFormatting>
  <conditionalFormatting sqref="BU66:BZ66">
    <cfRule type="cellIs" dxfId="296" priority="194" operator="equal">
      <formula>0</formula>
    </cfRule>
  </conditionalFormatting>
  <conditionalFormatting sqref="CF10:CK10">
    <cfRule type="cellIs" dxfId="295" priority="191" operator="equal">
      <formula>0</formula>
    </cfRule>
  </conditionalFormatting>
  <conditionalFormatting sqref="CN10:CS10">
    <cfRule type="cellIs" dxfId="294" priority="190" operator="equal">
      <formula>0</formula>
    </cfRule>
  </conditionalFormatting>
  <conditionalFormatting sqref="CV10:DA10">
    <cfRule type="cellIs" dxfId="293" priority="189" operator="equal">
      <formula>0</formula>
    </cfRule>
  </conditionalFormatting>
  <conditionalFormatting sqref="CF24:CK24">
    <cfRule type="cellIs" dxfId="292" priority="182" operator="equal">
      <formula>0</formula>
    </cfRule>
  </conditionalFormatting>
  <conditionalFormatting sqref="CF38:CK38">
    <cfRule type="cellIs" dxfId="291" priority="179" operator="equal">
      <formula>0</formula>
    </cfRule>
  </conditionalFormatting>
  <conditionalFormatting sqref="CF52:CK52">
    <cfRule type="cellIs" dxfId="290" priority="176" operator="equal">
      <formula>0</formula>
    </cfRule>
  </conditionalFormatting>
  <conditionalFormatting sqref="CF66:CK66">
    <cfRule type="cellIs" dxfId="289" priority="173" operator="equal">
      <formula>0</formula>
    </cfRule>
  </conditionalFormatting>
  <conditionalFormatting sqref="CN24:CS24">
    <cfRule type="cellIs" dxfId="288" priority="170" operator="equal">
      <formula>0</formula>
    </cfRule>
  </conditionalFormatting>
  <conditionalFormatting sqref="CN38:CS38">
    <cfRule type="cellIs" dxfId="287" priority="167" operator="equal">
      <formula>0</formula>
    </cfRule>
  </conditionalFormatting>
  <conditionalFormatting sqref="CN52:CS52">
    <cfRule type="cellIs" dxfId="286" priority="164" operator="equal">
      <formula>0</formula>
    </cfRule>
  </conditionalFormatting>
  <conditionalFormatting sqref="CN66:CS66">
    <cfRule type="cellIs" dxfId="285" priority="161" operator="equal">
      <formula>0</formula>
    </cfRule>
  </conditionalFormatting>
  <conditionalFormatting sqref="CV24:DA24">
    <cfRule type="cellIs" dxfId="284" priority="158" operator="equal">
      <formula>0</formula>
    </cfRule>
  </conditionalFormatting>
  <conditionalFormatting sqref="CV38:DA38">
    <cfRule type="cellIs" dxfId="283" priority="155" operator="equal">
      <formula>0</formula>
    </cfRule>
  </conditionalFormatting>
  <conditionalFormatting sqref="CV52:DA52">
    <cfRule type="cellIs" dxfId="282" priority="152" operator="equal">
      <formula>0</formula>
    </cfRule>
  </conditionalFormatting>
  <conditionalFormatting sqref="CV66:DA66">
    <cfRule type="cellIs" dxfId="281" priority="149" operator="equal">
      <formula>0</formula>
    </cfRule>
  </conditionalFormatting>
  <conditionalFormatting sqref="O11:P11">
    <cfRule type="containsText" dxfId="280" priority="117" operator="containsText" text="No Accesible">
      <formula>NOT(ISERROR(SEARCH("No Accesible",O11)))</formula>
    </cfRule>
    <cfRule type="containsText" dxfId="279" priority="118" operator="containsText" text="Aprendido">
      <formula>NOT(ISERROR(SEARCH("Aprendido",O11)))</formula>
    </cfRule>
  </conditionalFormatting>
  <conditionalFormatting sqref="W11:X11">
    <cfRule type="containsText" dxfId="278" priority="115" operator="containsText" text="No Accesible">
      <formula>NOT(ISERROR(SEARCH("No Accesible",W11)))</formula>
    </cfRule>
    <cfRule type="containsText" dxfId="277" priority="116" operator="containsText" text="Aprendido">
      <formula>NOT(ISERROR(SEARCH("Aprendido",W11)))</formula>
    </cfRule>
  </conditionalFormatting>
  <conditionalFormatting sqref="G25:H25">
    <cfRule type="containsText" dxfId="276" priority="113" operator="containsText" text="No Accesible">
      <formula>NOT(ISERROR(SEARCH("No Accesible",G25)))</formula>
    </cfRule>
    <cfRule type="containsText" dxfId="275" priority="114" operator="containsText" text="Aprendido">
      <formula>NOT(ISERROR(SEARCH("Aprendido",G25)))</formula>
    </cfRule>
  </conditionalFormatting>
  <conditionalFormatting sqref="O25:P25">
    <cfRule type="containsText" dxfId="274" priority="111" operator="containsText" text="No Accesible">
      <formula>NOT(ISERROR(SEARCH("No Accesible",O25)))</formula>
    </cfRule>
    <cfRule type="containsText" dxfId="273" priority="112" operator="containsText" text="Aprendido">
      <formula>NOT(ISERROR(SEARCH("Aprendido",O25)))</formula>
    </cfRule>
  </conditionalFormatting>
  <conditionalFormatting sqref="W25:X25">
    <cfRule type="containsText" dxfId="272" priority="109" operator="containsText" text="No Accesible">
      <formula>NOT(ISERROR(SEARCH("No Accesible",W25)))</formula>
    </cfRule>
    <cfRule type="containsText" dxfId="271" priority="110" operator="containsText" text="Aprendido">
      <formula>NOT(ISERROR(SEARCH("Aprendido",W25)))</formula>
    </cfRule>
  </conditionalFormatting>
  <conditionalFormatting sqref="G39:H39">
    <cfRule type="containsText" dxfId="270" priority="107" operator="containsText" text="No Accesible">
      <formula>NOT(ISERROR(SEARCH("No Accesible",G39)))</formula>
    </cfRule>
    <cfRule type="containsText" dxfId="269" priority="108" operator="containsText" text="Aprendido">
      <formula>NOT(ISERROR(SEARCH("Aprendido",G39)))</formula>
    </cfRule>
  </conditionalFormatting>
  <conditionalFormatting sqref="O39:P39">
    <cfRule type="containsText" dxfId="268" priority="105" operator="containsText" text="No Accesible">
      <formula>NOT(ISERROR(SEARCH("No Accesible",O39)))</formula>
    </cfRule>
    <cfRule type="containsText" dxfId="267" priority="106" operator="containsText" text="Aprendido">
      <formula>NOT(ISERROR(SEARCH("Aprendido",O39)))</formula>
    </cfRule>
  </conditionalFormatting>
  <conditionalFormatting sqref="W39:X39">
    <cfRule type="containsText" dxfId="266" priority="103" operator="containsText" text="No Accesible">
      <formula>NOT(ISERROR(SEARCH("No Accesible",W39)))</formula>
    </cfRule>
    <cfRule type="containsText" dxfId="265" priority="104" operator="containsText" text="Aprendido">
      <formula>NOT(ISERROR(SEARCH("Aprendido",W39)))</formula>
    </cfRule>
  </conditionalFormatting>
  <conditionalFormatting sqref="G53:H53">
    <cfRule type="containsText" dxfId="264" priority="101" operator="containsText" text="No Accesible">
      <formula>NOT(ISERROR(SEARCH("No Accesible",G53)))</formula>
    </cfRule>
    <cfRule type="containsText" dxfId="263" priority="102" operator="containsText" text="Aprendido">
      <formula>NOT(ISERROR(SEARCH("Aprendido",G53)))</formula>
    </cfRule>
  </conditionalFormatting>
  <conditionalFormatting sqref="O53:P53">
    <cfRule type="containsText" dxfId="262" priority="99" operator="containsText" text="No Accesible">
      <formula>NOT(ISERROR(SEARCH("No Accesible",O53)))</formula>
    </cfRule>
    <cfRule type="containsText" dxfId="261" priority="100" operator="containsText" text="Aprendido">
      <formula>NOT(ISERROR(SEARCH("Aprendido",O53)))</formula>
    </cfRule>
  </conditionalFormatting>
  <conditionalFormatting sqref="W53:X53">
    <cfRule type="containsText" dxfId="260" priority="97" operator="containsText" text="No Accesible">
      <formula>NOT(ISERROR(SEARCH("No Accesible",W53)))</formula>
    </cfRule>
    <cfRule type="containsText" dxfId="259" priority="98" operator="containsText" text="Aprendido">
      <formula>NOT(ISERROR(SEARCH("Aprendido",W53)))</formula>
    </cfRule>
  </conditionalFormatting>
  <conditionalFormatting sqref="G67:H67">
    <cfRule type="containsText" dxfId="258" priority="95" operator="containsText" text="No Accesible">
      <formula>NOT(ISERROR(SEARCH("No Accesible",G67)))</formula>
    </cfRule>
    <cfRule type="containsText" dxfId="257" priority="96" operator="containsText" text="Aprendido">
      <formula>NOT(ISERROR(SEARCH("Aprendido",G67)))</formula>
    </cfRule>
  </conditionalFormatting>
  <conditionalFormatting sqref="O67:P67">
    <cfRule type="containsText" dxfId="256" priority="93" operator="containsText" text="No Accesible">
      <formula>NOT(ISERROR(SEARCH("No Accesible",O67)))</formula>
    </cfRule>
    <cfRule type="containsText" dxfId="255" priority="94" operator="containsText" text="Aprendido">
      <formula>NOT(ISERROR(SEARCH("Aprendido",O67)))</formula>
    </cfRule>
  </conditionalFormatting>
  <conditionalFormatting sqref="W67:X67">
    <cfRule type="containsText" dxfId="254" priority="91" operator="containsText" text="No Accesible">
      <formula>NOT(ISERROR(SEARCH("No Accesible",W67)))</formula>
    </cfRule>
    <cfRule type="containsText" dxfId="253" priority="92" operator="containsText" text="Aprendido">
      <formula>NOT(ISERROR(SEARCH("Aprendido",W67)))</formula>
    </cfRule>
  </conditionalFormatting>
  <conditionalFormatting sqref="AH11:AI11">
    <cfRule type="containsText" dxfId="252" priority="89" operator="containsText" text="No Accesible">
      <formula>NOT(ISERROR(SEARCH("No Accesible",AH11)))</formula>
    </cfRule>
    <cfRule type="containsText" dxfId="251" priority="90" operator="containsText" text="Aprendido">
      <formula>NOT(ISERROR(SEARCH("Aprendido",AH11)))</formula>
    </cfRule>
  </conditionalFormatting>
  <conditionalFormatting sqref="AP11:AQ11">
    <cfRule type="containsText" dxfId="250" priority="87" operator="containsText" text="No Accesible">
      <formula>NOT(ISERROR(SEARCH("No Accesible",AP11)))</formula>
    </cfRule>
    <cfRule type="containsText" dxfId="249" priority="88" operator="containsText" text="Aprendido">
      <formula>NOT(ISERROR(SEARCH("Aprendido",AP11)))</formula>
    </cfRule>
  </conditionalFormatting>
  <conditionalFormatting sqref="AX11:AY11">
    <cfRule type="containsText" dxfId="248" priority="85" operator="containsText" text="No Accesible">
      <formula>NOT(ISERROR(SEARCH("No Accesible",AX11)))</formula>
    </cfRule>
    <cfRule type="containsText" dxfId="247" priority="86" operator="containsText" text="Aprendido">
      <formula>NOT(ISERROR(SEARCH("Aprendido",AX11)))</formula>
    </cfRule>
  </conditionalFormatting>
  <conditionalFormatting sqref="AH25:AI25">
    <cfRule type="containsText" dxfId="246" priority="83" operator="containsText" text="No Accesible">
      <formula>NOT(ISERROR(SEARCH("No Accesible",AH25)))</formula>
    </cfRule>
    <cfRule type="containsText" dxfId="245" priority="84" operator="containsText" text="Aprendido">
      <formula>NOT(ISERROR(SEARCH("Aprendido",AH25)))</formula>
    </cfRule>
  </conditionalFormatting>
  <conditionalFormatting sqref="AP25:AQ25">
    <cfRule type="containsText" dxfId="244" priority="81" operator="containsText" text="No Accesible">
      <formula>NOT(ISERROR(SEARCH("No Accesible",AP25)))</formula>
    </cfRule>
    <cfRule type="containsText" dxfId="243" priority="82" operator="containsText" text="Aprendido">
      <formula>NOT(ISERROR(SEARCH("Aprendido",AP25)))</formula>
    </cfRule>
  </conditionalFormatting>
  <conditionalFormatting sqref="AX25:AY25">
    <cfRule type="containsText" dxfId="242" priority="79" operator="containsText" text="No Accesible">
      <formula>NOT(ISERROR(SEARCH("No Accesible",AX25)))</formula>
    </cfRule>
    <cfRule type="containsText" dxfId="241" priority="80" operator="containsText" text="Aprendido">
      <formula>NOT(ISERROR(SEARCH("Aprendido",AX25)))</formula>
    </cfRule>
  </conditionalFormatting>
  <conditionalFormatting sqref="AH39:AI39">
    <cfRule type="containsText" dxfId="240" priority="77" operator="containsText" text="No Accesible">
      <formula>NOT(ISERROR(SEARCH("No Accesible",AH39)))</formula>
    </cfRule>
    <cfRule type="containsText" dxfId="239" priority="78" operator="containsText" text="Aprendido">
      <formula>NOT(ISERROR(SEARCH("Aprendido",AH39)))</formula>
    </cfRule>
  </conditionalFormatting>
  <conditionalFormatting sqref="AP39:AQ39">
    <cfRule type="containsText" dxfId="238" priority="75" operator="containsText" text="No Accesible">
      <formula>NOT(ISERROR(SEARCH("No Accesible",AP39)))</formula>
    </cfRule>
    <cfRule type="containsText" dxfId="237" priority="76" operator="containsText" text="Aprendido">
      <formula>NOT(ISERROR(SEARCH("Aprendido",AP39)))</formula>
    </cfRule>
  </conditionalFormatting>
  <conditionalFormatting sqref="AX39:AY39">
    <cfRule type="containsText" dxfId="236" priority="73" operator="containsText" text="No Accesible">
      <formula>NOT(ISERROR(SEARCH("No Accesible",AX39)))</formula>
    </cfRule>
    <cfRule type="containsText" dxfId="235" priority="74" operator="containsText" text="Aprendido">
      <formula>NOT(ISERROR(SEARCH("Aprendido",AX39)))</formula>
    </cfRule>
  </conditionalFormatting>
  <conditionalFormatting sqref="AH53:AI53">
    <cfRule type="containsText" dxfId="234" priority="71" operator="containsText" text="No Accesible">
      <formula>NOT(ISERROR(SEARCH("No Accesible",AH53)))</formula>
    </cfRule>
    <cfRule type="containsText" dxfId="233" priority="72" operator="containsText" text="Aprendido">
      <formula>NOT(ISERROR(SEARCH("Aprendido",AH53)))</formula>
    </cfRule>
  </conditionalFormatting>
  <conditionalFormatting sqref="AP53:AQ53">
    <cfRule type="containsText" dxfId="232" priority="69" operator="containsText" text="No Accesible">
      <formula>NOT(ISERROR(SEARCH("No Accesible",AP53)))</formula>
    </cfRule>
    <cfRule type="containsText" dxfId="231" priority="70" operator="containsText" text="Aprendido">
      <formula>NOT(ISERROR(SEARCH("Aprendido",AP53)))</formula>
    </cfRule>
  </conditionalFormatting>
  <conditionalFormatting sqref="AX53:AY53">
    <cfRule type="containsText" dxfId="230" priority="67" operator="containsText" text="No Accesible">
      <formula>NOT(ISERROR(SEARCH("No Accesible",AX53)))</formula>
    </cfRule>
    <cfRule type="containsText" dxfId="229" priority="68" operator="containsText" text="Aprendido">
      <formula>NOT(ISERROR(SEARCH("Aprendido",AX53)))</formula>
    </cfRule>
  </conditionalFormatting>
  <conditionalFormatting sqref="AH67:AI67">
    <cfRule type="containsText" dxfId="228" priority="65" operator="containsText" text="No Accesible">
      <formula>NOT(ISERROR(SEARCH("No Accesible",AH67)))</formula>
    </cfRule>
    <cfRule type="containsText" dxfId="227" priority="66" operator="containsText" text="Aprendido">
      <formula>NOT(ISERROR(SEARCH("Aprendido",AH67)))</formula>
    </cfRule>
  </conditionalFormatting>
  <conditionalFormatting sqref="AP67:AQ67">
    <cfRule type="containsText" dxfId="226" priority="63" operator="containsText" text="No Accesible">
      <formula>NOT(ISERROR(SEARCH("No Accesible",AP67)))</formula>
    </cfRule>
    <cfRule type="containsText" dxfId="225" priority="64" operator="containsText" text="Aprendido">
      <formula>NOT(ISERROR(SEARCH("Aprendido",AP67)))</formula>
    </cfRule>
  </conditionalFormatting>
  <conditionalFormatting sqref="AX67:AY67">
    <cfRule type="containsText" dxfId="224" priority="61" operator="containsText" text="No Accesible">
      <formula>NOT(ISERROR(SEARCH("No Accesible",AX67)))</formula>
    </cfRule>
    <cfRule type="containsText" dxfId="223" priority="62" operator="containsText" text="Aprendido">
      <formula>NOT(ISERROR(SEARCH("Aprendido",AX67)))</formula>
    </cfRule>
  </conditionalFormatting>
  <conditionalFormatting sqref="BI11:BJ11">
    <cfRule type="containsText" dxfId="222" priority="59" operator="containsText" text="No Accesible">
      <formula>NOT(ISERROR(SEARCH("No Accesible",BI11)))</formula>
    </cfRule>
    <cfRule type="containsText" dxfId="221" priority="60" operator="containsText" text="Aprendido">
      <formula>NOT(ISERROR(SEARCH("Aprendido",BI11)))</formula>
    </cfRule>
  </conditionalFormatting>
  <conditionalFormatting sqref="BQ11:BR11">
    <cfRule type="containsText" dxfId="220" priority="57" operator="containsText" text="No Accesible">
      <formula>NOT(ISERROR(SEARCH("No Accesible",BQ11)))</formula>
    </cfRule>
    <cfRule type="containsText" dxfId="219" priority="58" operator="containsText" text="Aprendido">
      <formula>NOT(ISERROR(SEARCH("Aprendido",BQ11)))</formula>
    </cfRule>
  </conditionalFormatting>
  <conditionalFormatting sqref="BY11:BZ11">
    <cfRule type="containsText" dxfId="218" priority="55" operator="containsText" text="No Accesible">
      <formula>NOT(ISERROR(SEARCH("No Accesible",BY11)))</formula>
    </cfRule>
    <cfRule type="containsText" dxfId="217" priority="56" operator="containsText" text="Aprendido">
      <formula>NOT(ISERROR(SEARCH("Aprendido",BY11)))</formula>
    </cfRule>
  </conditionalFormatting>
  <conditionalFormatting sqref="BI25:BJ25">
    <cfRule type="containsText" dxfId="216" priority="53" operator="containsText" text="No Accesible">
      <formula>NOT(ISERROR(SEARCH("No Accesible",BI25)))</formula>
    </cfRule>
    <cfRule type="containsText" dxfId="215" priority="54" operator="containsText" text="Aprendido">
      <formula>NOT(ISERROR(SEARCH("Aprendido",BI25)))</formula>
    </cfRule>
  </conditionalFormatting>
  <conditionalFormatting sqref="BQ25:BR25">
    <cfRule type="containsText" dxfId="214" priority="51" operator="containsText" text="No Accesible">
      <formula>NOT(ISERROR(SEARCH("No Accesible",BQ25)))</formula>
    </cfRule>
    <cfRule type="containsText" dxfId="213" priority="52" operator="containsText" text="Aprendido">
      <formula>NOT(ISERROR(SEARCH("Aprendido",BQ25)))</formula>
    </cfRule>
  </conditionalFormatting>
  <conditionalFormatting sqref="BY25:BZ25">
    <cfRule type="containsText" dxfId="212" priority="49" operator="containsText" text="No Accesible">
      <formula>NOT(ISERROR(SEARCH("No Accesible",BY25)))</formula>
    </cfRule>
    <cfRule type="containsText" dxfId="211" priority="50" operator="containsText" text="Aprendido">
      <formula>NOT(ISERROR(SEARCH("Aprendido",BY25)))</formula>
    </cfRule>
  </conditionalFormatting>
  <conditionalFormatting sqref="BI39:BJ39">
    <cfRule type="containsText" dxfId="210" priority="47" operator="containsText" text="No Accesible">
      <formula>NOT(ISERROR(SEARCH("No Accesible",BI39)))</formula>
    </cfRule>
    <cfRule type="containsText" dxfId="209" priority="48" operator="containsText" text="Aprendido">
      <formula>NOT(ISERROR(SEARCH("Aprendido",BI39)))</formula>
    </cfRule>
  </conditionalFormatting>
  <conditionalFormatting sqref="BQ39:BR39">
    <cfRule type="containsText" dxfId="208" priority="45" operator="containsText" text="No Accesible">
      <formula>NOT(ISERROR(SEARCH("No Accesible",BQ39)))</formula>
    </cfRule>
    <cfRule type="containsText" dxfId="207" priority="46" operator="containsText" text="Aprendido">
      <formula>NOT(ISERROR(SEARCH("Aprendido",BQ39)))</formula>
    </cfRule>
  </conditionalFormatting>
  <conditionalFormatting sqref="BY39:BZ39">
    <cfRule type="containsText" dxfId="206" priority="43" operator="containsText" text="No Accesible">
      <formula>NOT(ISERROR(SEARCH("No Accesible",BY39)))</formula>
    </cfRule>
    <cfRule type="containsText" dxfId="205" priority="44" operator="containsText" text="Aprendido">
      <formula>NOT(ISERROR(SEARCH("Aprendido",BY39)))</formula>
    </cfRule>
  </conditionalFormatting>
  <conditionalFormatting sqref="BI53:BJ53">
    <cfRule type="containsText" dxfId="204" priority="41" operator="containsText" text="No Accesible">
      <formula>NOT(ISERROR(SEARCH("No Accesible",BI53)))</formula>
    </cfRule>
    <cfRule type="containsText" dxfId="203" priority="42" operator="containsText" text="Aprendido">
      <formula>NOT(ISERROR(SEARCH("Aprendido",BI53)))</formula>
    </cfRule>
  </conditionalFormatting>
  <conditionalFormatting sqref="BQ53:BR53">
    <cfRule type="containsText" dxfId="202" priority="39" operator="containsText" text="No Accesible">
      <formula>NOT(ISERROR(SEARCH("No Accesible",BQ53)))</formula>
    </cfRule>
    <cfRule type="containsText" dxfId="201" priority="40" operator="containsText" text="Aprendido">
      <formula>NOT(ISERROR(SEARCH("Aprendido",BQ53)))</formula>
    </cfRule>
  </conditionalFormatting>
  <conditionalFormatting sqref="BY53:BZ53">
    <cfRule type="containsText" dxfId="200" priority="37" operator="containsText" text="No Accesible">
      <formula>NOT(ISERROR(SEARCH("No Accesible",BY53)))</formula>
    </cfRule>
    <cfRule type="containsText" dxfId="199" priority="38" operator="containsText" text="Aprendido">
      <formula>NOT(ISERROR(SEARCH("Aprendido",BY53)))</formula>
    </cfRule>
  </conditionalFormatting>
  <conditionalFormatting sqref="BI67:BJ67">
    <cfRule type="containsText" dxfId="198" priority="35" operator="containsText" text="No Accesible">
      <formula>NOT(ISERROR(SEARCH("No Accesible",BI67)))</formula>
    </cfRule>
    <cfRule type="containsText" dxfId="197" priority="36" operator="containsText" text="Aprendido">
      <formula>NOT(ISERROR(SEARCH("Aprendido",BI67)))</formula>
    </cfRule>
  </conditionalFormatting>
  <conditionalFormatting sqref="BQ67:BR67">
    <cfRule type="containsText" dxfId="196" priority="33" operator="containsText" text="No Accesible">
      <formula>NOT(ISERROR(SEARCH("No Accesible",BQ67)))</formula>
    </cfRule>
    <cfRule type="containsText" dxfId="195" priority="34" operator="containsText" text="Aprendido">
      <formula>NOT(ISERROR(SEARCH("Aprendido",BQ67)))</formula>
    </cfRule>
  </conditionalFormatting>
  <conditionalFormatting sqref="BY67:BZ67">
    <cfRule type="containsText" dxfId="194" priority="31" operator="containsText" text="No Accesible">
      <formula>NOT(ISERROR(SEARCH("No Accesible",BY67)))</formula>
    </cfRule>
    <cfRule type="containsText" dxfId="193" priority="32" operator="containsText" text="Aprendido">
      <formula>NOT(ISERROR(SEARCH("Aprendido",BY67)))</formula>
    </cfRule>
  </conditionalFormatting>
  <conditionalFormatting sqref="CJ11:CK11">
    <cfRule type="containsText" dxfId="192" priority="29" operator="containsText" text="No Accesible">
      <formula>NOT(ISERROR(SEARCH("No Accesible",CJ11)))</formula>
    </cfRule>
    <cfRule type="containsText" dxfId="191" priority="30" operator="containsText" text="Aprendido">
      <formula>NOT(ISERROR(SEARCH("Aprendido",CJ11)))</formula>
    </cfRule>
  </conditionalFormatting>
  <conditionalFormatting sqref="CR11:CS11">
    <cfRule type="containsText" dxfId="190" priority="27" operator="containsText" text="No Accesible">
      <formula>NOT(ISERROR(SEARCH("No Accesible",CR11)))</formula>
    </cfRule>
    <cfRule type="containsText" dxfId="189" priority="28" operator="containsText" text="Aprendido">
      <formula>NOT(ISERROR(SEARCH("Aprendido",CR11)))</formula>
    </cfRule>
  </conditionalFormatting>
  <conditionalFormatting sqref="CZ11:DA11">
    <cfRule type="containsText" dxfId="188" priority="25" operator="containsText" text="No Accesible">
      <formula>NOT(ISERROR(SEARCH("No Accesible",CZ11)))</formula>
    </cfRule>
    <cfRule type="containsText" dxfId="187" priority="26" operator="containsText" text="Aprendido">
      <formula>NOT(ISERROR(SEARCH("Aprendido",CZ11)))</formula>
    </cfRule>
  </conditionalFormatting>
  <conditionalFormatting sqref="CJ25:CK25">
    <cfRule type="containsText" dxfId="186" priority="23" operator="containsText" text="No Accesible">
      <formula>NOT(ISERROR(SEARCH("No Accesible",CJ25)))</formula>
    </cfRule>
    <cfRule type="containsText" dxfId="185" priority="24" operator="containsText" text="Aprendido">
      <formula>NOT(ISERROR(SEARCH("Aprendido",CJ25)))</formula>
    </cfRule>
  </conditionalFormatting>
  <conditionalFormatting sqref="CR25:CS25">
    <cfRule type="containsText" dxfId="184" priority="21" operator="containsText" text="No Accesible">
      <formula>NOT(ISERROR(SEARCH("No Accesible",CR25)))</formula>
    </cfRule>
    <cfRule type="containsText" dxfId="183" priority="22" operator="containsText" text="Aprendido">
      <formula>NOT(ISERROR(SEARCH("Aprendido",CR25)))</formula>
    </cfRule>
  </conditionalFormatting>
  <conditionalFormatting sqref="CZ25:DA25">
    <cfRule type="containsText" dxfId="182" priority="19" operator="containsText" text="No Accesible">
      <formula>NOT(ISERROR(SEARCH("No Accesible",CZ25)))</formula>
    </cfRule>
    <cfRule type="containsText" dxfId="181" priority="20" operator="containsText" text="Aprendido">
      <formula>NOT(ISERROR(SEARCH("Aprendido",CZ25)))</formula>
    </cfRule>
  </conditionalFormatting>
  <conditionalFormatting sqref="CJ39:CK39">
    <cfRule type="containsText" dxfId="180" priority="17" operator="containsText" text="No Accesible">
      <formula>NOT(ISERROR(SEARCH("No Accesible",CJ39)))</formula>
    </cfRule>
    <cfRule type="containsText" dxfId="179" priority="18" operator="containsText" text="Aprendido">
      <formula>NOT(ISERROR(SEARCH("Aprendido",CJ39)))</formula>
    </cfRule>
  </conditionalFormatting>
  <conditionalFormatting sqref="CR39:CS39">
    <cfRule type="containsText" dxfId="178" priority="15" operator="containsText" text="No Accesible">
      <formula>NOT(ISERROR(SEARCH("No Accesible",CR39)))</formula>
    </cfRule>
    <cfRule type="containsText" dxfId="177" priority="16" operator="containsText" text="Aprendido">
      <formula>NOT(ISERROR(SEARCH("Aprendido",CR39)))</formula>
    </cfRule>
  </conditionalFormatting>
  <conditionalFormatting sqref="CZ39:DA39">
    <cfRule type="containsText" dxfId="176" priority="13" operator="containsText" text="No Accesible">
      <formula>NOT(ISERROR(SEARCH("No Accesible",CZ39)))</formula>
    </cfRule>
    <cfRule type="containsText" dxfId="175" priority="14" operator="containsText" text="Aprendido">
      <formula>NOT(ISERROR(SEARCH("Aprendido",CZ39)))</formula>
    </cfRule>
  </conditionalFormatting>
  <conditionalFormatting sqref="CJ53:CK53">
    <cfRule type="containsText" dxfId="174" priority="11" operator="containsText" text="No Accesible">
      <formula>NOT(ISERROR(SEARCH("No Accesible",CJ53)))</formula>
    </cfRule>
    <cfRule type="containsText" dxfId="173" priority="12" operator="containsText" text="Aprendido">
      <formula>NOT(ISERROR(SEARCH("Aprendido",CJ53)))</formula>
    </cfRule>
  </conditionalFormatting>
  <conditionalFormatting sqref="CR53:CS53">
    <cfRule type="containsText" dxfId="172" priority="9" operator="containsText" text="No Accesible">
      <formula>NOT(ISERROR(SEARCH("No Accesible",CR53)))</formula>
    </cfRule>
    <cfRule type="containsText" dxfId="171" priority="10" operator="containsText" text="Aprendido">
      <formula>NOT(ISERROR(SEARCH("Aprendido",CR53)))</formula>
    </cfRule>
  </conditionalFormatting>
  <conditionalFormatting sqref="CZ53:DA53">
    <cfRule type="containsText" dxfId="170" priority="7" operator="containsText" text="No Accesible">
      <formula>NOT(ISERROR(SEARCH("No Accesible",CZ53)))</formula>
    </cfRule>
    <cfRule type="containsText" dxfId="169" priority="8" operator="containsText" text="Aprendido">
      <formula>NOT(ISERROR(SEARCH("Aprendido",CZ53)))</formula>
    </cfRule>
  </conditionalFormatting>
  <conditionalFormatting sqref="CJ67:CK67">
    <cfRule type="containsText" dxfId="168" priority="5" operator="containsText" text="No Accesible">
      <formula>NOT(ISERROR(SEARCH("No Accesible",CJ67)))</formula>
    </cfRule>
    <cfRule type="containsText" dxfId="167" priority="6" operator="containsText" text="Aprendido">
      <formula>NOT(ISERROR(SEARCH("Aprendido",CJ67)))</formula>
    </cfRule>
  </conditionalFormatting>
  <conditionalFormatting sqref="CR67:CS67">
    <cfRule type="containsText" dxfId="166" priority="3" operator="containsText" text="No Accesible">
      <formula>NOT(ISERROR(SEARCH("No Accesible",CR67)))</formula>
    </cfRule>
    <cfRule type="containsText" dxfId="165" priority="4" operator="containsText" text="Aprendido">
      <formula>NOT(ISERROR(SEARCH("Aprendido",CR67)))</formula>
    </cfRule>
  </conditionalFormatting>
  <conditionalFormatting sqref="CZ67:DA67">
    <cfRule type="containsText" dxfId="164" priority="1" operator="containsText" text="No Accesible">
      <formula>NOT(ISERROR(SEARCH("No Accesible",CZ67)))</formula>
    </cfRule>
    <cfRule type="containsText" dxfId="163"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2019-12-25T11:04:36Z</cp:lastPrinted>
  <dcterms:created xsi:type="dcterms:W3CDTF">2015-03-24T15:47:25Z</dcterms:created>
  <dcterms:modified xsi:type="dcterms:W3CDTF">2020-02-26T15:25:51Z</dcterms:modified>
</cp:coreProperties>
</file>